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64B4D4C-E584-4FC0-B2B9-9B72D4089CA4}" xr6:coauthVersionLast="47" xr6:coauthVersionMax="47" xr10:uidLastSave="{00000000-0000-0000-0000-000000000000}"/>
  <bookViews>
    <workbookView xWindow="-110" yWindow="-110" windowWidth="19420" windowHeight="10300" firstSheet="2" activeTab="5" xr2:uid="{0393C924-600B-44CD-B5A9-BE33580BA6CC}"/>
  </bookViews>
  <sheets>
    <sheet name="28.02.2022" sheetId="1" r:id="rId1"/>
    <sheet name="Data" sheetId="2" r:id="rId2"/>
    <sheet name="Chart" sheetId="3" r:id="rId3"/>
    <sheet name="RM+WIP" sheetId="4" r:id="rId4"/>
    <sheet name=" CPL" sheetId="5" r:id="rId5"/>
    <sheet name="MILL" sheetId="6" r:id="rId6"/>
    <sheet name="BAL" sheetId="7" r:id="rId7"/>
    <sheet name="SLT" sheetId="8" r:id="rId8"/>
    <sheet name="CTL" sheetId="9" r:id="rId9"/>
    <sheet name="FG" sheetId="10" r:id="rId10"/>
    <sheet name="FG-KW2 COIL" sheetId="11" r:id="rId11"/>
    <sheet name="FG KW2 SHEETS" sheetId="12" r:id="rId12"/>
  </sheets>
  <externalReferences>
    <externalReference r:id="rId13"/>
  </externalReferences>
  <definedNames>
    <definedName name="_xlnm._FilterDatabase" localSheetId="4" hidden="1">' CPL'!$A$3:$BB$3</definedName>
    <definedName name="_xlnm._FilterDatabase" localSheetId="6" hidden="1">BAL!$A$3:$AN$283</definedName>
    <definedName name="_xlnm._FilterDatabase" localSheetId="8" hidden="1">CTL!$A$3:$AR$3</definedName>
    <definedName name="_xlnm._FilterDatabase" localSheetId="9" hidden="1">FG!$A$4:$BJ$385</definedName>
    <definedName name="_xlnm._FilterDatabase" localSheetId="11" hidden="1">'FG KW2 SHEETS'!$A$4:$BJ$7</definedName>
    <definedName name="_xlnm._FilterDatabase" localSheetId="10" hidden="1">'FG-KW2 COIL'!$A$4:$BL$182</definedName>
    <definedName name="_xlnm._FilterDatabase" localSheetId="5" hidden="1">MILL!$A$3:$AG$3</definedName>
    <definedName name="_xlnm._FilterDatabase" localSheetId="3" hidden="1">'RM+WIP'!$A$4:$BT$759</definedName>
    <definedName name="_xlnm._FilterDatabase" localSheetId="7" hidden="1">SLT!$A$3:$AW$133</definedName>
    <definedName name="_xlnm.Print_Area" localSheetId="4">' CPL'!#REF!</definedName>
    <definedName name="_xlnm.Print_Area" localSheetId="0">'28.02.2022'!$A$1:$L$68</definedName>
    <definedName name="_xlnm.Print_Area" localSheetId="2">Chart!$A$1:$AC$86</definedName>
    <definedName name="_xlnm.Print_Area" localSheetId="8">CTL!$C$3:$S$3</definedName>
    <definedName name="_xlnm.Print_Area" localSheetId="9">FG!#REF!</definedName>
    <definedName name="_xlnm.Print_Area" localSheetId="11">'FG KW2 SHEETS'!$G$4:$U$28</definedName>
    <definedName name="_xlnm.Print_Area" localSheetId="10">'FG-KW2 COIL'!$E$77:$Q$94</definedName>
    <definedName name="_xlnm.Print_Area" localSheetId="3">'RM+WIP'!$F$19:$Q$170</definedName>
    <definedName name="_xlnm.Print_Area" localSheetId="7">SLT!$C$3:$Z$3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2" i="8" l="1"/>
  <c r="S112" i="8"/>
  <c r="U112" i="8"/>
  <c r="AO112" i="8"/>
  <c r="AP112" i="8" s="1"/>
  <c r="B113" i="8"/>
  <c r="S113" i="8"/>
  <c r="U113" i="8"/>
  <c r="AO113" i="8"/>
  <c r="AQ113" i="8" s="1"/>
  <c r="AP113" i="8" l="1"/>
  <c r="AX112" i="8"/>
  <c r="AQ112" i="8"/>
  <c r="AX113" i="8"/>
  <c r="F426" i="12"/>
  <c r="C426" i="12"/>
  <c r="D426" i="12" s="1"/>
  <c r="E426" i="12" s="1"/>
  <c r="F425" i="12"/>
  <c r="C425" i="12"/>
  <c r="D425" i="12" s="1"/>
  <c r="E425" i="12" s="1"/>
  <c r="F424" i="12"/>
  <c r="C424" i="12"/>
  <c r="D424" i="12" s="1"/>
  <c r="E424" i="12" s="1"/>
  <c r="F422" i="12"/>
  <c r="C422" i="12"/>
  <c r="D422" i="12" s="1"/>
  <c r="E422" i="12" s="1"/>
  <c r="F421" i="12"/>
  <c r="C421" i="12"/>
  <c r="D421" i="12" s="1"/>
  <c r="E421" i="12" s="1"/>
  <c r="F420" i="12"/>
  <c r="C420" i="12"/>
  <c r="D420" i="12" s="1"/>
  <c r="E420" i="12" s="1"/>
  <c r="F419" i="12"/>
  <c r="C419" i="12"/>
  <c r="D419" i="12" s="1"/>
  <c r="E419" i="12" s="1"/>
  <c r="F418" i="12"/>
  <c r="C418" i="12"/>
  <c r="D418" i="12" s="1"/>
  <c r="E418" i="12" s="1"/>
  <c r="F417" i="12"/>
  <c r="C417" i="12"/>
  <c r="D417" i="12" s="1"/>
  <c r="E417" i="12" s="1"/>
  <c r="F416" i="12"/>
  <c r="G416" i="12" s="1"/>
  <c r="C416" i="12"/>
  <c r="D416" i="12" s="1"/>
  <c r="E416" i="12" s="1"/>
  <c r="F415" i="12"/>
  <c r="D415" i="12"/>
  <c r="E415" i="12" s="1"/>
  <c r="C415" i="12"/>
  <c r="F414" i="12"/>
  <c r="C414" i="12"/>
  <c r="D414" i="12" s="1"/>
  <c r="E414" i="12" s="1"/>
  <c r="F413" i="12"/>
  <c r="C413" i="12"/>
  <c r="D413" i="12" s="1"/>
  <c r="E413" i="12" s="1"/>
  <c r="F412" i="12"/>
  <c r="C412" i="12"/>
  <c r="F411" i="12"/>
  <c r="D411" i="12"/>
  <c r="E411" i="12" s="1"/>
  <c r="C411" i="12"/>
  <c r="F410" i="12"/>
  <c r="C410" i="12"/>
  <c r="D410" i="12" s="1"/>
  <c r="E410" i="12" s="1"/>
  <c r="F409" i="12"/>
  <c r="C409" i="12"/>
  <c r="D409" i="12" s="1"/>
  <c r="E409" i="12" s="1"/>
  <c r="F408" i="12"/>
  <c r="C408" i="12"/>
  <c r="D408" i="12" s="1"/>
  <c r="E408" i="12" s="1"/>
  <c r="F407" i="12"/>
  <c r="C407" i="12"/>
  <c r="F406" i="12"/>
  <c r="E406" i="12"/>
  <c r="C406" i="12"/>
  <c r="D406" i="12" s="1"/>
  <c r="F405" i="12"/>
  <c r="C405" i="12"/>
  <c r="D405" i="12" s="1"/>
  <c r="E405" i="12" s="1"/>
  <c r="F404" i="12"/>
  <c r="C404" i="12"/>
  <c r="D404" i="12" s="1"/>
  <c r="E404" i="12" s="1"/>
  <c r="F403" i="12"/>
  <c r="D403" i="12"/>
  <c r="E403" i="12" s="1"/>
  <c r="C403" i="12"/>
  <c r="F401" i="12"/>
  <c r="C401" i="12"/>
  <c r="D401" i="12" s="1"/>
  <c r="E401" i="12" s="1"/>
  <c r="F400" i="12"/>
  <c r="C400" i="12"/>
  <c r="D400" i="12" s="1"/>
  <c r="E400" i="12" s="1"/>
  <c r="F399" i="12"/>
  <c r="C399" i="12"/>
  <c r="F398" i="12"/>
  <c r="E398" i="12"/>
  <c r="C398" i="12"/>
  <c r="D398" i="12" s="1"/>
  <c r="F397" i="12"/>
  <c r="C397" i="12"/>
  <c r="F115" i="12"/>
  <c r="C115" i="12"/>
  <c r="D115" i="12" s="1"/>
  <c r="E115" i="12" s="1"/>
  <c r="F114" i="12"/>
  <c r="C114" i="12"/>
  <c r="D114" i="12" s="1"/>
  <c r="E114" i="12" s="1"/>
  <c r="F113" i="12"/>
  <c r="C113" i="12"/>
  <c r="D113" i="12" s="1"/>
  <c r="F111" i="12"/>
  <c r="C111" i="12"/>
  <c r="D111" i="12" s="1"/>
  <c r="E111" i="12" s="1"/>
  <c r="F110" i="12"/>
  <c r="C110" i="12"/>
  <c r="D110" i="12" s="1"/>
  <c r="E110" i="12" s="1"/>
  <c r="F109" i="12"/>
  <c r="D109" i="12"/>
  <c r="E109" i="12" s="1"/>
  <c r="C109" i="12"/>
  <c r="F108" i="12"/>
  <c r="C108" i="12"/>
  <c r="D108" i="12" s="1"/>
  <c r="E108" i="12" s="1"/>
  <c r="F107" i="12"/>
  <c r="C107" i="12"/>
  <c r="D107" i="12" s="1"/>
  <c r="E107" i="12" s="1"/>
  <c r="F106" i="12"/>
  <c r="C106" i="12"/>
  <c r="F105" i="12"/>
  <c r="G105" i="12" s="1"/>
  <c r="C105" i="12"/>
  <c r="D105" i="12" s="1"/>
  <c r="E105" i="12" s="1"/>
  <c r="F104" i="12"/>
  <c r="C104" i="12"/>
  <c r="F103" i="12"/>
  <c r="C103" i="12"/>
  <c r="D103" i="12" s="1"/>
  <c r="E103" i="12" s="1"/>
  <c r="F102" i="12"/>
  <c r="C102" i="12"/>
  <c r="D102" i="12" s="1"/>
  <c r="E102" i="12" s="1"/>
  <c r="F101" i="12"/>
  <c r="D101" i="12"/>
  <c r="E101" i="12" s="1"/>
  <c r="C101" i="12"/>
  <c r="F100" i="12"/>
  <c r="C100" i="12"/>
  <c r="D100" i="12" s="1"/>
  <c r="E100" i="12" s="1"/>
  <c r="F99" i="12"/>
  <c r="C99" i="12"/>
  <c r="D99" i="12" s="1"/>
  <c r="E99" i="12" s="1"/>
  <c r="F98" i="12"/>
  <c r="C98" i="12"/>
  <c r="F97" i="12"/>
  <c r="C97" i="12"/>
  <c r="F96" i="12"/>
  <c r="C96" i="12"/>
  <c r="F95" i="12"/>
  <c r="C95" i="12"/>
  <c r="D95" i="12" s="1"/>
  <c r="E95" i="12" s="1"/>
  <c r="F94" i="12"/>
  <c r="C94" i="12"/>
  <c r="D94" i="12" s="1"/>
  <c r="E94" i="12" s="1"/>
  <c r="F93" i="12"/>
  <c r="D93" i="12"/>
  <c r="E93" i="12" s="1"/>
  <c r="C93" i="12"/>
  <c r="F92" i="12"/>
  <c r="C92" i="12"/>
  <c r="D92" i="12" s="1"/>
  <c r="E92" i="12" s="1"/>
  <c r="F91" i="12"/>
  <c r="C91" i="12"/>
  <c r="D91" i="12" s="1"/>
  <c r="E91" i="12" s="1"/>
  <c r="F90" i="12"/>
  <c r="C90" i="12"/>
  <c r="F89" i="12"/>
  <c r="C89" i="12"/>
  <c r="D89" i="12" s="1"/>
  <c r="E89" i="12" s="1"/>
  <c r="F88" i="12"/>
  <c r="C88" i="12"/>
  <c r="F87" i="12"/>
  <c r="E87" i="12"/>
  <c r="C87" i="12"/>
  <c r="D87" i="12" s="1"/>
  <c r="F86" i="12"/>
  <c r="C86" i="12"/>
  <c r="D86" i="12" s="1"/>
  <c r="E86" i="12" s="1"/>
  <c r="F85" i="12"/>
  <c r="D85" i="12"/>
  <c r="E85" i="12" s="1"/>
  <c r="C85" i="12"/>
  <c r="F84" i="12"/>
  <c r="D84" i="12"/>
  <c r="E84" i="12" s="1"/>
  <c r="C84" i="12"/>
  <c r="F83" i="12"/>
  <c r="C83" i="12"/>
  <c r="O26" i="12"/>
  <c r="AJ23" i="12"/>
  <c r="AK23" i="12" s="1"/>
  <c r="D23" i="12"/>
  <c r="AJ22" i="12"/>
  <c r="AK22" i="12" s="1"/>
  <c r="D22" i="12"/>
  <c r="AJ21" i="12"/>
  <c r="AK21" i="12" s="1"/>
  <c r="D21" i="12"/>
  <c r="AJ20" i="12"/>
  <c r="AK20" i="12" s="1"/>
  <c r="D20" i="12"/>
  <c r="AJ19" i="12"/>
  <c r="AK19" i="12" s="1"/>
  <c r="D19" i="12"/>
  <c r="AJ18" i="12"/>
  <c r="AK18" i="12" s="1"/>
  <c r="D18" i="12"/>
  <c r="AJ17" i="12"/>
  <c r="AK17" i="12" s="1"/>
  <c r="D17" i="12"/>
  <c r="AJ16" i="12"/>
  <c r="AK16" i="12" s="1"/>
  <c r="D16" i="12"/>
  <c r="AJ15" i="12"/>
  <c r="AK15" i="12" s="1"/>
  <c r="D15" i="12"/>
  <c r="AJ14" i="12"/>
  <c r="AK14" i="12" s="1"/>
  <c r="D14" i="12"/>
  <c r="AJ13" i="12"/>
  <c r="AK13" i="12" s="1"/>
  <c r="D13" i="12"/>
  <c r="AJ12" i="12"/>
  <c r="D12" i="12"/>
  <c r="AJ11" i="12"/>
  <c r="D11" i="12"/>
  <c r="AJ10" i="12"/>
  <c r="D10" i="12"/>
  <c r="AJ9" i="12"/>
  <c r="D9" i="12"/>
  <c r="AJ8" i="12"/>
  <c r="D8" i="12"/>
  <c r="AJ7" i="12"/>
  <c r="D7" i="12"/>
  <c r="AJ6" i="12"/>
  <c r="B6" i="12" s="1"/>
  <c r="D6" i="12"/>
  <c r="D2" i="12"/>
  <c r="F362" i="11"/>
  <c r="C362" i="11"/>
  <c r="D362" i="11" s="1"/>
  <c r="E362" i="11" s="1"/>
  <c r="F361" i="11"/>
  <c r="C361" i="11"/>
  <c r="D361" i="11" s="1"/>
  <c r="E361" i="11" s="1"/>
  <c r="F360" i="11"/>
  <c r="C360" i="11"/>
  <c r="F358" i="11"/>
  <c r="C358" i="11"/>
  <c r="D358" i="11" s="1"/>
  <c r="E358" i="11" s="1"/>
  <c r="F357" i="11"/>
  <c r="C357" i="11"/>
  <c r="D357" i="11" s="1"/>
  <c r="E357" i="11" s="1"/>
  <c r="F355" i="11"/>
  <c r="C355" i="11"/>
  <c r="D355" i="11" s="1"/>
  <c r="F354" i="11"/>
  <c r="C354" i="11"/>
  <c r="D354" i="11" s="1"/>
  <c r="E354" i="11" s="1"/>
  <c r="F352" i="11"/>
  <c r="C352" i="11"/>
  <c r="D352" i="11" s="1"/>
  <c r="E352" i="11" s="1"/>
  <c r="F351" i="11"/>
  <c r="C351" i="11"/>
  <c r="D351" i="11" s="1"/>
  <c r="E351" i="11" s="1"/>
  <c r="F349" i="11"/>
  <c r="C349" i="11"/>
  <c r="D349" i="11" s="1"/>
  <c r="E349" i="11" s="1"/>
  <c r="F346" i="11"/>
  <c r="D346" i="11"/>
  <c r="E346" i="11" s="1"/>
  <c r="C346" i="11"/>
  <c r="F345" i="11"/>
  <c r="C345" i="11"/>
  <c r="D345" i="11" s="1"/>
  <c r="E345" i="11" s="1"/>
  <c r="F343" i="11"/>
  <c r="C343" i="11"/>
  <c r="D343" i="11" s="1"/>
  <c r="E343" i="11" s="1"/>
  <c r="F342" i="11"/>
  <c r="C342" i="11"/>
  <c r="D342" i="11" s="1"/>
  <c r="E342" i="11" s="1"/>
  <c r="F340" i="11"/>
  <c r="C340" i="11"/>
  <c r="F339" i="11"/>
  <c r="C339" i="11"/>
  <c r="D339" i="11" s="1"/>
  <c r="E339" i="11" s="1"/>
  <c r="F338" i="11"/>
  <c r="D338" i="11"/>
  <c r="E338" i="11" s="1"/>
  <c r="C338" i="11"/>
  <c r="F337" i="11"/>
  <c r="C337" i="11"/>
  <c r="D337" i="11" s="1"/>
  <c r="E337" i="11" s="1"/>
  <c r="F336" i="11"/>
  <c r="C336" i="11"/>
  <c r="D336" i="11" s="1"/>
  <c r="E336" i="11" s="1"/>
  <c r="F334" i="11"/>
  <c r="C334" i="11"/>
  <c r="F333" i="11"/>
  <c r="C333" i="11"/>
  <c r="F332" i="11"/>
  <c r="C332" i="11"/>
  <c r="D332" i="11" s="1"/>
  <c r="E332" i="11" s="1"/>
  <c r="F331" i="11"/>
  <c r="C331" i="11"/>
  <c r="D331" i="11" s="1"/>
  <c r="E331" i="11" s="1"/>
  <c r="F330" i="11"/>
  <c r="D330" i="11"/>
  <c r="C330" i="11"/>
  <c r="AJ181" i="11"/>
  <c r="D181" i="11"/>
  <c r="AJ180" i="11"/>
  <c r="AL180" i="11" s="1"/>
  <c r="D180" i="11"/>
  <c r="AJ179" i="11"/>
  <c r="AS179" i="11" s="1"/>
  <c r="D179" i="11"/>
  <c r="AJ178" i="11"/>
  <c r="AL178" i="11" s="1"/>
  <c r="D178" i="11"/>
  <c r="AJ177" i="11"/>
  <c r="AS177" i="11" s="1"/>
  <c r="D177" i="11"/>
  <c r="AL176" i="11"/>
  <c r="AJ176" i="11"/>
  <c r="D176" i="11"/>
  <c r="AJ175" i="11"/>
  <c r="D175" i="11"/>
  <c r="AL174" i="11"/>
  <c r="AJ174" i="11"/>
  <c r="D174" i="11"/>
  <c r="AJ173" i="11"/>
  <c r="AS173" i="11" s="1"/>
  <c r="D173" i="11"/>
  <c r="AJ172" i="11"/>
  <c r="AL172" i="11" s="1"/>
  <c r="D172" i="11"/>
  <c r="AJ171" i="11"/>
  <c r="AS171" i="11" s="1"/>
  <c r="D171" i="11"/>
  <c r="AJ170" i="11"/>
  <c r="AK170" i="11" s="1"/>
  <c r="D170" i="11"/>
  <c r="AS169" i="11"/>
  <c r="AL169" i="11"/>
  <c r="AJ169" i="11"/>
  <c r="D169" i="11"/>
  <c r="AJ168" i="11"/>
  <c r="D168" i="11"/>
  <c r="AJ167" i="11"/>
  <c r="AS167" i="11" s="1"/>
  <c r="D167" i="11"/>
  <c r="AJ166" i="11"/>
  <c r="B166" i="11" s="1"/>
  <c r="R166" i="11"/>
  <c r="O166" i="11"/>
  <c r="D166" i="11"/>
  <c r="AJ165" i="11"/>
  <c r="B165" i="11" s="1"/>
  <c r="R165" i="11"/>
  <c r="O165" i="11"/>
  <c r="D165" i="11"/>
  <c r="AS164" i="11"/>
  <c r="AR164" i="11"/>
  <c r="AP164" i="11"/>
  <c r="AL164" i="11"/>
  <c r="AJ164" i="11"/>
  <c r="D164" i="11"/>
  <c r="AL163" i="11"/>
  <c r="AJ163" i="11"/>
  <c r="AS163" i="11" s="1"/>
  <c r="D163" i="11"/>
  <c r="AJ162" i="11"/>
  <c r="AS162" i="11" s="1"/>
  <c r="D162" i="11"/>
  <c r="AJ161" i="11"/>
  <c r="AS161" i="11" s="1"/>
  <c r="D161" i="11"/>
  <c r="AL160" i="11"/>
  <c r="AJ160" i="11"/>
  <c r="D160" i="11"/>
  <c r="AL159" i="11"/>
  <c r="AJ159" i="11"/>
  <c r="D159" i="11"/>
  <c r="AJ158" i="11"/>
  <c r="AK158" i="11" s="1"/>
  <c r="D158" i="11"/>
  <c r="AJ157" i="11"/>
  <c r="O157" i="11"/>
  <c r="D157" i="11"/>
  <c r="AL156" i="11"/>
  <c r="AJ156" i="11"/>
  <c r="AS156" i="11" s="1"/>
  <c r="D156" i="11"/>
  <c r="AJ155" i="11"/>
  <c r="AS155" i="11" s="1"/>
  <c r="D155" i="11"/>
  <c r="AS154" i="11"/>
  <c r="AR154" i="11"/>
  <c r="AP154" i="11"/>
  <c r="AL154" i="11"/>
  <c r="AJ154" i="11"/>
  <c r="D154" i="11"/>
  <c r="AJ153" i="11"/>
  <c r="AK153" i="11" s="1"/>
  <c r="D153" i="11"/>
  <c r="AJ152" i="11"/>
  <c r="D152" i="11"/>
  <c r="AJ151" i="11"/>
  <c r="AK151" i="11" s="1"/>
  <c r="D151" i="11"/>
  <c r="AJ150" i="11"/>
  <c r="D150" i="11"/>
  <c r="AJ149" i="11"/>
  <c r="D149" i="11"/>
  <c r="AJ148" i="11"/>
  <c r="P148" i="11"/>
  <c r="D148" i="11"/>
  <c r="AJ147" i="11"/>
  <c r="P147" i="11"/>
  <c r="D147" i="11"/>
  <c r="AJ146" i="11"/>
  <c r="P146" i="11"/>
  <c r="D146" i="11"/>
  <c r="AJ145" i="11"/>
  <c r="AK145" i="11" s="1"/>
  <c r="D145" i="11"/>
  <c r="AJ144" i="11"/>
  <c r="D144" i="11"/>
  <c r="AJ143" i="11"/>
  <c r="P143" i="11"/>
  <c r="D143" i="11"/>
  <c r="AJ142" i="11"/>
  <c r="AK142" i="11" s="1"/>
  <c r="P142" i="11"/>
  <c r="D142" i="11"/>
  <c r="AJ141" i="11"/>
  <c r="AL141" i="11" s="1"/>
  <c r="P141" i="11"/>
  <c r="D141" i="11"/>
  <c r="AJ140" i="11"/>
  <c r="AK140" i="11" s="1"/>
  <c r="P140" i="11"/>
  <c r="D140" i="11"/>
  <c r="AJ139" i="11"/>
  <c r="AL139" i="11" s="1"/>
  <c r="P139" i="11"/>
  <c r="D139" i="11"/>
  <c r="AJ138" i="11"/>
  <c r="AK138" i="11" s="1"/>
  <c r="D138" i="11"/>
  <c r="AJ137" i="11"/>
  <c r="D137" i="11"/>
  <c r="AJ136" i="11"/>
  <c r="AL136" i="11" s="1"/>
  <c r="P136" i="11"/>
  <c r="D136" i="11"/>
  <c r="AJ135" i="11"/>
  <c r="AK135" i="11" s="1"/>
  <c r="P135" i="11"/>
  <c r="D135" i="11"/>
  <c r="AJ134" i="11"/>
  <c r="P134" i="11"/>
  <c r="D134" i="11"/>
  <c r="AJ133" i="11"/>
  <c r="AL133" i="11" s="1"/>
  <c r="P133" i="11"/>
  <c r="D133" i="11"/>
  <c r="AJ132" i="11"/>
  <c r="P132" i="11"/>
  <c r="D132" i="11"/>
  <c r="AJ131" i="11"/>
  <c r="D131" i="11"/>
  <c r="AJ130" i="11"/>
  <c r="P130" i="11"/>
  <c r="D130" i="11"/>
  <c r="AJ129" i="11"/>
  <c r="O129" i="11"/>
  <c r="P129" i="11" s="1"/>
  <c r="D129" i="11"/>
  <c r="AL128" i="11"/>
  <c r="AJ128" i="11"/>
  <c r="AK128" i="11" s="1"/>
  <c r="P128" i="11"/>
  <c r="D128" i="11"/>
  <c r="AJ127" i="11"/>
  <c r="AS127" i="11" s="1"/>
  <c r="D127" i="11"/>
  <c r="AJ126" i="11"/>
  <c r="D126" i="11"/>
  <c r="AJ125" i="11"/>
  <c r="AL125" i="11" s="1"/>
  <c r="P125" i="11"/>
  <c r="D125" i="11"/>
  <c r="AJ124" i="11"/>
  <c r="D124" i="11"/>
  <c r="AJ123" i="11"/>
  <c r="P123" i="11"/>
  <c r="D123" i="11"/>
  <c r="AJ122" i="11"/>
  <c r="AK122" i="11" s="1"/>
  <c r="R122" i="11"/>
  <c r="D122" i="11"/>
  <c r="AJ121" i="11"/>
  <c r="D121" i="11"/>
  <c r="AJ120" i="11"/>
  <c r="D120" i="11"/>
  <c r="AJ119" i="11"/>
  <c r="D119" i="11"/>
  <c r="AJ118" i="11"/>
  <c r="AK118" i="11" s="1"/>
  <c r="D118" i="11"/>
  <c r="AJ117" i="11"/>
  <c r="P117" i="11"/>
  <c r="D117" i="11"/>
  <c r="AJ116" i="11"/>
  <c r="P116" i="11"/>
  <c r="D116" i="11"/>
  <c r="AJ115" i="11"/>
  <c r="AK115" i="11" s="1"/>
  <c r="P115" i="11"/>
  <c r="D115" i="11"/>
  <c r="AJ114" i="11"/>
  <c r="P114" i="11"/>
  <c r="D114" i="11"/>
  <c r="AJ113" i="11"/>
  <c r="AK113" i="11" s="1"/>
  <c r="D113" i="11"/>
  <c r="AJ112" i="11"/>
  <c r="AS112" i="11" s="1"/>
  <c r="D112" i="11"/>
  <c r="AJ111" i="11"/>
  <c r="D111" i="11"/>
  <c r="AJ110" i="11"/>
  <c r="D110" i="11"/>
  <c r="AJ109" i="11"/>
  <c r="D109" i="11"/>
  <c r="AJ108" i="11"/>
  <c r="B108" i="11" s="1"/>
  <c r="D108" i="11"/>
  <c r="AJ107" i="11"/>
  <c r="AS107" i="11" s="1"/>
  <c r="D107" i="11"/>
  <c r="AJ106" i="11"/>
  <c r="D106" i="11"/>
  <c r="AJ105" i="11"/>
  <c r="D105" i="11"/>
  <c r="AJ104" i="11"/>
  <c r="AS104" i="11" s="1"/>
  <c r="D104" i="11"/>
  <c r="AJ103" i="11"/>
  <c r="D103" i="11"/>
  <c r="AJ102" i="11"/>
  <c r="D102" i="11"/>
  <c r="AJ101" i="11"/>
  <c r="D101" i="11"/>
  <c r="AJ100" i="11"/>
  <c r="AS100" i="11" s="1"/>
  <c r="D100" i="11"/>
  <c r="AJ99" i="11"/>
  <c r="AK99" i="11" s="1"/>
  <c r="D99" i="11"/>
  <c r="AJ98" i="11"/>
  <c r="D98" i="11"/>
  <c r="AJ97" i="11"/>
  <c r="AS97" i="11" s="1"/>
  <c r="D97" i="11"/>
  <c r="AJ96" i="11"/>
  <c r="D96" i="11"/>
  <c r="AJ95" i="11"/>
  <c r="D95" i="11"/>
  <c r="AJ94" i="11"/>
  <c r="D94" i="11"/>
  <c r="AJ93" i="11"/>
  <c r="AS93" i="11" s="1"/>
  <c r="O93" i="11"/>
  <c r="D93" i="11"/>
  <c r="AJ92" i="11"/>
  <c r="D92" i="11"/>
  <c r="AJ91" i="11"/>
  <c r="AS91" i="11" s="1"/>
  <c r="D91" i="11"/>
  <c r="AJ90" i="11"/>
  <c r="D90" i="11"/>
  <c r="AJ89" i="11"/>
  <c r="D89" i="11"/>
  <c r="AJ88" i="11"/>
  <c r="D88" i="11"/>
  <c r="AJ87" i="11"/>
  <c r="AS87" i="11" s="1"/>
  <c r="O87" i="11"/>
  <c r="D87" i="11"/>
  <c r="AJ86" i="11"/>
  <c r="AK86" i="11" s="1"/>
  <c r="O86" i="11"/>
  <c r="D86" i="11"/>
  <c r="AJ85" i="11"/>
  <c r="D85" i="11"/>
  <c r="AJ84" i="11"/>
  <c r="D84" i="11"/>
  <c r="AJ83" i="11"/>
  <c r="D83" i="11"/>
  <c r="AJ82" i="11"/>
  <c r="AS82" i="11" s="1"/>
  <c r="D82" i="11"/>
  <c r="AJ81" i="11"/>
  <c r="AK81" i="11" s="1"/>
  <c r="D81" i="11"/>
  <c r="AJ80" i="11"/>
  <c r="D80" i="11"/>
  <c r="AJ79" i="11"/>
  <c r="AK79" i="11" s="1"/>
  <c r="D79" i="11"/>
  <c r="AJ78" i="11"/>
  <c r="AS78" i="11" s="1"/>
  <c r="D78" i="11"/>
  <c r="AJ77" i="11"/>
  <c r="AK77" i="11" s="1"/>
  <c r="D77" i="11"/>
  <c r="AJ76" i="11"/>
  <c r="D76" i="11"/>
  <c r="AJ75" i="11"/>
  <c r="AK75" i="11" s="1"/>
  <c r="D75" i="11"/>
  <c r="AJ74" i="11"/>
  <c r="AS74" i="11" s="1"/>
  <c r="D74" i="11"/>
  <c r="AL73" i="11"/>
  <c r="AJ73" i="11"/>
  <c r="AK73" i="11" s="1"/>
  <c r="D73" i="11"/>
  <c r="AJ72" i="11"/>
  <c r="D72" i="11"/>
  <c r="AJ71" i="11"/>
  <c r="D71" i="11"/>
  <c r="AJ70" i="11"/>
  <c r="AS70" i="11" s="1"/>
  <c r="D70" i="11"/>
  <c r="AS69" i="11"/>
  <c r="AL69" i="11"/>
  <c r="AJ69" i="11"/>
  <c r="AK69" i="11" s="1"/>
  <c r="D69" i="11"/>
  <c r="AS68" i="11"/>
  <c r="AL68" i="11"/>
  <c r="AJ68" i="11"/>
  <c r="B68" i="11" s="1"/>
  <c r="D68" i="11"/>
  <c r="AJ67" i="11"/>
  <c r="AK67" i="11" s="1"/>
  <c r="D67" i="11"/>
  <c r="AJ66" i="11"/>
  <c r="AS66" i="11" s="1"/>
  <c r="D66" i="11"/>
  <c r="AJ65" i="11"/>
  <c r="D65" i="11"/>
  <c r="AJ64" i="11"/>
  <c r="O64" i="11"/>
  <c r="D64" i="11"/>
  <c r="AJ63" i="11"/>
  <c r="D63" i="11"/>
  <c r="AJ62" i="11"/>
  <c r="AS62" i="11" s="1"/>
  <c r="O62" i="11"/>
  <c r="D62" i="11"/>
  <c r="AJ61" i="11"/>
  <c r="AS61" i="11" s="1"/>
  <c r="D61" i="11"/>
  <c r="AJ60" i="11"/>
  <c r="AK60" i="11" s="1"/>
  <c r="D60" i="11"/>
  <c r="AJ59" i="11"/>
  <c r="D59" i="11"/>
  <c r="AJ58" i="11"/>
  <c r="D58" i="11"/>
  <c r="AJ57" i="11"/>
  <c r="D57" i="11"/>
  <c r="AJ20" i="11"/>
  <c r="D20" i="11"/>
  <c r="AJ19" i="11"/>
  <c r="AS19" i="11" s="1"/>
  <c r="D19" i="11"/>
  <c r="AS18" i="11"/>
  <c r="AL18" i="11"/>
  <c r="AJ18" i="11"/>
  <c r="D18" i="11"/>
  <c r="AJ17" i="11"/>
  <c r="AL17" i="11" s="1"/>
  <c r="D17" i="11"/>
  <c r="AJ16" i="11"/>
  <c r="AL16" i="11" s="1"/>
  <c r="O16" i="11"/>
  <c r="D16" i="11"/>
  <c r="AJ15" i="11"/>
  <c r="O15" i="11"/>
  <c r="D15" i="11"/>
  <c r="AJ14" i="11"/>
  <c r="D14" i="11"/>
  <c r="AJ13" i="11"/>
  <c r="B13" i="11" s="1"/>
  <c r="D13" i="11"/>
  <c r="AJ12" i="11"/>
  <c r="AK12" i="11" s="1"/>
  <c r="D12" i="11"/>
  <c r="AJ11" i="11"/>
  <c r="AS11" i="11" s="1"/>
  <c r="D11" i="11"/>
  <c r="AJ10" i="11"/>
  <c r="AL10" i="11" s="1"/>
  <c r="D10" i="11"/>
  <c r="AJ9" i="11"/>
  <c r="AL9" i="11" s="1"/>
  <c r="O9" i="11"/>
  <c r="D9" i="11"/>
  <c r="AJ8" i="11"/>
  <c r="B8" i="11" s="1"/>
  <c r="D8" i="11"/>
  <c r="AJ7" i="11"/>
  <c r="B7" i="11" s="1"/>
  <c r="D7" i="11"/>
  <c r="BF2" i="11"/>
  <c r="BG2" i="11" s="1"/>
  <c r="BH2" i="11" s="1"/>
  <c r="BI2" i="11" s="1"/>
  <c r="F589" i="10"/>
  <c r="C589" i="10"/>
  <c r="D589" i="10" s="1"/>
  <c r="E589" i="10" s="1"/>
  <c r="F588" i="10"/>
  <c r="C588" i="10"/>
  <c r="D588" i="10" s="1"/>
  <c r="E588" i="10" s="1"/>
  <c r="G588" i="10" s="1"/>
  <c r="F587" i="10"/>
  <c r="C587" i="10"/>
  <c r="F586" i="10"/>
  <c r="C586" i="10"/>
  <c r="D586" i="10" s="1"/>
  <c r="E586" i="10" s="1"/>
  <c r="F585" i="10"/>
  <c r="C585" i="10"/>
  <c r="D585" i="10" s="1"/>
  <c r="E585" i="10" s="1"/>
  <c r="F584" i="10"/>
  <c r="C584" i="10"/>
  <c r="F583" i="10"/>
  <c r="C583" i="10"/>
  <c r="F582" i="10"/>
  <c r="C582" i="10"/>
  <c r="D582" i="10" s="1"/>
  <c r="E582" i="10" s="1"/>
  <c r="F581" i="10"/>
  <c r="C581" i="10"/>
  <c r="D581" i="10" s="1"/>
  <c r="E581" i="10" s="1"/>
  <c r="F580" i="10"/>
  <c r="C580" i="10"/>
  <c r="D580" i="10" s="1"/>
  <c r="E580" i="10" s="1"/>
  <c r="F579" i="10"/>
  <c r="D579" i="10"/>
  <c r="E579" i="10" s="1"/>
  <c r="C579" i="10"/>
  <c r="F578" i="10"/>
  <c r="C578" i="10"/>
  <c r="D578" i="10" s="1"/>
  <c r="E578" i="10" s="1"/>
  <c r="F577" i="10"/>
  <c r="C577" i="10"/>
  <c r="D577" i="10" s="1"/>
  <c r="E577" i="10" s="1"/>
  <c r="F576" i="10"/>
  <c r="C576" i="10"/>
  <c r="D576" i="10" s="1"/>
  <c r="E576" i="10" s="1"/>
  <c r="F575" i="10"/>
  <c r="C575" i="10"/>
  <c r="D575" i="10" s="1"/>
  <c r="E575" i="10" s="1"/>
  <c r="F574" i="10"/>
  <c r="C574" i="10"/>
  <c r="D574" i="10" s="1"/>
  <c r="E574" i="10" s="1"/>
  <c r="F573" i="10"/>
  <c r="C573" i="10"/>
  <c r="D573" i="10" s="1"/>
  <c r="E573" i="10" s="1"/>
  <c r="F572" i="10"/>
  <c r="G572" i="10" s="1"/>
  <c r="C572" i="10"/>
  <c r="D572" i="10" s="1"/>
  <c r="E572" i="10" s="1"/>
  <c r="F571" i="10"/>
  <c r="C571" i="10"/>
  <c r="F570" i="10"/>
  <c r="C570" i="10"/>
  <c r="D570" i="10" s="1"/>
  <c r="E570" i="10" s="1"/>
  <c r="F569" i="10"/>
  <c r="C569" i="10"/>
  <c r="D569" i="10" s="1"/>
  <c r="E569" i="10" s="1"/>
  <c r="F568" i="10"/>
  <c r="C568" i="10"/>
  <c r="F567" i="10"/>
  <c r="D567" i="10"/>
  <c r="E567" i="10" s="1"/>
  <c r="C567" i="10"/>
  <c r="F566" i="10"/>
  <c r="C566" i="10"/>
  <c r="D566" i="10" s="1"/>
  <c r="E566" i="10" s="1"/>
  <c r="F565" i="10"/>
  <c r="C565" i="10"/>
  <c r="D565" i="10" s="1"/>
  <c r="E565" i="10" s="1"/>
  <c r="F564" i="10"/>
  <c r="C564" i="10"/>
  <c r="D564" i="10" s="1"/>
  <c r="E564" i="10" s="1"/>
  <c r="F563" i="10"/>
  <c r="D563" i="10"/>
  <c r="E563" i="10" s="1"/>
  <c r="C563" i="10"/>
  <c r="F562" i="10"/>
  <c r="C562" i="10"/>
  <c r="D562" i="10" s="1"/>
  <c r="E562" i="10" s="1"/>
  <c r="F561" i="10"/>
  <c r="C561" i="10"/>
  <c r="D561" i="10" s="1"/>
  <c r="E561" i="10" s="1"/>
  <c r="F560" i="10"/>
  <c r="C560" i="10"/>
  <c r="D560" i="10" s="1"/>
  <c r="E560" i="10" s="1"/>
  <c r="F559" i="10"/>
  <c r="C559" i="10"/>
  <c r="D559" i="10" s="1"/>
  <c r="E559" i="10" s="1"/>
  <c r="F558" i="10"/>
  <c r="C558" i="10"/>
  <c r="D558" i="10" s="1"/>
  <c r="E558" i="10" s="1"/>
  <c r="F556" i="10"/>
  <c r="C556" i="10"/>
  <c r="F555" i="10"/>
  <c r="D555" i="10"/>
  <c r="E555" i="10" s="1"/>
  <c r="C555" i="10"/>
  <c r="F554" i="10"/>
  <c r="C554" i="10"/>
  <c r="D554" i="10" s="1"/>
  <c r="E554" i="10" s="1"/>
  <c r="F553" i="10"/>
  <c r="C553" i="10"/>
  <c r="D553" i="10" s="1"/>
  <c r="E553" i="10" s="1"/>
  <c r="F551" i="10"/>
  <c r="D551" i="10"/>
  <c r="E551" i="10" s="1"/>
  <c r="C551" i="10"/>
  <c r="F550" i="10"/>
  <c r="C550" i="10"/>
  <c r="D550" i="10" s="1"/>
  <c r="E550" i="10" s="1"/>
  <c r="F549" i="10"/>
  <c r="C549" i="10"/>
  <c r="D549" i="10" s="1"/>
  <c r="E549" i="10" s="1"/>
  <c r="F548" i="10"/>
  <c r="C548" i="10"/>
  <c r="D548" i="10" s="1"/>
  <c r="E548" i="10" s="1"/>
  <c r="F546" i="10"/>
  <c r="C546" i="10"/>
  <c r="D546" i="10" s="1"/>
  <c r="E546" i="10" s="1"/>
  <c r="F545" i="10"/>
  <c r="C545" i="10"/>
  <c r="D545" i="10" s="1"/>
  <c r="E545" i="10" s="1"/>
  <c r="F544" i="10"/>
  <c r="C544" i="10"/>
  <c r="D544" i="10" s="1"/>
  <c r="E544" i="10" s="1"/>
  <c r="F543" i="10"/>
  <c r="C543" i="10"/>
  <c r="D543" i="10" s="1"/>
  <c r="E543" i="10" s="1"/>
  <c r="F542" i="10"/>
  <c r="C542" i="10"/>
  <c r="D542" i="10" s="1"/>
  <c r="E542" i="10" s="1"/>
  <c r="F541" i="10"/>
  <c r="C541" i="10"/>
  <c r="D541" i="10" s="1"/>
  <c r="E541" i="10" s="1"/>
  <c r="F540" i="10"/>
  <c r="C540" i="10"/>
  <c r="D540" i="10" s="1"/>
  <c r="E540" i="10" s="1"/>
  <c r="F539" i="10"/>
  <c r="D539" i="10"/>
  <c r="E539" i="10" s="1"/>
  <c r="C539" i="10"/>
  <c r="F538" i="10"/>
  <c r="C538" i="10"/>
  <c r="D538" i="10" s="1"/>
  <c r="E538" i="10" s="1"/>
  <c r="G536" i="10"/>
  <c r="F536" i="10"/>
  <c r="C536" i="10"/>
  <c r="D536" i="10" s="1"/>
  <c r="E536" i="10" s="1"/>
  <c r="F535" i="10"/>
  <c r="D535" i="10"/>
  <c r="E535" i="10" s="1"/>
  <c r="C535" i="10"/>
  <c r="F534" i="10"/>
  <c r="C534" i="10"/>
  <c r="D534" i="10" s="1"/>
  <c r="E534" i="10" s="1"/>
  <c r="F533" i="10"/>
  <c r="C533" i="10"/>
  <c r="D533" i="10" s="1"/>
  <c r="E533" i="10" s="1"/>
  <c r="F532" i="10"/>
  <c r="C532" i="10"/>
  <c r="D532" i="10" s="1"/>
  <c r="E532" i="10" s="1"/>
  <c r="F531" i="10"/>
  <c r="C531" i="10"/>
  <c r="D531" i="10" s="1"/>
  <c r="E531" i="10" s="1"/>
  <c r="F530" i="10"/>
  <c r="E530" i="10"/>
  <c r="C530" i="10"/>
  <c r="D530" i="10" s="1"/>
  <c r="F529" i="10"/>
  <c r="C529" i="10"/>
  <c r="D529" i="10" s="1"/>
  <c r="E529" i="10" s="1"/>
  <c r="F528" i="10"/>
  <c r="C528" i="10"/>
  <c r="F526" i="10"/>
  <c r="C526" i="10"/>
  <c r="D526" i="10" s="1"/>
  <c r="E526" i="10" s="1"/>
  <c r="F525" i="10"/>
  <c r="C525" i="10"/>
  <c r="D525" i="10" s="1"/>
  <c r="E525" i="10" s="1"/>
  <c r="F524" i="10"/>
  <c r="C524" i="10"/>
  <c r="F523" i="10"/>
  <c r="D523" i="10"/>
  <c r="E523" i="10" s="1"/>
  <c r="C523" i="10"/>
  <c r="F522" i="10"/>
  <c r="C522" i="10"/>
  <c r="D522" i="10" s="1"/>
  <c r="E522" i="10" s="1"/>
  <c r="F521" i="10"/>
  <c r="C521" i="10"/>
  <c r="F520" i="10"/>
  <c r="C520" i="10"/>
  <c r="AJ384" i="10"/>
  <c r="AS384" i="10" s="1"/>
  <c r="O384" i="10"/>
  <c r="D384" i="10"/>
  <c r="AJ383" i="10"/>
  <c r="AK383" i="10" s="1"/>
  <c r="O383" i="10"/>
  <c r="D383" i="10"/>
  <c r="AJ382" i="10"/>
  <c r="O382" i="10"/>
  <c r="D382" i="10"/>
  <c r="AJ381" i="10"/>
  <c r="O381" i="10"/>
  <c r="D381" i="10"/>
  <c r="AJ380" i="10"/>
  <c r="O380" i="10"/>
  <c r="D380" i="10"/>
  <c r="AJ379" i="10"/>
  <c r="AK379" i="10" s="1"/>
  <c r="O379" i="10"/>
  <c r="D379" i="10"/>
  <c r="AJ378" i="10"/>
  <c r="AS378" i="10" s="1"/>
  <c r="O378" i="10"/>
  <c r="D378" i="10"/>
  <c r="AJ377" i="10"/>
  <c r="O377" i="10"/>
  <c r="D377" i="10"/>
  <c r="AJ376" i="10"/>
  <c r="O376" i="10"/>
  <c r="D376" i="10"/>
  <c r="AJ375" i="10"/>
  <c r="O375" i="10"/>
  <c r="D375" i="10"/>
  <c r="AJ374" i="10"/>
  <c r="AK374" i="10" s="1"/>
  <c r="O374" i="10"/>
  <c r="D374" i="10"/>
  <c r="AJ373" i="10"/>
  <c r="D373" i="10"/>
  <c r="AJ372" i="10"/>
  <c r="AK372" i="10" s="1"/>
  <c r="O372" i="10"/>
  <c r="D372" i="10"/>
  <c r="AJ371" i="10"/>
  <c r="O371" i="10"/>
  <c r="D371" i="10"/>
  <c r="AJ370" i="10"/>
  <c r="O370" i="10"/>
  <c r="D370" i="10"/>
  <c r="AJ369" i="10"/>
  <c r="O369" i="10"/>
  <c r="D369" i="10"/>
  <c r="AJ368" i="10"/>
  <c r="O368" i="10"/>
  <c r="D368" i="10"/>
  <c r="AJ367" i="10"/>
  <c r="AS367" i="10" s="1"/>
  <c r="O367" i="10"/>
  <c r="D367" i="10"/>
  <c r="AJ366" i="10"/>
  <c r="O366" i="10"/>
  <c r="D366" i="10"/>
  <c r="AJ365" i="10"/>
  <c r="AS365" i="10" s="1"/>
  <c r="O365" i="10"/>
  <c r="D365" i="10"/>
  <c r="AJ364" i="10"/>
  <c r="O364" i="10"/>
  <c r="D364" i="10"/>
  <c r="AJ363" i="10"/>
  <c r="O363" i="10"/>
  <c r="D363" i="10"/>
  <c r="AJ362" i="10"/>
  <c r="AK362" i="10" s="1"/>
  <c r="D362" i="10"/>
  <c r="AJ361" i="10"/>
  <c r="AK361" i="10" s="1"/>
  <c r="O361" i="10"/>
  <c r="D361" i="10"/>
  <c r="AJ360" i="10"/>
  <c r="AK360" i="10" s="1"/>
  <c r="Q360" i="10"/>
  <c r="D360" i="10" s="1"/>
  <c r="O360" i="10"/>
  <c r="AS359" i="10"/>
  <c r="AR359" i="10"/>
  <c r="AP359" i="10"/>
  <c r="AL359" i="10"/>
  <c r="AJ359" i="10"/>
  <c r="AK359" i="10" s="1"/>
  <c r="Q359" i="10"/>
  <c r="D359" i="10" s="1"/>
  <c r="O359" i="10"/>
  <c r="N359" i="10"/>
  <c r="AJ358" i="10"/>
  <c r="O358" i="10"/>
  <c r="D358" i="10"/>
  <c r="AJ357" i="10"/>
  <c r="AK357" i="10" s="1"/>
  <c r="D357" i="10"/>
  <c r="AJ356" i="10"/>
  <c r="AK356" i="10" s="1"/>
  <c r="R356" i="10"/>
  <c r="O356" i="10"/>
  <c r="D356" i="10"/>
  <c r="AJ355" i="10"/>
  <c r="B355" i="10" s="1"/>
  <c r="R355" i="10"/>
  <c r="O355" i="10"/>
  <c r="D355" i="10"/>
  <c r="AJ354" i="10"/>
  <c r="AL354" i="10" s="1"/>
  <c r="R354" i="10"/>
  <c r="O354" i="10"/>
  <c r="D354" i="10"/>
  <c r="AJ353" i="10"/>
  <c r="B353" i="10" s="1"/>
  <c r="R353" i="10"/>
  <c r="O353" i="10"/>
  <c r="D353" i="10"/>
  <c r="AJ352" i="10"/>
  <c r="AK352" i="10" s="1"/>
  <c r="R352" i="10"/>
  <c r="O352" i="10"/>
  <c r="D352" i="10"/>
  <c r="AJ351" i="10"/>
  <c r="B351" i="10" s="1"/>
  <c r="R351" i="10"/>
  <c r="O351" i="10"/>
  <c r="D351" i="10"/>
  <c r="AJ350" i="10"/>
  <c r="AS350" i="10" s="1"/>
  <c r="R350" i="10"/>
  <c r="D350" i="10"/>
  <c r="AJ349" i="10"/>
  <c r="R349" i="10"/>
  <c r="O349" i="10"/>
  <c r="D349" i="10"/>
  <c r="AJ348" i="10"/>
  <c r="AS348" i="10" s="1"/>
  <c r="R348" i="10"/>
  <c r="O348" i="10"/>
  <c r="D348" i="10"/>
  <c r="AJ347" i="10"/>
  <c r="B347" i="10" s="1"/>
  <c r="R347" i="10"/>
  <c r="O347" i="10"/>
  <c r="D347" i="10"/>
  <c r="AJ346" i="10"/>
  <c r="B346" i="10" s="1"/>
  <c r="R346" i="10"/>
  <c r="O346" i="10"/>
  <c r="D346" i="10"/>
  <c r="AJ345" i="10"/>
  <c r="R345" i="10"/>
  <c r="O345" i="10"/>
  <c r="D345" i="10"/>
  <c r="AJ344" i="10"/>
  <c r="R344" i="10"/>
  <c r="O344" i="10"/>
  <c r="D344" i="10"/>
  <c r="AJ343" i="10"/>
  <c r="B343" i="10" s="1"/>
  <c r="R343" i="10"/>
  <c r="O343" i="10"/>
  <c r="D343" i="10"/>
  <c r="AJ342" i="10"/>
  <c r="B342" i="10" s="1"/>
  <c r="R342" i="10"/>
  <c r="O342" i="10"/>
  <c r="D342" i="10"/>
  <c r="AJ341" i="10"/>
  <c r="AK341" i="10" s="1"/>
  <c r="R341" i="10"/>
  <c r="O341" i="10"/>
  <c r="D341" i="10"/>
  <c r="AJ340" i="10"/>
  <c r="R340" i="10"/>
  <c r="D340" i="10"/>
  <c r="AJ339" i="10"/>
  <c r="AK339" i="10" s="1"/>
  <c r="O339" i="10"/>
  <c r="D339" i="10"/>
  <c r="AJ338" i="10"/>
  <c r="O338" i="10"/>
  <c r="D338" i="10"/>
  <c r="AJ337" i="10"/>
  <c r="O337" i="10"/>
  <c r="D337" i="10"/>
  <c r="AJ336" i="10"/>
  <c r="AK336" i="10" s="1"/>
  <c r="O336" i="10"/>
  <c r="D336" i="10"/>
  <c r="AJ335" i="10"/>
  <c r="O335" i="10"/>
  <c r="D335" i="10"/>
  <c r="AJ334" i="10"/>
  <c r="O334" i="10"/>
  <c r="D334" i="10"/>
  <c r="AJ333" i="10"/>
  <c r="AS333" i="10" s="1"/>
  <c r="O333" i="10"/>
  <c r="D333" i="10"/>
  <c r="AJ332" i="10"/>
  <c r="R332" i="10"/>
  <c r="D332" i="10"/>
  <c r="AJ331" i="10"/>
  <c r="AS331" i="10" s="1"/>
  <c r="O331" i="10"/>
  <c r="D331" i="10"/>
  <c r="AJ330" i="10"/>
  <c r="O330" i="10"/>
  <c r="D330" i="10"/>
  <c r="AJ329" i="10"/>
  <c r="AK329" i="10" s="1"/>
  <c r="O329" i="10"/>
  <c r="D329" i="10"/>
  <c r="AJ328" i="10"/>
  <c r="O328" i="10"/>
  <c r="D328" i="10"/>
  <c r="AJ327" i="10"/>
  <c r="D327" i="10"/>
  <c r="AJ326" i="10"/>
  <c r="D326" i="10"/>
  <c r="AJ325" i="10"/>
  <c r="D325" i="10"/>
  <c r="AJ324" i="10"/>
  <c r="AS324" i="10" s="1"/>
  <c r="O324" i="10"/>
  <c r="D324" i="10"/>
  <c r="AJ323" i="10"/>
  <c r="O323" i="10"/>
  <c r="D323" i="10"/>
  <c r="AJ322" i="10"/>
  <c r="AS322" i="10" s="1"/>
  <c r="D322" i="10"/>
  <c r="AJ321" i="10"/>
  <c r="O321" i="10"/>
  <c r="D321" i="10"/>
  <c r="AJ320" i="10"/>
  <c r="AK320" i="10" s="1"/>
  <c r="O320" i="10"/>
  <c r="D320" i="10"/>
  <c r="AJ319" i="10"/>
  <c r="AS319" i="10" s="1"/>
  <c r="O319" i="10"/>
  <c r="D319" i="10"/>
  <c r="AJ318" i="10"/>
  <c r="O318" i="10"/>
  <c r="D318" i="10"/>
  <c r="AJ317" i="10"/>
  <c r="AS317" i="10" s="1"/>
  <c r="O317" i="10"/>
  <c r="D317" i="10"/>
  <c r="AJ316" i="10"/>
  <c r="D316" i="10"/>
  <c r="AJ315" i="10"/>
  <c r="AK315" i="10" s="1"/>
  <c r="D315" i="10"/>
  <c r="AJ314" i="10"/>
  <c r="AL314" i="10" s="1"/>
  <c r="O314" i="10"/>
  <c r="D314" i="10"/>
  <c r="AJ313" i="10"/>
  <c r="AS313" i="10" s="1"/>
  <c r="O313" i="10"/>
  <c r="D313" i="10"/>
  <c r="AJ312" i="10"/>
  <c r="O312" i="10"/>
  <c r="D312" i="10"/>
  <c r="AJ311" i="10"/>
  <c r="AS311" i="10" s="1"/>
  <c r="O311" i="10"/>
  <c r="D311" i="10"/>
  <c r="AJ310" i="10"/>
  <c r="AK310" i="10" s="1"/>
  <c r="O310" i="10"/>
  <c r="D310" i="10"/>
  <c r="AJ309" i="10"/>
  <c r="O309" i="10"/>
  <c r="D309" i="10"/>
  <c r="AJ308" i="10"/>
  <c r="AK308" i="10" s="1"/>
  <c r="O308" i="10"/>
  <c r="D308" i="10"/>
  <c r="AJ307" i="10"/>
  <c r="O307" i="10"/>
  <c r="D307" i="10"/>
  <c r="AJ306" i="10"/>
  <c r="AK306" i="10" s="1"/>
  <c r="O306" i="10"/>
  <c r="D306" i="10"/>
  <c r="AJ305" i="10"/>
  <c r="AL305" i="10" s="1"/>
  <c r="O305" i="10"/>
  <c r="D305" i="10"/>
  <c r="AJ304" i="10"/>
  <c r="O304" i="10"/>
  <c r="D304" i="10"/>
  <c r="AJ303" i="10"/>
  <c r="O303" i="10"/>
  <c r="D303" i="10"/>
  <c r="AJ302" i="10"/>
  <c r="AK302" i="10" s="1"/>
  <c r="D302" i="10"/>
  <c r="AJ301" i="10"/>
  <c r="AS301" i="10" s="1"/>
  <c r="O301" i="10"/>
  <c r="D301" i="10"/>
  <c r="AJ300" i="10"/>
  <c r="O300" i="10"/>
  <c r="D300" i="10"/>
  <c r="AJ299" i="10"/>
  <c r="AL299" i="10" s="1"/>
  <c r="O299" i="10"/>
  <c r="D299" i="10"/>
  <c r="AJ298" i="10"/>
  <c r="AL298" i="10" s="1"/>
  <c r="D298" i="10"/>
  <c r="AJ297" i="10"/>
  <c r="AL297" i="10" s="1"/>
  <c r="O297" i="10"/>
  <c r="D297" i="10"/>
  <c r="AS296" i="10"/>
  <c r="AL296" i="10"/>
  <c r="AJ296" i="10"/>
  <c r="O296" i="10"/>
  <c r="D296" i="10"/>
  <c r="AJ295" i="10"/>
  <c r="AL295" i="10" s="1"/>
  <c r="O295" i="10"/>
  <c r="D295" i="10"/>
  <c r="AJ294" i="10"/>
  <c r="AS294" i="10" s="1"/>
  <c r="D294" i="10"/>
  <c r="AS293" i="10"/>
  <c r="AL293" i="10"/>
  <c r="AJ293" i="10"/>
  <c r="AK293" i="10" s="1"/>
  <c r="O293" i="10"/>
  <c r="D293" i="10"/>
  <c r="AS292" i="10"/>
  <c r="AL292" i="10"/>
  <c r="AJ292" i="10"/>
  <c r="O292" i="10"/>
  <c r="D292" i="10"/>
  <c r="AS291" i="10"/>
  <c r="AL291" i="10"/>
  <c r="AJ291" i="10"/>
  <c r="AK291" i="10" s="1"/>
  <c r="O291" i="10"/>
  <c r="D291" i="10"/>
  <c r="AS290" i="10"/>
  <c r="AL290" i="10"/>
  <c r="AJ290" i="10"/>
  <c r="O290" i="10"/>
  <c r="D290" i="10"/>
  <c r="AS289" i="10"/>
  <c r="AL289" i="10"/>
  <c r="AJ289" i="10"/>
  <c r="AK289" i="10" s="1"/>
  <c r="O289" i="10"/>
  <c r="D289" i="10"/>
  <c r="AS288" i="10"/>
  <c r="AL288" i="10"/>
  <c r="AJ288" i="10"/>
  <c r="O288" i="10"/>
  <c r="D288" i="10"/>
  <c r="AS287" i="10"/>
  <c r="AL287" i="10"/>
  <c r="AJ287" i="10"/>
  <c r="AK287" i="10" s="1"/>
  <c r="O287" i="10"/>
  <c r="D287" i="10"/>
  <c r="AS286" i="10"/>
  <c r="AL286" i="10"/>
  <c r="AJ286" i="10"/>
  <c r="B286" i="10" s="1"/>
  <c r="O286" i="10"/>
  <c r="D286" i="10"/>
  <c r="AS285" i="10"/>
  <c r="AL285" i="10"/>
  <c r="AJ285" i="10"/>
  <c r="O285" i="10"/>
  <c r="D285" i="10"/>
  <c r="AJ284" i="10"/>
  <c r="AS284" i="10" s="1"/>
  <c r="O284" i="10"/>
  <c r="D284" i="10"/>
  <c r="AJ283" i="10"/>
  <c r="AS283" i="10" s="1"/>
  <c r="O283" i="10"/>
  <c r="D283" i="10"/>
  <c r="AJ282" i="10"/>
  <c r="AL282" i="10" s="1"/>
  <c r="O282" i="10"/>
  <c r="D282" i="10"/>
  <c r="AJ281" i="10"/>
  <c r="B281" i="10" s="1"/>
  <c r="O281" i="10"/>
  <c r="D281" i="10"/>
  <c r="AJ280" i="10"/>
  <c r="O280" i="10"/>
  <c r="D280" i="10"/>
  <c r="AJ279" i="10"/>
  <c r="AS279" i="10" s="1"/>
  <c r="O279" i="10"/>
  <c r="D279" i="10"/>
  <c r="AJ278" i="10"/>
  <c r="AL278" i="10" s="1"/>
  <c r="O278" i="10"/>
  <c r="D278" i="10"/>
  <c r="AJ277" i="10"/>
  <c r="O277" i="10"/>
  <c r="D277" i="10"/>
  <c r="AJ276" i="10"/>
  <c r="O276" i="10"/>
  <c r="D276" i="10"/>
  <c r="AJ275" i="10"/>
  <c r="O275" i="10"/>
  <c r="D275" i="10"/>
  <c r="AJ274" i="10"/>
  <c r="O274" i="10"/>
  <c r="D274" i="10"/>
  <c r="AJ273" i="10"/>
  <c r="D273" i="10"/>
  <c r="AJ272" i="10"/>
  <c r="AS272" i="10" s="1"/>
  <c r="O272" i="10"/>
  <c r="D272" i="10"/>
  <c r="AJ271" i="10"/>
  <c r="AL271" i="10" s="1"/>
  <c r="D271" i="10"/>
  <c r="AJ270" i="10"/>
  <c r="AS270" i="10" s="1"/>
  <c r="D270" i="10"/>
  <c r="AJ269" i="10"/>
  <c r="AL269" i="10" s="1"/>
  <c r="D269" i="10"/>
  <c r="AJ268" i="10"/>
  <c r="D268" i="10"/>
  <c r="AJ267" i="10"/>
  <c r="AL267" i="10" s="1"/>
  <c r="D267" i="10"/>
  <c r="AJ266" i="10"/>
  <c r="O266" i="10"/>
  <c r="D266" i="10"/>
  <c r="AJ265" i="10"/>
  <c r="D265" i="10"/>
  <c r="AJ264" i="10"/>
  <c r="B264" i="10" s="1"/>
  <c r="D264" i="10"/>
  <c r="AJ263" i="10"/>
  <c r="AL263" i="10" s="1"/>
  <c r="D263" i="10"/>
  <c r="AJ262" i="10"/>
  <c r="B262" i="10" s="1"/>
  <c r="D262" i="10"/>
  <c r="AJ261" i="10"/>
  <c r="B261" i="10" s="1"/>
  <c r="D261" i="10"/>
  <c r="AJ260" i="10"/>
  <c r="AK260" i="10" s="1"/>
  <c r="O260" i="10"/>
  <c r="D260" i="10"/>
  <c r="AJ259" i="10"/>
  <c r="AK259" i="10" s="1"/>
  <c r="O259" i="10"/>
  <c r="D259" i="10"/>
  <c r="AJ258" i="10"/>
  <c r="D258" i="10"/>
  <c r="AJ257" i="10"/>
  <c r="D257" i="10"/>
  <c r="AJ256" i="10"/>
  <c r="D256" i="10"/>
  <c r="AJ255" i="10"/>
  <c r="D255" i="10"/>
  <c r="AJ254" i="10"/>
  <c r="O254" i="10"/>
  <c r="D254" i="10"/>
  <c r="AJ253" i="10"/>
  <c r="D253" i="10"/>
  <c r="AJ252" i="10"/>
  <c r="B252" i="10" s="1"/>
  <c r="D252" i="10"/>
  <c r="AJ251" i="10"/>
  <c r="O251" i="10"/>
  <c r="D251" i="10"/>
  <c r="AJ250" i="10"/>
  <c r="B250" i="10" s="1"/>
  <c r="D250" i="10"/>
  <c r="AJ249" i="10"/>
  <c r="B249" i="10" s="1"/>
  <c r="D249" i="10"/>
  <c r="AJ248" i="10"/>
  <c r="AK248" i="10" s="1"/>
  <c r="O248" i="10"/>
  <c r="D248" i="10"/>
  <c r="D247" i="10"/>
  <c r="B247" i="10"/>
  <c r="AJ246" i="10"/>
  <c r="D246" i="10"/>
  <c r="AJ245" i="10"/>
  <c r="B245" i="10" s="1"/>
  <c r="D245" i="10"/>
  <c r="AJ244" i="10"/>
  <c r="D244" i="10"/>
  <c r="AJ243" i="10"/>
  <c r="B243" i="10" s="1"/>
  <c r="D243" i="10"/>
  <c r="O238" i="10"/>
  <c r="AL237" i="10"/>
  <c r="AJ237" i="10"/>
  <c r="AS237" i="10" s="1"/>
  <c r="D237" i="10"/>
  <c r="AL233" i="10"/>
  <c r="AJ233" i="10"/>
  <c r="AK233" i="10" s="1"/>
  <c r="D233" i="10"/>
  <c r="AL232" i="10"/>
  <c r="AJ232" i="10"/>
  <c r="AS232" i="10" s="1"/>
  <c r="O232" i="10"/>
  <c r="D232" i="10"/>
  <c r="AL231" i="10"/>
  <c r="AJ231" i="10"/>
  <c r="AS231" i="10" s="1"/>
  <c r="D231" i="10"/>
  <c r="AL230" i="10"/>
  <c r="AJ230" i="10"/>
  <c r="O230" i="10"/>
  <c r="D230" i="10"/>
  <c r="AL229" i="10"/>
  <c r="AJ229" i="10"/>
  <c r="O229" i="10"/>
  <c r="D229" i="10"/>
  <c r="AJ228" i="10"/>
  <c r="AS228" i="10" s="1"/>
  <c r="D228" i="10"/>
  <c r="AJ227" i="10"/>
  <c r="O227" i="10"/>
  <c r="D227" i="10"/>
  <c r="AL226" i="10"/>
  <c r="AJ226" i="10"/>
  <c r="D226" i="10"/>
  <c r="AL225" i="10"/>
  <c r="AJ225" i="10"/>
  <c r="AK225" i="10" s="1"/>
  <c r="D225" i="10"/>
  <c r="AL224" i="10"/>
  <c r="AJ224" i="10"/>
  <c r="AK224" i="10" s="1"/>
  <c r="D224" i="10"/>
  <c r="AL223" i="10"/>
  <c r="AJ223" i="10"/>
  <c r="AK223" i="10" s="1"/>
  <c r="O223" i="10"/>
  <c r="D223" i="10"/>
  <c r="AL219" i="10"/>
  <c r="AJ219" i="10"/>
  <c r="AK219" i="10" s="1"/>
  <c r="D219" i="10"/>
  <c r="AL218" i="10"/>
  <c r="AJ218" i="10"/>
  <c r="D218" i="10"/>
  <c r="AL217" i="10"/>
  <c r="AJ217" i="10"/>
  <c r="AK217" i="10" s="1"/>
  <c r="O217" i="10"/>
  <c r="D217" i="10"/>
  <c r="AL216" i="10"/>
  <c r="AJ216" i="10"/>
  <c r="B216" i="10" s="1"/>
  <c r="D216" i="10"/>
  <c r="AL215" i="10"/>
  <c r="AJ215" i="10"/>
  <c r="AS215" i="10" s="1"/>
  <c r="O215" i="10"/>
  <c r="D215" i="10"/>
  <c r="AL214" i="10"/>
  <c r="AJ214" i="10"/>
  <c r="D214" i="10"/>
  <c r="AL213" i="10"/>
  <c r="AJ213" i="10"/>
  <c r="D213" i="10"/>
  <c r="O210" i="10"/>
  <c r="AL209" i="10"/>
  <c r="AJ209" i="10"/>
  <c r="AS209" i="10" s="1"/>
  <c r="D209" i="10"/>
  <c r="AJ205" i="10"/>
  <c r="B205" i="10" s="1"/>
  <c r="D205" i="10"/>
  <c r="AJ204" i="10"/>
  <c r="AK204" i="10" s="1"/>
  <c r="D204" i="10"/>
  <c r="AJ203" i="10"/>
  <c r="B203" i="10" s="1"/>
  <c r="D203" i="10"/>
  <c r="AJ202" i="10"/>
  <c r="O202" i="10"/>
  <c r="D202" i="10"/>
  <c r="AJ201" i="10"/>
  <c r="AS201" i="10" s="1"/>
  <c r="D201" i="10"/>
  <c r="AJ200" i="10"/>
  <c r="AL200" i="10" s="1"/>
  <c r="O200" i="10"/>
  <c r="D200" i="10"/>
  <c r="AJ199" i="10"/>
  <c r="D199" i="10"/>
  <c r="AJ198" i="10"/>
  <c r="O198" i="10"/>
  <c r="D198" i="10"/>
  <c r="AJ197" i="10"/>
  <c r="B197" i="10" s="1"/>
  <c r="D197" i="10"/>
  <c r="AJ196" i="10"/>
  <c r="AS196" i="10" s="1"/>
  <c r="O196" i="10"/>
  <c r="D196" i="10"/>
  <c r="AJ195" i="10"/>
  <c r="AK195" i="10" s="1"/>
  <c r="D195" i="10"/>
  <c r="AJ194" i="10"/>
  <c r="O194" i="10"/>
  <c r="D194" i="10"/>
  <c r="AJ193" i="10"/>
  <c r="D193" i="10"/>
  <c r="AJ192" i="10"/>
  <c r="AL192" i="10" s="1"/>
  <c r="O192" i="10"/>
  <c r="D192" i="10"/>
  <c r="AJ191" i="10"/>
  <c r="AK191" i="10" s="1"/>
  <c r="D191" i="10"/>
  <c r="AJ190" i="10"/>
  <c r="AK190" i="10" s="1"/>
  <c r="O190" i="10"/>
  <c r="D190" i="10"/>
  <c r="AJ189" i="10"/>
  <c r="B189" i="10" s="1"/>
  <c r="D189" i="10"/>
  <c r="AJ188" i="10"/>
  <c r="O188" i="10"/>
  <c r="D188" i="10"/>
  <c r="AJ187" i="10"/>
  <c r="D187" i="10"/>
  <c r="AJ186" i="10"/>
  <c r="B186" i="10" s="1"/>
  <c r="O186" i="10"/>
  <c r="D186" i="10"/>
  <c r="AJ185" i="10"/>
  <c r="AS185" i="10" s="1"/>
  <c r="D185" i="10"/>
  <c r="AJ184" i="10"/>
  <c r="O184" i="10"/>
  <c r="D184" i="10"/>
  <c r="AJ183" i="10"/>
  <c r="D183" i="10"/>
  <c r="AJ179" i="10"/>
  <c r="D179" i="10"/>
  <c r="AJ178" i="10"/>
  <c r="AK178" i="10" s="1"/>
  <c r="D178" i="10"/>
  <c r="AJ177" i="10"/>
  <c r="AS177" i="10" s="1"/>
  <c r="D177" i="10"/>
  <c r="AJ176" i="10"/>
  <c r="O176" i="10"/>
  <c r="D176" i="10"/>
  <c r="AJ175" i="10"/>
  <c r="D175" i="10"/>
  <c r="AJ174" i="10"/>
  <c r="O174" i="10"/>
  <c r="D174" i="10"/>
  <c r="AJ173" i="10"/>
  <c r="AS173" i="10" s="1"/>
  <c r="D173" i="10"/>
  <c r="AJ172" i="10"/>
  <c r="AS172" i="10" s="1"/>
  <c r="O172" i="10"/>
  <c r="D172" i="10"/>
  <c r="AJ171" i="10"/>
  <c r="D171" i="10"/>
  <c r="AJ170" i="10"/>
  <c r="O170" i="10"/>
  <c r="D170" i="10"/>
  <c r="AJ169" i="10"/>
  <c r="D169" i="10"/>
  <c r="AJ168" i="10"/>
  <c r="AL168" i="10" s="1"/>
  <c r="O168" i="10"/>
  <c r="D168" i="10"/>
  <c r="AJ167" i="10"/>
  <c r="AK167" i="10" s="1"/>
  <c r="D167" i="10"/>
  <c r="AJ166" i="10"/>
  <c r="O166" i="10"/>
  <c r="D166" i="10"/>
  <c r="AJ165" i="10"/>
  <c r="D165" i="10"/>
  <c r="AJ164" i="10"/>
  <c r="O164" i="10"/>
  <c r="D164" i="10"/>
  <c r="AJ163" i="10"/>
  <c r="D163" i="10"/>
  <c r="AJ162" i="10"/>
  <c r="O162" i="10"/>
  <c r="D162" i="10"/>
  <c r="AJ161" i="10"/>
  <c r="AS161" i="10" s="1"/>
  <c r="D161" i="10"/>
  <c r="AJ160" i="10"/>
  <c r="AK160" i="10" s="1"/>
  <c r="D160" i="10"/>
  <c r="AJ159" i="10"/>
  <c r="AS159" i="10" s="1"/>
  <c r="O159" i="10"/>
  <c r="D159" i="10"/>
  <c r="AJ158" i="10"/>
  <c r="AL158" i="10" s="1"/>
  <c r="D158" i="10"/>
  <c r="AJ157" i="10"/>
  <c r="O157" i="10"/>
  <c r="D157" i="10"/>
  <c r="AJ156" i="10"/>
  <c r="D156" i="10"/>
  <c r="AJ149" i="10"/>
  <c r="AK149" i="10" s="1"/>
  <c r="D149" i="10"/>
  <c r="AJ148" i="10"/>
  <c r="D148" i="10"/>
  <c r="AJ147" i="10"/>
  <c r="AL147" i="10" s="1"/>
  <c r="O147" i="10"/>
  <c r="D147" i="10"/>
  <c r="AJ146" i="10"/>
  <c r="AK146" i="10" s="1"/>
  <c r="D146" i="10"/>
  <c r="AJ145" i="10"/>
  <c r="D145" i="10"/>
  <c r="AJ144" i="10"/>
  <c r="O144" i="10"/>
  <c r="D144" i="10"/>
  <c r="AJ140" i="10"/>
  <c r="B140" i="10" s="1"/>
  <c r="D140" i="10"/>
  <c r="AJ139" i="10"/>
  <c r="O139" i="10"/>
  <c r="D139" i="10"/>
  <c r="AJ138" i="10"/>
  <c r="AL138" i="10" s="1"/>
  <c r="O138" i="10"/>
  <c r="D138" i="10"/>
  <c r="AJ137" i="10"/>
  <c r="AS137" i="10" s="1"/>
  <c r="D137" i="10"/>
  <c r="O134" i="10"/>
  <c r="AL133" i="10"/>
  <c r="AJ133" i="10"/>
  <c r="B133" i="10" s="1"/>
  <c r="D133" i="10"/>
  <c r="AJ132" i="10"/>
  <c r="AK132" i="10" s="1"/>
  <c r="D132" i="10"/>
  <c r="AJ131" i="10"/>
  <c r="AK131" i="10" s="1"/>
  <c r="D131" i="10"/>
  <c r="D130" i="10"/>
  <c r="D129" i="10"/>
  <c r="D128" i="10"/>
  <c r="D127" i="10"/>
  <c r="D126" i="10"/>
  <c r="D125" i="10"/>
  <c r="O122" i="10"/>
  <c r="AJ121" i="10"/>
  <c r="B121" i="10" s="1"/>
  <c r="D121" i="10"/>
  <c r="AJ120" i="10"/>
  <c r="AK120" i="10" s="1"/>
  <c r="D120" i="10"/>
  <c r="AJ119" i="10"/>
  <c r="AK119" i="10" s="1"/>
  <c r="D119" i="10"/>
  <c r="AJ118" i="10"/>
  <c r="AK118" i="10" s="1"/>
  <c r="D118" i="10"/>
  <c r="AJ117" i="10"/>
  <c r="AK117" i="10" s="1"/>
  <c r="D117" i="10"/>
  <c r="AJ116" i="10"/>
  <c r="AK116" i="10" s="1"/>
  <c r="D116" i="10"/>
  <c r="AJ115" i="10"/>
  <c r="AK115" i="10" s="1"/>
  <c r="D115" i="10"/>
  <c r="AJ114" i="10"/>
  <c r="AK114" i="10" s="1"/>
  <c r="D114" i="10"/>
  <c r="AJ113" i="10"/>
  <c r="AK113" i="10" s="1"/>
  <c r="D113" i="10"/>
  <c r="AJ112" i="10"/>
  <c r="AK112" i="10" s="1"/>
  <c r="D112" i="10"/>
  <c r="AJ111" i="10"/>
  <c r="AK111" i="10" s="1"/>
  <c r="D111" i="10"/>
  <c r="AJ110" i="10"/>
  <c r="D110" i="10"/>
  <c r="AJ109" i="10"/>
  <c r="AK109" i="10" s="1"/>
  <c r="D109" i="10"/>
  <c r="AJ108" i="10"/>
  <c r="D108" i="10"/>
  <c r="AJ107" i="10"/>
  <c r="AK107" i="10" s="1"/>
  <c r="D107" i="10"/>
  <c r="AJ106" i="10"/>
  <c r="D106" i="10"/>
  <c r="AJ105" i="10"/>
  <c r="AK105" i="10" s="1"/>
  <c r="D105" i="10"/>
  <c r="AJ104" i="10"/>
  <c r="AK104" i="10" s="1"/>
  <c r="D104" i="10"/>
  <c r="AJ103" i="10"/>
  <c r="D103" i="10"/>
  <c r="AJ102" i="10"/>
  <c r="D102" i="10"/>
  <c r="AJ101" i="10"/>
  <c r="AK101" i="10" s="1"/>
  <c r="D101" i="10"/>
  <c r="AJ100" i="10"/>
  <c r="D100" i="10"/>
  <c r="AJ99" i="10"/>
  <c r="D99" i="10"/>
  <c r="AJ98" i="10"/>
  <c r="D98" i="10"/>
  <c r="AJ97" i="10"/>
  <c r="D97" i="10"/>
  <c r="AJ96" i="10"/>
  <c r="AK96" i="10" s="1"/>
  <c r="D96" i="10"/>
  <c r="AJ95" i="10"/>
  <c r="D95" i="10"/>
  <c r="AJ94" i="10"/>
  <c r="D94" i="10"/>
  <c r="AJ93" i="10"/>
  <c r="D93" i="10"/>
  <c r="AJ92" i="10"/>
  <c r="AK92" i="10" s="1"/>
  <c r="D92" i="10"/>
  <c r="AJ91" i="10"/>
  <c r="AK91" i="10" s="1"/>
  <c r="D91" i="10"/>
  <c r="AJ90" i="10"/>
  <c r="D90" i="10"/>
  <c r="AJ89" i="10"/>
  <c r="D89" i="10"/>
  <c r="AJ88" i="10"/>
  <c r="D88" i="10"/>
  <c r="AJ87" i="10"/>
  <c r="D87" i="10"/>
  <c r="AJ86" i="10"/>
  <c r="D86" i="10"/>
  <c r="AJ85" i="10"/>
  <c r="D85" i="10"/>
  <c r="AJ84" i="10"/>
  <c r="D84" i="10"/>
  <c r="AJ83" i="10"/>
  <c r="AK83" i="10" s="1"/>
  <c r="D83" i="10"/>
  <c r="AJ82" i="10"/>
  <c r="D82" i="10"/>
  <c r="AL81" i="10"/>
  <c r="AJ81" i="10"/>
  <c r="AS81" i="10" s="1"/>
  <c r="D81" i="10"/>
  <c r="AJ80" i="10"/>
  <c r="D80" i="10"/>
  <c r="AJ76" i="10"/>
  <c r="D76" i="10"/>
  <c r="AJ75" i="10"/>
  <c r="AK75" i="10" s="1"/>
  <c r="D75" i="10"/>
  <c r="AJ74" i="10"/>
  <c r="AK74" i="10" s="1"/>
  <c r="O74" i="10"/>
  <c r="D74" i="10"/>
  <c r="AJ73" i="10"/>
  <c r="AK73" i="10" s="1"/>
  <c r="D73" i="10"/>
  <c r="AJ72" i="10"/>
  <c r="AS72" i="10" s="1"/>
  <c r="O72" i="10"/>
  <c r="D72" i="10"/>
  <c r="AJ71" i="10"/>
  <c r="AS71" i="10" s="1"/>
  <c r="D71" i="10"/>
  <c r="AJ70" i="10"/>
  <c r="AK70" i="10" s="1"/>
  <c r="O70" i="10"/>
  <c r="D70" i="10"/>
  <c r="AJ69" i="10"/>
  <c r="D69" i="10"/>
  <c r="AJ68" i="10"/>
  <c r="AS68" i="10" s="1"/>
  <c r="O68" i="10"/>
  <c r="D68" i="10"/>
  <c r="AJ67" i="10"/>
  <c r="AK67" i="10" s="1"/>
  <c r="D67" i="10"/>
  <c r="AJ66" i="10"/>
  <c r="AK66" i="10" s="1"/>
  <c r="O66" i="10"/>
  <c r="D66" i="10"/>
  <c r="AJ65" i="10"/>
  <c r="AS65" i="10" s="1"/>
  <c r="D65" i="10"/>
  <c r="AJ64" i="10"/>
  <c r="O64" i="10"/>
  <c r="D64" i="10"/>
  <c r="AJ63" i="10"/>
  <c r="AS63" i="10" s="1"/>
  <c r="D63" i="10"/>
  <c r="AJ62" i="10"/>
  <c r="O62" i="10"/>
  <c r="D62" i="10"/>
  <c r="AJ61" i="10"/>
  <c r="AS61" i="10" s="1"/>
  <c r="D61" i="10"/>
  <c r="AJ60" i="10"/>
  <c r="B60" i="10" s="1"/>
  <c r="O60" i="10"/>
  <c r="D60" i="10"/>
  <c r="AJ59" i="10"/>
  <c r="D59" i="10"/>
  <c r="AJ58" i="10"/>
  <c r="AS58" i="10" s="1"/>
  <c r="O58" i="10"/>
  <c r="D58" i="10"/>
  <c r="AJ57" i="10"/>
  <c r="O57" i="10"/>
  <c r="D57" i="10"/>
  <c r="O54" i="10"/>
  <c r="AJ53" i="10"/>
  <c r="AK53" i="10" s="1"/>
  <c r="D53" i="10"/>
  <c r="AJ52" i="10"/>
  <c r="AS52" i="10" s="1"/>
  <c r="D52" i="10"/>
  <c r="AJ51" i="10"/>
  <c r="D51" i="10"/>
  <c r="AJ50" i="10"/>
  <c r="D50" i="10"/>
  <c r="AJ49" i="10"/>
  <c r="AK49" i="10" s="1"/>
  <c r="D49" i="10"/>
  <c r="AJ48" i="10"/>
  <c r="AK48" i="10" s="1"/>
  <c r="D48" i="10"/>
  <c r="AJ47" i="10"/>
  <c r="AS47" i="10" s="1"/>
  <c r="D47" i="10"/>
  <c r="AJ46" i="10"/>
  <c r="AK46" i="10" s="1"/>
  <c r="D46" i="10"/>
  <c r="AJ45" i="10"/>
  <c r="D45" i="10"/>
  <c r="AJ44" i="10"/>
  <c r="D44" i="10"/>
  <c r="AJ43" i="10"/>
  <c r="AK43" i="10" s="1"/>
  <c r="D43" i="10"/>
  <c r="AJ42" i="10"/>
  <c r="AK42" i="10" s="1"/>
  <c r="D42" i="10"/>
  <c r="AJ41" i="10"/>
  <c r="D41" i="10"/>
  <c r="AJ40" i="10"/>
  <c r="AK40" i="10" s="1"/>
  <c r="R40" i="10"/>
  <c r="D40" i="10"/>
  <c r="AJ39" i="10"/>
  <c r="AS39" i="10" s="1"/>
  <c r="R39" i="10"/>
  <c r="D39" i="10"/>
  <c r="AJ38" i="10"/>
  <c r="R38" i="10"/>
  <c r="D38" i="10"/>
  <c r="AJ37" i="10"/>
  <c r="R37" i="10"/>
  <c r="D37" i="10"/>
  <c r="AJ36" i="10"/>
  <c r="R36" i="10"/>
  <c r="D36" i="10"/>
  <c r="AJ35" i="10"/>
  <c r="AS35" i="10" s="1"/>
  <c r="R35" i="10"/>
  <c r="D35" i="10"/>
  <c r="AJ34" i="10"/>
  <c r="R34" i="10"/>
  <c r="D34" i="10"/>
  <c r="AJ33" i="10"/>
  <c r="AS33" i="10" s="1"/>
  <c r="R33" i="10"/>
  <c r="D33" i="10"/>
  <c r="AJ32" i="10"/>
  <c r="R32" i="10"/>
  <c r="D32" i="10"/>
  <c r="AJ31" i="10"/>
  <c r="AS31" i="10" s="1"/>
  <c r="R31" i="10"/>
  <c r="D31" i="10"/>
  <c r="AJ30" i="10"/>
  <c r="B30" i="10" s="1"/>
  <c r="D30" i="10"/>
  <c r="AJ29" i="10"/>
  <c r="D29" i="10"/>
  <c r="AJ28" i="10"/>
  <c r="B28" i="10" s="1"/>
  <c r="D28" i="10"/>
  <c r="AJ27" i="10"/>
  <c r="D27" i="10"/>
  <c r="AJ26" i="10"/>
  <c r="AK26" i="10" s="1"/>
  <c r="D26" i="10"/>
  <c r="AJ25" i="10"/>
  <c r="D25" i="10"/>
  <c r="AJ24" i="10"/>
  <c r="D24" i="10"/>
  <c r="AJ23" i="10"/>
  <c r="AK23" i="10" s="1"/>
  <c r="D23" i="10"/>
  <c r="AJ22" i="10"/>
  <c r="AK22" i="10" s="1"/>
  <c r="D22" i="10"/>
  <c r="AJ21" i="10"/>
  <c r="AK21" i="10" s="1"/>
  <c r="D21" i="10"/>
  <c r="AJ20" i="10"/>
  <c r="R20" i="10"/>
  <c r="D20" i="10"/>
  <c r="AJ19" i="10"/>
  <c r="AS19" i="10" s="1"/>
  <c r="R19" i="10"/>
  <c r="D19" i="10"/>
  <c r="AJ18" i="10"/>
  <c r="R18" i="10"/>
  <c r="D18" i="10"/>
  <c r="AJ17" i="10"/>
  <c r="D17" i="10"/>
  <c r="AJ16" i="10"/>
  <c r="D16" i="10"/>
  <c r="AJ15" i="10"/>
  <c r="B15" i="10" s="1"/>
  <c r="D15" i="10"/>
  <c r="AJ14" i="10"/>
  <c r="D14" i="10"/>
  <c r="AJ13" i="10"/>
  <c r="AK13" i="10" s="1"/>
  <c r="D13" i="10"/>
  <c r="AJ12" i="10"/>
  <c r="AK12" i="10" s="1"/>
  <c r="D12" i="10"/>
  <c r="AJ11" i="10"/>
  <c r="AS11" i="10" s="1"/>
  <c r="R11" i="10"/>
  <c r="D11" i="10"/>
  <c r="AJ10" i="10"/>
  <c r="R10" i="10"/>
  <c r="D10" i="10"/>
  <c r="AJ9" i="10"/>
  <c r="R9" i="10"/>
  <c r="D9" i="10"/>
  <c r="AJ8" i="10"/>
  <c r="R8" i="10"/>
  <c r="D8" i="10"/>
  <c r="AS7" i="10"/>
  <c r="AL7" i="10"/>
  <c r="AJ7" i="10"/>
  <c r="R7" i="10"/>
  <c r="D7" i="10"/>
  <c r="D2" i="10"/>
  <c r="O6" i="9"/>
  <c r="N6" i="9"/>
  <c r="AO133" i="8"/>
  <c r="AX133" i="8" s="1"/>
  <c r="U133" i="8"/>
  <c r="S133" i="8"/>
  <c r="O133" i="8"/>
  <c r="B133" i="8"/>
  <c r="AO132" i="8"/>
  <c r="U132" i="8"/>
  <c r="S132" i="8"/>
  <c r="O132" i="8"/>
  <c r="B132" i="8"/>
  <c r="AO131" i="8"/>
  <c r="AP131" i="8" s="1"/>
  <c r="U131" i="8"/>
  <c r="S131" i="8"/>
  <c r="O131" i="8"/>
  <c r="B131" i="8"/>
  <c r="AO130" i="8"/>
  <c r="U130" i="8"/>
  <c r="S130" i="8"/>
  <c r="O130" i="8"/>
  <c r="B130" i="8"/>
  <c r="AO129" i="8"/>
  <c r="AX129" i="8" s="1"/>
  <c r="U129" i="8"/>
  <c r="S129" i="8"/>
  <c r="O129" i="8"/>
  <c r="B129" i="8"/>
  <c r="AO128" i="8"/>
  <c r="AX128" i="8" s="1"/>
  <c r="U128" i="8"/>
  <c r="S128" i="8"/>
  <c r="O128" i="8"/>
  <c r="B128" i="8"/>
  <c r="AO127" i="8"/>
  <c r="U127" i="8"/>
  <c r="S127" i="8"/>
  <c r="B127" i="8"/>
  <c r="AO126" i="8"/>
  <c r="AP126" i="8" s="1"/>
  <c r="U126" i="8"/>
  <c r="S126" i="8"/>
  <c r="O126" i="8"/>
  <c r="B126" i="8"/>
  <c r="AO125" i="8"/>
  <c r="U125" i="8"/>
  <c r="S125" i="8"/>
  <c r="B125" i="8"/>
  <c r="AO124" i="8"/>
  <c r="AX124" i="8" s="1"/>
  <c r="U124" i="8"/>
  <c r="S124" i="8"/>
  <c r="B124" i="8"/>
  <c r="AO123" i="8"/>
  <c r="AQ123" i="8" s="1"/>
  <c r="U123" i="8"/>
  <c r="S123" i="8"/>
  <c r="B123" i="8"/>
  <c r="AO122" i="8"/>
  <c r="AP122" i="8" s="1"/>
  <c r="U122" i="8"/>
  <c r="S122" i="8"/>
  <c r="B122" i="8"/>
  <c r="AO121" i="8"/>
  <c r="AP121" i="8" s="1"/>
  <c r="U121" i="8"/>
  <c r="S121" i="8"/>
  <c r="O121" i="8"/>
  <c r="B121" i="8"/>
  <c r="AO120" i="8"/>
  <c r="AP120" i="8" s="1"/>
  <c r="U120" i="8"/>
  <c r="S120" i="8"/>
  <c r="O120" i="8"/>
  <c r="B120" i="8"/>
  <c r="AO119" i="8"/>
  <c r="AP119" i="8" s="1"/>
  <c r="U119" i="8"/>
  <c r="S119" i="8"/>
  <c r="B119" i="8"/>
  <c r="AO118" i="8"/>
  <c r="U118" i="8"/>
  <c r="S118" i="8"/>
  <c r="O118" i="8"/>
  <c r="B118" i="8"/>
  <c r="AO117" i="8"/>
  <c r="AX117" i="8" s="1"/>
  <c r="U117" i="8"/>
  <c r="S117" i="8"/>
  <c r="O117" i="8"/>
  <c r="B117" i="8"/>
  <c r="AO116" i="8"/>
  <c r="U116" i="8"/>
  <c r="S116" i="8"/>
  <c r="B116" i="8"/>
  <c r="AO115" i="8"/>
  <c r="AP115" i="8" s="1"/>
  <c r="U115" i="8"/>
  <c r="S115" i="8"/>
  <c r="B115" i="8"/>
  <c r="AO114" i="8"/>
  <c r="U114" i="8"/>
  <c r="S114" i="8"/>
  <c r="O114" i="8"/>
  <c r="B114" i="8"/>
  <c r="AO111" i="8"/>
  <c r="AX111" i="8" s="1"/>
  <c r="U111" i="8"/>
  <c r="S111" i="8"/>
  <c r="B111" i="8"/>
  <c r="AO110" i="8"/>
  <c r="AX110" i="8" s="1"/>
  <c r="U110" i="8"/>
  <c r="S110" i="8"/>
  <c r="B110" i="8"/>
  <c r="AO109" i="8"/>
  <c r="U109" i="8"/>
  <c r="S109" i="8"/>
  <c r="B109" i="8"/>
  <c r="AX108" i="8"/>
  <c r="AO108" i="8"/>
  <c r="AQ108" i="8" s="1"/>
  <c r="U108" i="8"/>
  <c r="S108" i="8"/>
  <c r="B108" i="8"/>
  <c r="AO107" i="8"/>
  <c r="AX107" i="8" s="1"/>
  <c r="U107" i="8"/>
  <c r="S107" i="8"/>
  <c r="B107" i="8"/>
  <c r="AO106" i="8"/>
  <c r="U106" i="8"/>
  <c r="S106" i="8"/>
  <c r="B106" i="8"/>
  <c r="AO105" i="8"/>
  <c r="U105" i="8"/>
  <c r="S105" i="8"/>
  <c r="B105" i="8"/>
  <c r="AO104" i="8"/>
  <c r="AP104" i="8" s="1"/>
  <c r="U104" i="8"/>
  <c r="S104" i="8"/>
  <c r="O104" i="8"/>
  <c r="B104" i="8"/>
  <c r="AO103" i="8"/>
  <c r="U103" i="8"/>
  <c r="S103" i="8"/>
  <c r="O103" i="8"/>
  <c r="B103" i="8"/>
  <c r="AO102" i="8"/>
  <c r="U102" i="8"/>
  <c r="S102" i="8"/>
  <c r="O102" i="8"/>
  <c r="B102" i="8"/>
  <c r="AO101" i="8"/>
  <c r="U101" i="8"/>
  <c r="S101" i="8"/>
  <c r="O101" i="8"/>
  <c r="B101" i="8"/>
  <c r="AO100" i="8"/>
  <c r="U100" i="8"/>
  <c r="S100" i="8"/>
  <c r="B100" i="8"/>
  <c r="AO99" i="8"/>
  <c r="U99" i="8"/>
  <c r="S99" i="8"/>
  <c r="B99" i="8"/>
  <c r="AO98" i="8"/>
  <c r="AQ98" i="8" s="1"/>
  <c r="U98" i="8"/>
  <c r="S98" i="8"/>
  <c r="B98" i="8"/>
  <c r="AO97" i="8"/>
  <c r="AX97" i="8" s="1"/>
  <c r="U97" i="8"/>
  <c r="S97" i="8"/>
  <c r="B97" i="8"/>
  <c r="AO96" i="8"/>
  <c r="U96" i="8"/>
  <c r="S96" i="8"/>
  <c r="B96" i="8"/>
  <c r="AO95" i="8"/>
  <c r="U95" i="8"/>
  <c r="S95" i="8"/>
  <c r="O95" i="8"/>
  <c r="B95" i="8"/>
  <c r="AO94" i="8"/>
  <c r="U94" i="8"/>
  <c r="S94" i="8"/>
  <c r="O94" i="8"/>
  <c r="B94" i="8"/>
  <c r="AO93" i="8"/>
  <c r="N93" i="8"/>
  <c r="U93" i="8" s="1"/>
  <c r="B93" i="8"/>
  <c r="AO92" i="8"/>
  <c r="AX92" i="8" s="1"/>
  <c r="U92" i="8"/>
  <c r="S92" i="8"/>
  <c r="B92" i="8"/>
  <c r="AO91" i="8"/>
  <c r="AP91" i="8" s="1"/>
  <c r="U91" i="8"/>
  <c r="S91" i="8"/>
  <c r="B91" i="8"/>
  <c r="AO90" i="8"/>
  <c r="AP90" i="8" s="1"/>
  <c r="U90" i="8"/>
  <c r="S90" i="8"/>
  <c r="B90" i="8"/>
  <c r="AO89" i="8"/>
  <c r="AQ89" i="8" s="1"/>
  <c r="U89" i="8"/>
  <c r="S89" i="8"/>
  <c r="B89" i="8"/>
  <c r="AO88" i="8"/>
  <c r="N88" i="8"/>
  <c r="S88" i="8" s="1"/>
  <c r="B88" i="8"/>
  <c r="AO87" i="8"/>
  <c r="AQ87" i="8" s="1"/>
  <c r="U87" i="8"/>
  <c r="S87" i="8"/>
  <c r="B87" i="8"/>
  <c r="AO86" i="8"/>
  <c r="AP86" i="8" s="1"/>
  <c r="N86" i="8"/>
  <c r="B86" i="8"/>
  <c r="AO85" i="8"/>
  <c r="AP85" i="8" s="1"/>
  <c r="U85" i="8"/>
  <c r="S85" i="8"/>
  <c r="B85" i="8"/>
  <c r="AO84" i="8"/>
  <c r="U84" i="8"/>
  <c r="S84" i="8"/>
  <c r="B84" i="8"/>
  <c r="AO83" i="8"/>
  <c r="AQ83" i="8" s="1"/>
  <c r="U83" i="8"/>
  <c r="S83" i="8"/>
  <c r="B83" i="8"/>
  <c r="AO82" i="8"/>
  <c r="AQ82" i="8" s="1"/>
  <c r="U82" i="8"/>
  <c r="S82" i="8"/>
  <c r="O82" i="8"/>
  <c r="B82" i="8"/>
  <c r="AO81" i="8"/>
  <c r="U81" i="8"/>
  <c r="S81" i="8"/>
  <c r="O81" i="8"/>
  <c r="B81" i="8"/>
  <c r="AO80" i="8"/>
  <c r="U80" i="8"/>
  <c r="S80" i="8"/>
  <c r="O80" i="8"/>
  <c r="B80" i="8"/>
  <c r="AO79" i="8"/>
  <c r="U79" i="8"/>
  <c r="S79" i="8"/>
  <c r="O79" i="8"/>
  <c r="B79" i="8"/>
  <c r="AO78" i="8"/>
  <c r="U78" i="8"/>
  <c r="S78" i="8"/>
  <c r="O78" i="8"/>
  <c r="B78" i="8"/>
  <c r="AO77" i="8"/>
  <c r="U77" i="8"/>
  <c r="S77" i="8"/>
  <c r="O77" i="8"/>
  <c r="B77" i="8"/>
  <c r="AO76" i="8"/>
  <c r="AP76" i="8" s="1"/>
  <c r="U76" i="8"/>
  <c r="S76" i="8"/>
  <c r="O76" i="8"/>
  <c r="B76" i="8"/>
  <c r="AO75" i="8"/>
  <c r="U75" i="8"/>
  <c r="S75" i="8"/>
  <c r="O75" i="8"/>
  <c r="B75" i="8"/>
  <c r="AO74" i="8"/>
  <c r="AP74" i="8" s="1"/>
  <c r="U74" i="8"/>
  <c r="S74" i="8"/>
  <c r="O74" i="8"/>
  <c r="B74" i="8"/>
  <c r="AO73" i="8"/>
  <c r="AQ73" i="8" s="1"/>
  <c r="U73" i="8"/>
  <c r="S73" i="8"/>
  <c r="Q73" i="8"/>
  <c r="O73" i="8"/>
  <c r="B73" i="8"/>
  <c r="AO72" i="8"/>
  <c r="U72" i="8"/>
  <c r="S72" i="8"/>
  <c r="O72" i="8"/>
  <c r="B72" i="8"/>
  <c r="AO71" i="8"/>
  <c r="N71" i="8"/>
  <c r="S71" i="8" s="1"/>
  <c r="B71" i="8"/>
  <c r="AO70" i="8"/>
  <c r="N70" i="8"/>
  <c r="S70" i="8" s="1"/>
  <c r="B70" i="8"/>
  <c r="AO69" i="8"/>
  <c r="AQ69" i="8" s="1"/>
  <c r="U69" i="8"/>
  <c r="S69" i="8"/>
  <c r="B69" i="8"/>
  <c r="AO68" i="8"/>
  <c r="AQ68" i="8" s="1"/>
  <c r="U68" i="8"/>
  <c r="S68" i="8"/>
  <c r="O68" i="8"/>
  <c r="B68" i="8"/>
  <c r="AO67" i="8"/>
  <c r="U67" i="8"/>
  <c r="S67" i="8"/>
  <c r="O67" i="8"/>
  <c r="B67" i="8"/>
  <c r="AO66" i="8"/>
  <c r="U66" i="8"/>
  <c r="S66" i="8"/>
  <c r="O66" i="8"/>
  <c r="B66" i="8"/>
  <c r="AO65" i="8"/>
  <c r="U65" i="8"/>
  <c r="S65" i="8"/>
  <c r="O65" i="8"/>
  <c r="B65" i="8"/>
  <c r="AO64" i="8"/>
  <c r="U64" i="8"/>
  <c r="S64" i="8"/>
  <c r="B64" i="8"/>
  <c r="AO63" i="8"/>
  <c r="U63" i="8"/>
  <c r="S63" i="8"/>
  <c r="B63" i="8"/>
  <c r="AO62" i="8"/>
  <c r="N62" i="8"/>
  <c r="U62" i="8" s="1"/>
  <c r="B62" i="8"/>
  <c r="AO61" i="8"/>
  <c r="U61" i="8"/>
  <c r="S61" i="8"/>
  <c r="O61" i="8"/>
  <c r="B61" i="8"/>
  <c r="AO60" i="8"/>
  <c r="AX60" i="8" s="1"/>
  <c r="U60" i="8"/>
  <c r="S60" i="8"/>
  <c r="B60" i="8"/>
  <c r="AO59" i="8"/>
  <c r="AQ59" i="8" s="1"/>
  <c r="U59" i="8"/>
  <c r="S59" i="8"/>
  <c r="O59" i="8"/>
  <c r="B59" i="8"/>
  <c r="AO58" i="8"/>
  <c r="AP58" i="8" s="1"/>
  <c r="U58" i="8"/>
  <c r="S58" i="8"/>
  <c r="B58" i="8"/>
  <c r="AO57" i="8"/>
  <c r="U57" i="8"/>
  <c r="S57" i="8"/>
  <c r="O57" i="8"/>
  <c r="B57" i="8"/>
  <c r="AO56" i="8"/>
  <c r="AQ56" i="8" s="1"/>
  <c r="U56" i="8"/>
  <c r="S56" i="8"/>
  <c r="O56" i="8"/>
  <c r="B56" i="8"/>
  <c r="AO55" i="8"/>
  <c r="U55" i="8"/>
  <c r="S55" i="8"/>
  <c r="O55" i="8"/>
  <c r="B55" i="8"/>
  <c r="AO54" i="8"/>
  <c r="U54" i="8"/>
  <c r="S54" i="8"/>
  <c r="O54" i="8"/>
  <c r="B54" i="8"/>
  <c r="AO53" i="8"/>
  <c r="U53" i="8"/>
  <c r="S53" i="8"/>
  <c r="O53" i="8"/>
  <c r="B53" i="8"/>
  <c r="AO52" i="8"/>
  <c r="AP52" i="8" s="1"/>
  <c r="U52" i="8"/>
  <c r="S52" i="8"/>
  <c r="O52" i="8"/>
  <c r="B52" i="8"/>
  <c r="AO51" i="8"/>
  <c r="U51" i="8"/>
  <c r="S51" i="8"/>
  <c r="O51" i="8"/>
  <c r="B51" i="8"/>
  <c r="AO50" i="8"/>
  <c r="AP50" i="8" s="1"/>
  <c r="U50" i="8"/>
  <c r="S50" i="8"/>
  <c r="O50" i="8"/>
  <c r="B50" i="8"/>
  <c r="AO49" i="8"/>
  <c r="U49" i="8"/>
  <c r="S49" i="8"/>
  <c r="O49" i="8"/>
  <c r="B49" i="8"/>
  <c r="AO48" i="8"/>
  <c r="AP48" i="8" s="1"/>
  <c r="U48" i="8"/>
  <c r="S48" i="8"/>
  <c r="O48" i="8"/>
  <c r="B48" i="8"/>
  <c r="AO47" i="8"/>
  <c r="AP47" i="8" s="1"/>
  <c r="U47" i="8"/>
  <c r="S47" i="8"/>
  <c r="O47" i="8"/>
  <c r="B47" i="8"/>
  <c r="AO46" i="8"/>
  <c r="U46" i="8"/>
  <c r="S46" i="8"/>
  <c r="O46" i="8"/>
  <c r="B46" i="8"/>
  <c r="AO45" i="8"/>
  <c r="U45" i="8"/>
  <c r="S45" i="8"/>
  <c r="O45" i="8"/>
  <c r="B45" i="8"/>
  <c r="AQ44" i="8"/>
  <c r="AO44" i="8"/>
  <c r="U44" i="8"/>
  <c r="S44" i="8"/>
  <c r="B44" i="8"/>
  <c r="AQ43" i="8"/>
  <c r="AO43" i="8"/>
  <c r="U43" i="8"/>
  <c r="S43" i="8"/>
  <c r="B43" i="8"/>
  <c r="AO42" i="8"/>
  <c r="U42" i="8"/>
  <c r="S42" i="8"/>
  <c r="O42" i="8"/>
  <c r="B42" i="8"/>
  <c r="AO41" i="8"/>
  <c r="U41" i="8"/>
  <c r="S41" i="8"/>
  <c r="O41" i="8"/>
  <c r="B41" i="8"/>
  <c r="AO40" i="8"/>
  <c r="U40" i="8"/>
  <c r="S40" i="8"/>
  <c r="O40" i="8"/>
  <c r="B40" i="8"/>
  <c r="AO39" i="8"/>
  <c r="AX39" i="8" s="1"/>
  <c r="U39" i="8"/>
  <c r="S39" i="8"/>
  <c r="O39" i="8"/>
  <c r="B39" i="8"/>
  <c r="AO38" i="8"/>
  <c r="U38" i="8"/>
  <c r="S38" i="8"/>
  <c r="O38" i="8"/>
  <c r="B38" i="8"/>
  <c r="AO37" i="8"/>
  <c r="U37" i="8"/>
  <c r="S37" i="8"/>
  <c r="O37" i="8"/>
  <c r="B37" i="8"/>
  <c r="AO36" i="8"/>
  <c r="AX36" i="8" s="1"/>
  <c r="U36" i="8"/>
  <c r="S36" i="8"/>
  <c r="O36" i="8"/>
  <c r="B36" i="8"/>
  <c r="AO35" i="8"/>
  <c r="U35" i="8"/>
  <c r="S35" i="8"/>
  <c r="B35" i="8"/>
  <c r="AO34" i="8"/>
  <c r="U34" i="8"/>
  <c r="S34" i="8"/>
  <c r="B34" i="8"/>
  <c r="AO33" i="8"/>
  <c r="N33" i="8"/>
  <c r="B33" i="8"/>
  <c r="AO32" i="8"/>
  <c r="AX32" i="8" s="1"/>
  <c r="U32" i="8"/>
  <c r="S32" i="8"/>
  <c r="B32" i="8"/>
  <c r="AO31" i="8"/>
  <c r="AP31" i="8" s="1"/>
  <c r="U31" i="8"/>
  <c r="S31" i="8"/>
  <c r="B31" i="8"/>
  <c r="A31" i="8"/>
  <c r="AO30" i="8"/>
  <c r="AP30" i="8" s="1"/>
  <c r="N30" i="8"/>
  <c r="U30" i="8" s="1"/>
  <c r="B30" i="8"/>
  <c r="A30" i="8"/>
  <c r="AO29" i="8"/>
  <c r="N29" i="8"/>
  <c r="S29" i="8" s="1"/>
  <c r="B29" i="8"/>
  <c r="A29" i="8"/>
  <c r="AO28" i="8"/>
  <c r="N28" i="8"/>
  <c r="S28" i="8" s="1"/>
  <c r="B28" i="8"/>
  <c r="A28" i="8"/>
  <c r="AO27" i="8"/>
  <c r="N27" i="8"/>
  <c r="S27" i="8" s="1"/>
  <c r="B27" i="8"/>
  <c r="A27" i="8"/>
  <c r="AO26" i="8"/>
  <c r="AP26" i="8" s="1"/>
  <c r="N26" i="8"/>
  <c r="S26" i="8" s="1"/>
  <c r="B26" i="8"/>
  <c r="AO25" i="8"/>
  <c r="AP25" i="8" s="1"/>
  <c r="N25" i="8"/>
  <c r="B25" i="8"/>
  <c r="AO24" i="8"/>
  <c r="AP24" i="8" s="1"/>
  <c r="U24" i="8"/>
  <c r="S24" i="8"/>
  <c r="B24" i="8"/>
  <c r="AO23" i="8"/>
  <c r="AP23" i="8" s="1"/>
  <c r="U23" i="8"/>
  <c r="S23" i="8"/>
  <c r="B23" i="8"/>
  <c r="AO22" i="8"/>
  <c r="AP22" i="8" s="1"/>
  <c r="U22" i="8"/>
  <c r="S22" i="8"/>
  <c r="B22" i="8"/>
  <c r="AO21" i="8"/>
  <c r="AP21" i="8" s="1"/>
  <c r="U21" i="8"/>
  <c r="S21" i="8"/>
  <c r="B21" i="8"/>
  <c r="AO20" i="8"/>
  <c r="AX20" i="8" s="1"/>
  <c r="N20" i="8"/>
  <c r="B20" i="8"/>
  <c r="A20" i="8"/>
  <c r="AO19" i="8"/>
  <c r="AX19" i="8" s="1"/>
  <c r="N19" i="8"/>
  <c r="U19" i="8" s="1"/>
  <c r="B19" i="8"/>
  <c r="A19" i="8"/>
  <c r="AO18" i="8"/>
  <c r="AP18" i="8" s="1"/>
  <c r="N18" i="8"/>
  <c r="S18" i="8" s="1"/>
  <c r="B18" i="8"/>
  <c r="A18" i="8"/>
  <c r="AO17" i="8"/>
  <c r="AQ17" i="8" s="1"/>
  <c r="N17" i="8"/>
  <c r="S17" i="8" s="1"/>
  <c r="B17" i="8"/>
  <c r="A17" i="8"/>
  <c r="AO16" i="8"/>
  <c r="N16" i="8"/>
  <c r="B16" i="8"/>
  <c r="A16" i="8"/>
  <c r="AO15" i="8"/>
  <c r="N15" i="8"/>
  <c r="U15" i="8" s="1"/>
  <c r="B15" i="8"/>
  <c r="A15" i="8"/>
  <c r="AO14" i="8"/>
  <c r="AP14" i="8" s="1"/>
  <c r="N14" i="8"/>
  <c r="S14" i="8" s="1"/>
  <c r="B14" i="8"/>
  <c r="A14" i="8"/>
  <c r="AO13" i="8"/>
  <c r="AQ13" i="8" s="1"/>
  <c r="N13" i="8"/>
  <c r="B13" i="8"/>
  <c r="A13" i="8"/>
  <c r="AO12" i="8"/>
  <c r="N12" i="8"/>
  <c r="U12" i="8" s="1"/>
  <c r="B12" i="8"/>
  <c r="A12" i="8"/>
  <c r="AO11" i="8"/>
  <c r="N11" i="8"/>
  <c r="B11" i="8"/>
  <c r="A11" i="8"/>
  <c r="AO10" i="8"/>
  <c r="AP10" i="8" s="1"/>
  <c r="U10" i="8"/>
  <c r="S10" i="8"/>
  <c r="O10" i="8"/>
  <c r="B10" i="8"/>
  <c r="AO9" i="8"/>
  <c r="U9" i="8"/>
  <c r="S9" i="8"/>
  <c r="O9" i="8"/>
  <c r="B9" i="8"/>
  <c r="AO8" i="8"/>
  <c r="O8" i="8"/>
  <c r="N8" i="8"/>
  <c r="S8" i="8" s="1"/>
  <c r="B8" i="8"/>
  <c r="AO7" i="8"/>
  <c r="U7" i="8"/>
  <c r="S7" i="8"/>
  <c r="O7" i="8"/>
  <c r="B7" i="8"/>
  <c r="AO6" i="8"/>
  <c r="U6" i="8"/>
  <c r="S6" i="8"/>
  <c r="B6" i="8"/>
  <c r="AO5" i="8"/>
  <c r="U5" i="8"/>
  <c r="S5" i="8"/>
  <c r="O5" i="8"/>
  <c r="B5" i="8"/>
  <c r="AO4" i="8"/>
  <c r="U4" i="8"/>
  <c r="S4" i="8"/>
  <c r="O4" i="8"/>
  <c r="B4" i="8"/>
  <c r="AK283" i="7"/>
  <c r="AI283" i="7"/>
  <c r="AJ283" i="7" s="1"/>
  <c r="B283" i="7"/>
  <c r="AI282" i="7"/>
  <c r="AK282" i="7" s="1"/>
  <c r="B282" i="7"/>
  <c r="AI281" i="7"/>
  <c r="AR281" i="7" s="1"/>
  <c r="B281" i="7"/>
  <c r="AI280" i="7"/>
  <c r="AR280" i="7" s="1"/>
  <c r="B280" i="7"/>
  <c r="AI279" i="7"/>
  <c r="AJ279" i="7" s="1"/>
  <c r="B279" i="7"/>
  <c r="AI278" i="7"/>
  <c r="B278" i="7"/>
  <c r="AI277" i="7"/>
  <c r="AR277" i="7" s="1"/>
  <c r="B277" i="7"/>
  <c r="AI276" i="7"/>
  <c r="AR276" i="7" s="1"/>
  <c r="B276" i="7"/>
  <c r="AI275" i="7"/>
  <c r="AJ275" i="7" s="1"/>
  <c r="B275" i="7"/>
  <c r="AI274" i="7"/>
  <c r="AR274" i="7" s="1"/>
  <c r="B274" i="7"/>
  <c r="AI273" i="7"/>
  <c r="AR273" i="7" s="1"/>
  <c r="B273" i="7"/>
  <c r="AI272" i="7"/>
  <c r="AR272" i="7" s="1"/>
  <c r="B272" i="7"/>
  <c r="AK271" i="7"/>
  <c r="AI271" i="7"/>
  <c r="O271" i="7"/>
  <c r="B271" i="7"/>
  <c r="AK270" i="7"/>
  <c r="AI270" i="7"/>
  <c r="O270" i="7"/>
  <c r="B270" i="7"/>
  <c r="AI269" i="7"/>
  <c r="B269" i="7"/>
  <c r="AI268" i="7"/>
  <c r="B268" i="7"/>
  <c r="AK267" i="7"/>
  <c r="AI267" i="7"/>
  <c r="AR267" i="7" s="1"/>
  <c r="O267" i="7"/>
  <c r="B267" i="7"/>
  <c r="AK266" i="7"/>
  <c r="AI266" i="7"/>
  <c r="AJ266" i="7" s="1"/>
  <c r="O266" i="7"/>
  <c r="N266" i="7"/>
  <c r="B266" i="7"/>
  <c r="AI265" i="7"/>
  <c r="AJ265" i="7" s="1"/>
  <c r="B265" i="7"/>
  <c r="AI264" i="7"/>
  <c r="B264" i="7"/>
  <c r="AI263" i="7"/>
  <c r="B263" i="7"/>
  <c r="AI262" i="7"/>
  <c r="B262" i="7"/>
  <c r="AI261" i="7"/>
  <c r="AJ261" i="7" s="1"/>
  <c r="B261" i="7"/>
  <c r="AK260" i="7"/>
  <c r="AI260" i="7"/>
  <c r="O260" i="7"/>
  <c r="B260" i="7"/>
  <c r="AK259" i="7"/>
  <c r="AI259" i="7"/>
  <c r="B259" i="7"/>
  <c r="AI258" i="7"/>
  <c r="AR258" i="7" s="1"/>
  <c r="B258" i="7"/>
  <c r="AK257" i="7"/>
  <c r="AI257" i="7"/>
  <c r="AJ257" i="7" s="1"/>
  <c r="O257" i="7"/>
  <c r="B257" i="7"/>
  <c r="AK256" i="7"/>
  <c r="AI256" i="7"/>
  <c r="AR256" i="7" s="1"/>
  <c r="O256" i="7"/>
  <c r="B256" i="7"/>
  <c r="AK255" i="7"/>
  <c r="AI255" i="7"/>
  <c r="O255" i="7"/>
  <c r="B255" i="7"/>
  <c r="AK254" i="7"/>
  <c r="AI254" i="7"/>
  <c r="O254" i="7"/>
  <c r="B254" i="7"/>
  <c r="AK253" i="7"/>
  <c r="AI253" i="7"/>
  <c r="AJ253" i="7" s="1"/>
  <c r="O253" i="7"/>
  <c r="B253" i="7"/>
  <c r="AI252" i="7"/>
  <c r="B252" i="7"/>
  <c r="AI251" i="7"/>
  <c r="B251" i="7"/>
  <c r="AI250" i="7"/>
  <c r="B250" i="7"/>
  <c r="AI249" i="7"/>
  <c r="B249" i="7"/>
  <c r="AI248" i="7"/>
  <c r="B248" i="7"/>
  <c r="AI247" i="7"/>
  <c r="AR247" i="7" s="1"/>
  <c r="B247" i="7"/>
  <c r="AI246" i="7"/>
  <c r="B246" i="7"/>
  <c r="AI245" i="7"/>
  <c r="B245" i="7"/>
  <c r="AK244" i="7"/>
  <c r="AI244" i="7"/>
  <c r="B244" i="7"/>
  <c r="AK243" i="7"/>
  <c r="AI243" i="7"/>
  <c r="AR243" i="7" s="1"/>
  <c r="O243" i="7"/>
  <c r="B243" i="7"/>
  <c r="AK242" i="7"/>
  <c r="AI242" i="7"/>
  <c r="AJ242" i="7" s="1"/>
  <c r="O242" i="7"/>
  <c r="B242" i="7"/>
  <c r="AI241" i="7"/>
  <c r="B241" i="7"/>
  <c r="AI240" i="7"/>
  <c r="B240" i="7"/>
  <c r="AK239" i="7"/>
  <c r="AI239" i="7"/>
  <c r="O239" i="7"/>
  <c r="B239" i="7"/>
  <c r="AK238" i="7"/>
  <c r="AI238" i="7"/>
  <c r="AJ238" i="7" s="1"/>
  <c r="O238" i="7"/>
  <c r="B238" i="7"/>
  <c r="AK237" i="7"/>
  <c r="AI237" i="7"/>
  <c r="AR237" i="7" s="1"/>
  <c r="O237" i="7"/>
  <c r="B237" i="7"/>
  <c r="AK236" i="7"/>
  <c r="AI236" i="7"/>
  <c r="AJ236" i="7" s="1"/>
  <c r="O236" i="7"/>
  <c r="B236" i="7"/>
  <c r="AI235" i="7"/>
  <c r="AK235" i="7" s="1"/>
  <c r="B235" i="7"/>
  <c r="AK234" i="7"/>
  <c r="AI234" i="7"/>
  <c r="O234" i="7"/>
  <c r="B234" i="7"/>
  <c r="AI233" i="7"/>
  <c r="B233" i="7"/>
  <c r="AI232" i="7"/>
  <c r="B232" i="7"/>
  <c r="AI231" i="7"/>
  <c r="B231" i="7"/>
  <c r="AI230" i="7"/>
  <c r="AK230" i="7" s="1"/>
  <c r="B230" i="7"/>
  <c r="AK229" i="7"/>
  <c r="AI229" i="7"/>
  <c r="O229" i="7"/>
  <c r="B229" i="7"/>
  <c r="AK228" i="7"/>
  <c r="AI228" i="7"/>
  <c r="O228" i="7"/>
  <c r="B228" i="7"/>
  <c r="AI227" i="7"/>
  <c r="AJ227" i="7" s="1"/>
  <c r="B227" i="7"/>
  <c r="AI226" i="7"/>
  <c r="B226" i="7"/>
  <c r="AI225" i="7"/>
  <c r="B225" i="7"/>
  <c r="AI224" i="7"/>
  <c r="AJ224" i="7" s="1"/>
  <c r="B224" i="7"/>
  <c r="AI223" i="7"/>
  <c r="AR223" i="7" s="1"/>
  <c r="B223" i="7"/>
  <c r="AI222" i="7"/>
  <c r="B222" i="7"/>
  <c r="AI221" i="7"/>
  <c r="B221" i="7"/>
  <c r="AK220" i="7"/>
  <c r="AI220" i="7"/>
  <c r="B220" i="7"/>
  <c r="AI219" i="7"/>
  <c r="B219" i="7"/>
  <c r="AI218" i="7"/>
  <c r="B218" i="7"/>
  <c r="AK217" i="7"/>
  <c r="AI217" i="7"/>
  <c r="AR217" i="7" s="1"/>
  <c r="O217" i="7"/>
  <c r="B217" i="7"/>
  <c r="AK216" i="7"/>
  <c r="AI216" i="7"/>
  <c r="O216" i="7"/>
  <c r="B216" i="7"/>
  <c r="AK215" i="7"/>
  <c r="AI215" i="7"/>
  <c r="AR215" i="7" s="1"/>
  <c r="O215" i="7"/>
  <c r="B215" i="7"/>
  <c r="AK214" i="7"/>
  <c r="AI214" i="7"/>
  <c r="AJ214" i="7" s="1"/>
  <c r="O214" i="7"/>
  <c r="B214" i="7"/>
  <c r="AI213" i="7"/>
  <c r="B213" i="7"/>
  <c r="AK212" i="7"/>
  <c r="AI212" i="7"/>
  <c r="O212" i="7"/>
  <c r="B212" i="7"/>
  <c r="AK211" i="7"/>
  <c r="AI211" i="7"/>
  <c r="AR211" i="7" s="1"/>
  <c r="O211" i="7"/>
  <c r="B211" i="7"/>
  <c r="AK210" i="7"/>
  <c r="AI210" i="7"/>
  <c r="AJ210" i="7" s="1"/>
  <c r="O210" i="7"/>
  <c r="B210" i="7"/>
  <c r="AI209" i="7"/>
  <c r="B209" i="7"/>
  <c r="AI208" i="7"/>
  <c r="AR208" i="7" s="1"/>
  <c r="B208" i="7"/>
  <c r="AI207" i="7"/>
  <c r="AJ207" i="7" s="1"/>
  <c r="B207" i="7"/>
  <c r="AK206" i="7"/>
  <c r="AI206" i="7"/>
  <c r="AJ206" i="7" s="1"/>
  <c r="O206" i="7"/>
  <c r="B206" i="7"/>
  <c r="AK205" i="7"/>
  <c r="AI205" i="7"/>
  <c r="AR205" i="7" s="1"/>
  <c r="O205" i="7"/>
  <c r="B205" i="7"/>
  <c r="AK204" i="7"/>
  <c r="AI204" i="7"/>
  <c r="O204" i="7"/>
  <c r="B204" i="7"/>
  <c r="AK203" i="7"/>
  <c r="AI203" i="7"/>
  <c r="AR203" i="7" s="1"/>
  <c r="N203" i="7"/>
  <c r="B203" i="7"/>
  <c r="AK202" i="7"/>
  <c r="AI202" i="7"/>
  <c r="AJ202" i="7" s="1"/>
  <c r="B202" i="7"/>
  <c r="AK201" i="7"/>
  <c r="AI201" i="7"/>
  <c r="O201" i="7"/>
  <c r="B201" i="7"/>
  <c r="AK200" i="7"/>
  <c r="AI200" i="7"/>
  <c r="AR200" i="7" s="1"/>
  <c r="O200" i="7"/>
  <c r="B200" i="7"/>
  <c r="AK199" i="7"/>
  <c r="AI199" i="7"/>
  <c r="AJ199" i="7" s="1"/>
  <c r="O199" i="7"/>
  <c r="B199" i="7"/>
  <c r="AI198" i="7"/>
  <c r="AR198" i="7" s="1"/>
  <c r="B198" i="7"/>
  <c r="AK197" i="7"/>
  <c r="AI197" i="7"/>
  <c r="AJ197" i="7" s="1"/>
  <c r="O197" i="7"/>
  <c r="B197" i="7"/>
  <c r="AI196" i="7"/>
  <c r="AR196" i="7" s="1"/>
  <c r="B196" i="7"/>
  <c r="AI195" i="7"/>
  <c r="AK195" i="7" s="1"/>
  <c r="B195" i="7"/>
  <c r="AK194" i="7"/>
  <c r="AI194" i="7"/>
  <c r="AJ194" i="7" s="1"/>
  <c r="O194" i="7"/>
  <c r="B194" i="7"/>
  <c r="AK193" i="7"/>
  <c r="AI193" i="7"/>
  <c r="O193" i="7"/>
  <c r="B193" i="7"/>
  <c r="AK192" i="7"/>
  <c r="AI192" i="7"/>
  <c r="AJ192" i="7" s="1"/>
  <c r="N192" i="7"/>
  <c r="B192" i="7"/>
  <c r="AK191" i="7"/>
  <c r="AI191" i="7"/>
  <c r="B191" i="7"/>
  <c r="AK190" i="7"/>
  <c r="AI190" i="7"/>
  <c r="AJ190" i="7" s="1"/>
  <c r="O190" i="7"/>
  <c r="B190" i="7"/>
  <c r="AK189" i="7"/>
  <c r="AI189" i="7"/>
  <c r="AR189" i="7" s="1"/>
  <c r="O189" i="7"/>
  <c r="B189" i="7"/>
  <c r="AK188" i="7"/>
  <c r="AI188" i="7"/>
  <c r="AJ188" i="7" s="1"/>
  <c r="O188" i="7"/>
  <c r="B188" i="7"/>
  <c r="AK187" i="7"/>
  <c r="AI187" i="7"/>
  <c r="O187" i="7"/>
  <c r="B187" i="7"/>
  <c r="AK186" i="7"/>
  <c r="AI186" i="7"/>
  <c r="AJ186" i="7" s="1"/>
  <c r="O186" i="7"/>
  <c r="B186" i="7"/>
  <c r="AK185" i="7"/>
  <c r="AI185" i="7"/>
  <c r="O185" i="7"/>
  <c r="B185" i="7"/>
  <c r="AK184" i="7"/>
  <c r="AI184" i="7"/>
  <c r="AR184" i="7" s="1"/>
  <c r="O184" i="7"/>
  <c r="B184" i="7"/>
  <c r="AK183" i="7"/>
  <c r="AI183" i="7"/>
  <c r="AR183" i="7" s="1"/>
  <c r="O183" i="7"/>
  <c r="B183" i="7"/>
  <c r="AK182" i="7"/>
  <c r="AI182" i="7"/>
  <c r="AJ182" i="7" s="1"/>
  <c r="O182" i="7"/>
  <c r="B182" i="7"/>
  <c r="AK181" i="7"/>
  <c r="AI181" i="7"/>
  <c r="AR181" i="7" s="1"/>
  <c r="N181" i="7"/>
  <c r="B181" i="7"/>
  <c r="AK180" i="7"/>
  <c r="AI180" i="7"/>
  <c r="B180" i="7"/>
  <c r="AK179" i="7"/>
  <c r="AI179" i="7"/>
  <c r="O179" i="7"/>
  <c r="B179" i="7"/>
  <c r="AK178" i="7"/>
  <c r="AI178" i="7"/>
  <c r="O178" i="7"/>
  <c r="B178" i="7"/>
  <c r="AK177" i="7"/>
  <c r="AI177" i="7"/>
  <c r="AJ177" i="7" s="1"/>
  <c r="B177" i="7"/>
  <c r="AI176" i="7"/>
  <c r="AK176" i="7" s="1"/>
  <c r="B176" i="7"/>
  <c r="AK175" i="7"/>
  <c r="AI175" i="7"/>
  <c r="O175" i="7"/>
  <c r="B175" i="7"/>
  <c r="AK174" i="7"/>
  <c r="AI174" i="7"/>
  <c r="O174" i="7"/>
  <c r="B174" i="7"/>
  <c r="AK173" i="7"/>
  <c r="AI173" i="7"/>
  <c r="AR173" i="7" s="1"/>
  <c r="O173" i="7"/>
  <c r="B173" i="7"/>
  <c r="AK172" i="7"/>
  <c r="AI172" i="7"/>
  <c r="O172" i="7"/>
  <c r="B172" i="7"/>
  <c r="AK171" i="7"/>
  <c r="AI171" i="7"/>
  <c r="AR171" i="7" s="1"/>
  <c r="O171" i="7"/>
  <c r="B171" i="7"/>
  <c r="AK170" i="7"/>
  <c r="AI170" i="7"/>
  <c r="AJ170" i="7" s="1"/>
  <c r="O170" i="7"/>
  <c r="B170" i="7"/>
  <c r="AK169" i="7"/>
  <c r="AI169" i="7"/>
  <c r="O169" i="7"/>
  <c r="B169" i="7"/>
  <c r="AK168" i="7"/>
  <c r="AI168" i="7"/>
  <c r="O168" i="7"/>
  <c r="B168" i="7"/>
  <c r="AK167" i="7"/>
  <c r="AI167" i="7"/>
  <c r="O167" i="7"/>
  <c r="B167" i="7"/>
  <c r="AK166" i="7"/>
  <c r="AI166" i="7"/>
  <c r="O166" i="7"/>
  <c r="B166" i="7"/>
  <c r="AK165" i="7"/>
  <c r="AI165" i="7"/>
  <c r="AR165" i="7" s="1"/>
  <c r="O165" i="7"/>
  <c r="B165" i="7"/>
  <c r="AK164" i="7"/>
  <c r="AI164" i="7"/>
  <c r="O164" i="7"/>
  <c r="B164" i="7"/>
  <c r="AK163" i="7"/>
  <c r="AI163" i="7"/>
  <c r="O163" i="7"/>
  <c r="B163" i="7"/>
  <c r="AK162" i="7"/>
  <c r="AI162" i="7"/>
  <c r="O162" i="7"/>
  <c r="B162" i="7"/>
  <c r="AK161" i="7"/>
  <c r="AI161" i="7"/>
  <c r="AR161" i="7" s="1"/>
  <c r="N161" i="7"/>
  <c r="B161" i="7"/>
  <c r="AK160" i="7"/>
  <c r="AI160" i="7"/>
  <c r="O160" i="7"/>
  <c r="B160" i="7"/>
  <c r="AK159" i="7"/>
  <c r="AI159" i="7"/>
  <c r="AR159" i="7" s="1"/>
  <c r="O159" i="7"/>
  <c r="B159" i="7"/>
  <c r="AK158" i="7"/>
  <c r="AI158" i="7"/>
  <c r="AJ158" i="7" s="1"/>
  <c r="O158" i="7"/>
  <c r="B158" i="7"/>
  <c r="AK157" i="7"/>
  <c r="AI157" i="7"/>
  <c r="AR157" i="7" s="1"/>
  <c r="O157" i="7"/>
  <c r="B157" i="7"/>
  <c r="AI156" i="7"/>
  <c r="B156" i="7"/>
  <c r="AK155" i="7"/>
  <c r="AI155" i="7"/>
  <c r="O155" i="7"/>
  <c r="B155" i="7"/>
  <c r="AK154" i="7"/>
  <c r="AI154" i="7"/>
  <c r="AR154" i="7" s="1"/>
  <c r="O154" i="7"/>
  <c r="B154" i="7"/>
  <c r="AK153" i="7"/>
  <c r="AI153" i="7"/>
  <c r="O153" i="7"/>
  <c r="B153" i="7"/>
  <c r="AK152" i="7"/>
  <c r="AI152" i="7"/>
  <c r="O152" i="7"/>
  <c r="B152" i="7"/>
  <c r="AK151" i="7"/>
  <c r="AI151" i="7"/>
  <c r="N151" i="7"/>
  <c r="B151" i="7"/>
  <c r="AK150" i="7"/>
  <c r="AI150" i="7"/>
  <c r="AJ150" i="7" s="1"/>
  <c r="B150" i="7"/>
  <c r="AK149" i="7"/>
  <c r="AI149" i="7"/>
  <c r="AJ149" i="7" s="1"/>
  <c r="O149" i="7"/>
  <c r="B149" i="7"/>
  <c r="AI148" i="7"/>
  <c r="B148" i="7"/>
  <c r="AK147" i="7"/>
  <c r="AI147" i="7"/>
  <c r="AJ147" i="7" s="1"/>
  <c r="N147" i="7"/>
  <c r="B147" i="7"/>
  <c r="AK146" i="7"/>
  <c r="AI146" i="7"/>
  <c r="AR146" i="7" s="1"/>
  <c r="O146" i="7"/>
  <c r="B146" i="7"/>
  <c r="AK145" i="7"/>
  <c r="AI145" i="7"/>
  <c r="AJ145" i="7" s="1"/>
  <c r="O145" i="7"/>
  <c r="B145" i="7"/>
  <c r="AK144" i="7"/>
  <c r="AI144" i="7"/>
  <c r="O144" i="7"/>
  <c r="B144" i="7"/>
  <c r="AK143" i="7"/>
  <c r="AI143" i="7"/>
  <c r="AJ143" i="7" s="1"/>
  <c r="O143" i="7"/>
  <c r="B143" i="7"/>
  <c r="AK142" i="7"/>
  <c r="AI142" i="7"/>
  <c r="AR142" i="7" s="1"/>
  <c r="O142" i="7"/>
  <c r="B142" i="7"/>
  <c r="AK141" i="7"/>
  <c r="AI141" i="7"/>
  <c r="AJ141" i="7" s="1"/>
  <c r="O141" i="7"/>
  <c r="B141" i="7"/>
  <c r="AK140" i="7"/>
  <c r="AI140" i="7"/>
  <c r="O140" i="7"/>
  <c r="B140" i="7"/>
  <c r="AK139" i="7"/>
  <c r="AI139" i="7"/>
  <c r="AJ139" i="7" s="1"/>
  <c r="N139" i="7"/>
  <c r="B139" i="7"/>
  <c r="AK138" i="7"/>
  <c r="AI138" i="7"/>
  <c r="AR138" i="7" s="1"/>
  <c r="B138" i="7"/>
  <c r="AK137" i="7"/>
  <c r="AI137" i="7"/>
  <c r="AR137" i="7" s="1"/>
  <c r="O137" i="7"/>
  <c r="B137" i="7"/>
  <c r="AK136" i="7"/>
  <c r="AI136" i="7"/>
  <c r="O136" i="7"/>
  <c r="B136" i="7"/>
  <c r="AK135" i="7"/>
  <c r="AI135" i="7"/>
  <c r="AR135" i="7" s="1"/>
  <c r="O135" i="7"/>
  <c r="B135" i="7"/>
  <c r="AI134" i="7"/>
  <c r="B134" i="7"/>
  <c r="AK133" i="7"/>
  <c r="AI133" i="7"/>
  <c r="O133" i="7"/>
  <c r="B133" i="7"/>
  <c r="AK132" i="7"/>
  <c r="AI132" i="7"/>
  <c r="AJ132" i="7" s="1"/>
  <c r="O132" i="7"/>
  <c r="B132" i="7"/>
  <c r="AK131" i="7"/>
  <c r="AI131" i="7"/>
  <c r="O131" i="7"/>
  <c r="B131" i="7"/>
  <c r="AK130" i="7"/>
  <c r="AI130" i="7"/>
  <c r="AJ130" i="7" s="1"/>
  <c r="O130" i="7"/>
  <c r="B130" i="7"/>
  <c r="AK129" i="7"/>
  <c r="AI129" i="7"/>
  <c r="N129" i="7"/>
  <c r="B129" i="7"/>
  <c r="AK128" i="7"/>
  <c r="AI128" i="7"/>
  <c r="AR128" i="7" s="1"/>
  <c r="B128" i="7"/>
  <c r="AK127" i="7"/>
  <c r="AI127" i="7"/>
  <c r="AJ127" i="7" s="1"/>
  <c r="O127" i="7"/>
  <c r="B127" i="7"/>
  <c r="AK126" i="7"/>
  <c r="AI126" i="7"/>
  <c r="AR126" i="7" s="1"/>
  <c r="O126" i="7"/>
  <c r="B126" i="7"/>
  <c r="AK125" i="7"/>
  <c r="AI125" i="7"/>
  <c r="AJ125" i="7" s="1"/>
  <c r="B125" i="7"/>
  <c r="AK124" i="7"/>
  <c r="AI124" i="7"/>
  <c r="B124" i="7"/>
  <c r="AK123" i="7"/>
  <c r="AI123" i="7"/>
  <c r="O123" i="7"/>
  <c r="B123" i="7"/>
  <c r="AK122" i="7"/>
  <c r="AI122" i="7"/>
  <c r="AJ122" i="7" s="1"/>
  <c r="O122" i="7"/>
  <c r="B122" i="7"/>
  <c r="AK121" i="7"/>
  <c r="AI121" i="7"/>
  <c r="O121" i="7"/>
  <c r="B121" i="7"/>
  <c r="AK120" i="7"/>
  <c r="AI120" i="7"/>
  <c r="AJ120" i="7" s="1"/>
  <c r="O120" i="7"/>
  <c r="B120" i="7"/>
  <c r="AK119" i="7"/>
  <c r="AI119" i="7"/>
  <c r="O119" i="7"/>
  <c r="B119" i="7"/>
  <c r="AK118" i="7"/>
  <c r="AI118" i="7"/>
  <c r="AJ118" i="7" s="1"/>
  <c r="O118" i="7"/>
  <c r="B118" i="7"/>
  <c r="AK117" i="7"/>
  <c r="AI117" i="7"/>
  <c r="O117" i="7"/>
  <c r="B117" i="7"/>
  <c r="AK116" i="7"/>
  <c r="AI116" i="7"/>
  <c r="O116" i="7"/>
  <c r="B116" i="7"/>
  <c r="AK115" i="7"/>
  <c r="AI115" i="7"/>
  <c r="O115" i="7"/>
  <c r="B115" i="7"/>
  <c r="AK114" i="7"/>
  <c r="AI114" i="7"/>
  <c r="AJ114" i="7" s="1"/>
  <c r="O114" i="7"/>
  <c r="B114" i="7"/>
  <c r="AK113" i="7"/>
  <c r="AI113" i="7"/>
  <c r="O113" i="7"/>
  <c r="B113" i="7"/>
  <c r="AK112" i="7"/>
  <c r="AI112" i="7"/>
  <c r="AJ112" i="7" s="1"/>
  <c r="O112" i="7"/>
  <c r="B112" i="7"/>
  <c r="AK111" i="7"/>
  <c r="AI111" i="7"/>
  <c r="O111" i="7"/>
  <c r="B111" i="7"/>
  <c r="AK110" i="7"/>
  <c r="AI110" i="7"/>
  <c r="AJ110" i="7" s="1"/>
  <c r="O110" i="7"/>
  <c r="B110" i="7"/>
  <c r="AK109" i="7"/>
  <c r="AI109" i="7"/>
  <c r="O109" i="7"/>
  <c r="B109" i="7"/>
  <c r="AI108" i="7"/>
  <c r="B108" i="7"/>
  <c r="AI107" i="7"/>
  <c r="B107" i="7"/>
  <c r="AI106" i="7"/>
  <c r="AR106" i="7" s="1"/>
  <c r="B106" i="7"/>
  <c r="AI105" i="7"/>
  <c r="B105" i="7"/>
  <c r="AI104" i="7"/>
  <c r="B104" i="7"/>
  <c r="AI103" i="7"/>
  <c r="B103" i="7"/>
  <c r="AI102" i="7"/>
  <c r="B102" i="7"/>
  <c r="AI101" i="7"/>
  <c r="B101" i="7"/>
  <c r="AI100" i="7"/>
  <c r="AJ100" i="7" s="1"/>
  <c r="B100" i="7"/>
  <c r="AI99" i="7"/>
  <c r="B99" i="7"/>
  <c r="AI98" i="7"/>
  <c r="AR98" i="7" s="1"/>
  <c r="B98" i="7"/>
  <c r="AI97" i="7"/>
  <c r="B97" i="7"/>
  <c r="AI96" i="7"/>
  <c r="B96" i="7"/>
  <c r="AI95" i="7"/>
  <c r="B95" i="7"/>
  <c r="AI94" i="7"/>
  <c r="AK94" i="7" s="1"/>
  <c r="B94" i="7"/>
  <c r="AI93" i="7"/>
  <c r="B93" i="7"/>
  <c r="AI92" i="7"/>
  <c r="B92" i="7"/>
  <c r="AI91" i="7"/>
  <c r="B91" i="7"/>
  <c r="AI90" i="7"/>
  <c r="AJ90" i="7" s="1"/>
  <c r="B90" i="7"/>
  <c r="AI89" i="7"/>
  <c r="AR89" i="7" s="1"/>
  <c r="B89" i="7"/>
  <c r="AI88" i="7"/>
  <c r="AJ88" i="7" s="1"/>
  <c r="B88" i="7"/>
  <c r="AI87" i="7"/>
  <c r="AR87" i="7" s="1"/>
  <c r="B87" i="7"/>
  <c r="AK86" i="7"/>
  <c r="AI86" i="7"/>
  <c r="AR86" i="7" s="1"/>
  <c r="O86" i="7"/>
  <c r="N86" i="7"/>
  <c r="B86" i="7"/>
  <c r="AI85" i="7"/>
  <c r="B85" i="7"/>
  <c r="AK84" i="7"/>
  <c r="AI84" i="7"/>
  <c r="AR84" i="7" s="1"/>
  <c r="O84" i="7"/>
  <c r="B84" i="7"/>
  <c r="AK83" i="7"/>
  <c r="AI83" i="7"/>
  <c r="O83" i="7"/>
  <c r="B83" i="7"/>
  <c r="AK82" i="7"/>
  <c r="AI82" i="7"/>
  <c r="B82" i="7"/>
  <c r="AK81" i="7"/>
  <c r="AI81" i="7"/>
  <c r="N81" i="7"/>
  <c r="B81" i="7"/>
  <c r="AK80" i="7"/>
  <c r="AI80" i="7"/>
  <c r="AJ80" i="7" s="1"/>
  <c r="B80" i="7"/>
  <c r="AK79" i="7"/>
  <c r="AI79" i="7"/>
  <c r="AR79" i="7" s="1"/>
  <c r="O79" i="7"/>
  <c r="B79" i="7"/>
  <c r="AK78" i="7"/>
  <c r="AI78" i="7"/>
  <c r="O78" i="7"/>
  <c r="B78" i="7"/>
  <c r="AK77" i="7"/>
  <c r="AI77" i="7"/>
  <c r="AR77" i="7" s="1"/>
  <c r="B77" i="7"/>
  <c r="AI76" i="7"/>
  <c r="AR76" i="7" s="1"/>
  <c r="B76" i="7"/>
  <c r="AI75" i="7"/>
  <c r="AR75" i="7" s="1"/>
  <c r="B75" i="7"/>
  <c r="AK74" i="7"/>
  <c r="AI74" i="7"/>
  <c r="AJ74" i="7" s="1"/>
  <c r="B74" i="7"/>
  <c r="AK73" i="7"/>
  <c r="AI73" i="7"/>
  <c r="AR73" i="7" s="1"/>
  <c r="O73" i="7"/>
  <c r="B73" i="7"/>
  <c r="AK72" i="7"/>
  <c r="AI72" i="7"/>
  <c r="AR72" i="7" s="1"/>
  <c r="O72" i="7"/>
  <c r="B72" i="7"/>
  <c r="AK71" i="7"/>
  <c r="AI71" i="7"/>
  <c r="O71" i="7"/>
  <c r="B71" i="7"/>
  <c r="AI70" i="7"/>
  <c r="B70" i="7"/>
  <c r="AI69" i="7"/>
  <c r="B69" i="7"/>
  <c r="AI68" i="7"/>
  <c r="AJ68" i="7" s="1"/>
  <c r="B68" i="7"/>
  <c r="AI67" i="7"/>
  <c r="AK67" i="7" s="1"/>
  <c r="B67" i="7"/>
  <c r="AI66" i="7"/>
  <c r="AJ66" i="7" s="1"/>
  <c r="B66" i="7"/>
  <c r="AI65" i="7"/>
  <c r="AR65" i="7" s="1"/>
  <c r="B65" i="7"/>
  <c r="AI64" i="7"/>
  <c r="AJ64" i="7" s="1"/>
  <c r="B64" i="7"/>
  <c r="AI63" i="7"/>
  <c r="B63" i="7"/>
  <c r="AI62" i="7"/>
  <c r="AK62" i="7" s="1"/>
  <c r="B62" i="7"/>
  <c r="AI61" i="7"/>
  <c r="AR61" i="7" s="1"/>
  <c r="B61" i="7"/>
  <c r="AI60" i="7"/>
  <c r="B60" i="7"/>
  <c r="AI59" i="7"/>
  <c r="AK59" i="7" s="1"/>
  <c r="B59" i="7"/>
  <c r="AI58" i="7"/>
  <c r="AR58" i="7" s="1"/>
  <c r="B58" i="7"/>
  <c r="AI57" i="7"/>
  <c r="AR57" i="7" s="1"/>
  <c r="B57" i="7"/>
  <c r="AI56" i="7"/>
  <c r="B56" i="7"/>
  <c r="AI55" i="7"/>
  <c r="B55" i="7"/>
  <c r="AI54" i="7"/>
  <c r="B54" i="7"/>
  <c r="AI53" i="7"/>
  <c r="B53" i="7"/>
  <c r="AI52" i="7"/>
  <c r="AJ52" i="7" s="1"/>
  <c r="B52" i="7"/>
  <c r="AI51" i="7"/>
  <c r="B51" i="7"/>
  <c r="AI50" i="7"/>
  <c r="AK50" i="7" s="1"/>
  <c r="B50" i="7"/>
  <c r="AI49" i="7"/>
  <c r="AR49" i="7" s="1"/>
  <c r="B49" i="7"/>
  <c r="AI48" i="7"/>
  <c r="AJ48" i="7" s="1"/>
  <c r="B48" i="7"/>
  <c r="AI47" i="7"/>
  <c r="AR47" i="7" s="1"/>
  <c r="B47" i="7"/>
  <c r="AI46" i="7"/>
  <c r="B46" i="7"/>
  <c r="AI45" i="7"/>
  <c r="AR45" i="7" s="1"/>
  <c r="B45" i="7"/>
  <c r="AI44" i="7"/>
  <c r="AJ44" i="7" s="1"/>
  <c r="B44" i="7"/>
  <c r="AI43" i="7"/>
  <c r="B43" i="7"/>
  <c r="AK42" i="7"/>
  <c r="AI42" i="7"/>
  <c r="AJ42" i="7" s="1"/>
  <c r="O42" i="7"/>
  <c r="B42" i="7"/>
  <c r="AK41" i="7"/>
  <c r="AI41" i="7"/>
  <c r="AR41" i="7" s="1"/>
  <c r="O41" i="7"/>
  <c r="B41" i="7"/>
  <c r="AK40" i="7"/>
  <c r="AI40" i="7"/>
  <c r="O40" i="7"/>
  <c r="B40" i="7"/>
  <c r="AI39" i="7"/>
  <c r="AJ39" i="7" s="1"/>
  <c r="B39" i="7"/>
  <c r="AK38" i="7"/>
  <c r="AI38" i="7"/>
  <c r="AR38" i="7" s="1"/>
  <c r="B38" i="7"/>
  <c r="AK37" i="7"/>
  <c r="AI37" i="7"/>
  <c r="AJ37" i="7" s="1"/>
  <c r="O37" i="7"/>
  <c r="B37" i="7"/>
  <c r="AK36" i="7"/>
  <c r="AI36" i="7"/>
  <c r="O36" i="7"/>
  <c r="B36" i="7"/>
  <c r="AI35" i="7"/>
  <c r="AR35" i="7" s="1"/>
  <c r="B35" i="7"/>
  <c r="AI34" i="7"/>
  <c r="B34" i="7"/>
  <c r="AI33" i="7"/>
  <c r="AJ33" i="7" s="1"/>
  <c r="B33" i="7"/>
  <c r="AI32" i="7"/>
  <c r="AK32" i="7" s="1"/>
  <c r="B32" i="7"/>
  <c r="AI31" i="7"/>
  <c r="B31" i="7"/>
  <c r="AI30" i="7"/>
  <c r="AR30" i="7" s="1"/>
  <c r="B30" i="7"/>
  <c r="AI29" i="7"/>
  <c r="AJ29" i="7" s="1"/>
  <c r="B29" i="7"/>
  <c r="AI28" i="7"/>
  <c r="AR28" i="7" s="1"/>
  <c r="B28" i="7"/>
  <c r="AI27" i="7"/>
  <c r="AJ27" i="7" s="1"/>
  <c r="B27" i="7"/>
  <c r="AI26" i="7"/>
  <c r="AR26" i="7" s="1"/>
  <c r="B26" i="7"/>
  <c r="AI25" i="7"/>
  <c r="B25" i="7"/>
  <c r="AI24" i="7"/>
  <c r="AJ24" i="7" s="1"/>
  <c r="B24" i="7"/>
  <c r="AI23" i="7"/>
  <c r="AR23" i="7" s="1"/>
  <c r="B23" i="7"/>
  <c r="AI22" i="7"/>
  <c r="B22" i="7"/>
  <c r="AK21" i="7"/>
  <c r="AI21" i="7"/>
  <c r="AR21" i="7" s="1"/>
  <c r="O21" i="7"/>
  <c r="B21" i="7"/>
  <c r="AK20" i="7"/>
  <c r="AI20" i="7"/>
  <c r="AR20" i="7" s="1"/>
  <c r="O20" i="7"/>
  <c r="B20" i="7"/>
  <c r="AK19" i="7"/>
  <c r="AI19" i="7"/>
  <c r="AR19" i="7" s="1"/>
  <c r="O19" i="7"/>
  <c r="B19" i="7"/>
  <c r="AK18" i="7"/>
  <c r="AI18" i="7"/>
  <c r="AR18" i="7" s="1"/>
  <c r="B18" i="7"/>
  <c r="AK17" i="7"/>
  <c r="AI17" i="7"/>
  <c r="AJ17" i="7" s="1"/>
  <c r="O17" i="7"/>
  <c r="B17" i="7"/>
  <c r="AK16" i="7"/>
  <c r="AI16" i="7"/>
  <c r="AR16" i="7" s="1"/>
  <c r="B16" i="7"/>
  <c r="AK15" i="7"/>
  <c r="AI15" i="7"/>
  <c r="O15" i="7"/>
  <c r="B15" i="7"/>
  <c r="AK14" i="7"/>
  <c r="AI14" i="7"/>
  <c r="N14" i="7"/>
  <c r="B14" i="7"/>
  <c r="AK13" i="7"/>
  <c r="AI13" i="7"/>
  <c r="B13" i="7"/>
  <c r="AK12" i="7"/>
  <c r="AI12" i="7"/>
  <c r="AJ12" i="7" s="1"/>
  <c r="O12" i="7"/>
  <c r="B12" i="7"/>
  <c r="AK11" i="7"/>
  <c r="AI11" i="7"/>
  <c r="O11" i="7"/>
  <c r="B11" i="7"/>
  <c r="AK10" i="7"/>
  <c r="AI10" i="7"/>
  <c r="O10" i="7"/>
  <c r="B10" i="7"/>
  <c r="AK9" i="7"/>
  <c r="AI9" i="7"/>
  <c r="AR9" i="7" s="1"/>
  <c r="B9" i="7"/>
  <c r="AK8" i="7"/>
  <c r="AI8" i="7"/>
  <c r="B8" i="7"/>
  <c r="AK7" i="7"/>
  <c r="AI7" i="7"/>
  <c r="AJ7" i="7" s="1"/>
  <c r="B7" i="7"/>
  <c r="AI6" i="7"/>
  <c r="AK6" i="7" s="1"/>
  <c r="B6" i="7"/>
  <c r="AK5" i="7"/>
  <c r="AI5" i="7"/>
  <c r="AR5" i="7" s="1"/>
  <c r="B5" i="7"/>
  <c r="AK4" i="7"/>
  <c r="AI4" i="7"/>
  <c r="AJ4" i="7" s="1"/>
  <c r="B4" i="7"/>
  <c r="AV178" i="6"/>
  <c r="AU178" i="6"/>
  <c r="AS178" i="6"/>
  <c r="AH178" i="6"/>
  <c r="AF178" i="6"/>
  <c r="AG178" i="6" s="1"/>
  <c r="B178" i="6"/>
  <c r="AV177" i="6"/>
  <c r="AU177" i="6"/>
  <c r="AS177" i="6"/>
  <c r="AH177" i="6"/>
  <c r="AF177" i="6"/>
  <c r="AG177" i="6" s="1"/>
  <c r="B177" i="6"/>
  <c r="AV176" i="6"/>
  <c r="AU176" i="6"/>
  <c r="AS176" i="6"/>
  <c r="AH176" i="6"/>
  <c r="AF176" i="6"/>
  <c r="B176" i="6"/>
  <c r="AV175" i="6"/>
  <c r="AU175" i="6"/>
  <c r="AS175" i="6"/>
  <c r="AH175" i="6"/>
  <c r="AF175" i="6"/>
  <c r="B175" i="6"/>
  <c r="AV174" i="6"/>
  <c r="AU174" i="6"/>
  <c r="AS174" i="6"/>
  <c r="AH174" i="6"/>
  <c r="AF174" i="6"/>
  <c r="B174" i="6"/>
  <c r="AV173" i="6"/>
  <c r="AU173" i="6"/>
  <c r="AS173" i="6"/>
  <c r="AH173" i="6"/>
  <c r="AF173" i="6"/>
  <c r="AG173" i="6" s="1"/>
  <c r="B173" i="6"/>
  <c r="AV172" i="6"/>
  <c r="AU172" i="6"/>
  <c r="AS172" i="6"/>
  <c r="AH172" i="6"/>
  <c r="AF172" i="6"/>
  <c r="B172" i="6"/>
  <c r="AV171" i="6"/>
  <c r="AU171" i="6"/>
  <c r="AS171" i="6"/>
  <c r="AH171" i="6"/>
  <c r="AF171" i="6"/>
  <c r="B171" i="6"/>
  <c r="AV170" i="6"/>
  <c r="AU170" i="6"/>
  <c r="AS170" i="6"/>
  <c r="AF170" i="6"/>
  <c r="B170" i="6"/>
  <c r="AV169" i="6"/>
  <c r="AU169" i="6"/>
  <c r="AS169" i="6"/>
  <c r="AH169" i="6"/>
  <c r="AF169" i="6"/>
  <c r="AG169" i="6" s="1"/>
  <c r="B169" i="6"/>
  <c r="AV168" i="6"/>
  <c r="AU168" i="6"/>
  <c r="AS168" i="6"/>
  <c r="AH168" i="6"/>
  <c r="AF168" i="6"/>
  <c r="B168" i="6"/>
  <c r="AV167" i="6"/>
  <c r="AU167" i="6"/>
  <c r="AS167" i="6"/>
  <c r="AH167" i="6"/>
  <c r="AF167" i="6"/>
  <c r="B167" i="6"/>
  <c r="AV166" i="6"/>
  <c r="AU166" i="6"/>
  <c r="AS166" i="6"/>
  <c r="AH166" i="6"/>
  <c r="AF166" i="6"/>
  <c r="B166" i="6"/>
  <c r="AV165" i="6"/>
  <c r="AU165" i="6"/>
  <c r="AS165" i="6"/>
  <c r="AH165" i="6"/>
  <c r="AF165" i="6"/>
  <c r="AG165" i="6" s="1"/>
  <c r="B165" i="6"/>
  <c r="AV164" i="6"/>
  <c r="AU164" i="6"/>
  <c r="AS164" i="6"/>
  <c r="AH164" i="6"/>
  <c r="AF164" i="6"/>
  <c r="B164" i="6"/>
  <c r="AV163" i="6"/>
  <c r="AU163" i="6"/>
  <c r="AS163" i="6"/>
  <c r="AH163" i="6"/>
  <c r="AF163" i="6"/>
  <c r="B163" i="6"/>
  <c r="AV162" i="6"/>
  <c r="AU162" i="6"/>
  <c r="AS162" i="6"/>
  <c r="AH162" i="6"/>
  <c r="AF162" i="6"/>
  <c r="AG162" i="6" s="1"/>
  <c r="B162" i="6"/>
  <c r="AV161" i="6"/>
  <c r="AU161" i="6"/>
  <c r="AS161" i="6"/>
  <c r="AH161" i="6"/>
  <c r="AF161" i="6"/>
  <c r="AG161" i="6" s="1"/>
  <c r="B161" i="6"/>
  <c r="AV160" i="6"/>
  <c r="AU160" i="6"/>
  <c r="AS160" i="6"/>
  <c r="AH160" i="6"/>
  <c r="AF160" i="6"/>
  <c r="B160" i="6"/>
  <c r="AV159" i="6"/>
  <c r="AU159" i="6"/>
  <c r="AS159" i="6"/>
  <c r="AH159" i="6"/>
  <c r="AF159" i="6"/>
  <c r="B159" i="6"/>
  <c r="AV158" i="6"/>
  <c r="AU158" i="6"/>
  <c r="AS158" i="6"/>
  <c r="AH158" i="6"/>
  <c r="AF158" i="6"/>
  <c r="AG158" i="6" s="1"/>
  <c r="B158" i="6"/>
  <c r="AV157" i="6"/>
  <c r="AU157" i="6"/>
  <c r="AS157" i="6"/>
  <c r="AH157" i="6"/>
  <c r="AF157" i="6"/>
  <c r="B157" i="6"/>
  <c r="AV156" i="6"/>
  <c r="AU156" i="6"/>
  <c r="AS156" i="6"/>
  <c r="AF156" i="6"/>
  <c r="B156" i="6"/>
  <c r="AV155" i="6"/>
  <c r="AU155" i="6"/>
  <c r="AS155" i="6"/>
  <c r="AF155" i="6"/>
  <c r="AH155" i="6" s="1"/>
  <c r="B155" i="6"/>
  <c r="AV154" i="6"/>
  <c r="AU154" i="6"/>
  <c r="AS154" i="6"/>
  <c r="AF154" i="6"/>
  <c r="AH154" i="6" s="1"/>
  <c r="B154" i="6"/>
  <c r="AV153" i="6"/>
  <c r="AU153" i="6"/>
  <c r="AS153" i="6"/>
  <c r="AH153" i="6"/>
  <c r="AF153" i="6"/>
  <c r="B153" i="6"/>
  <c r="AV152" i="6"/>
  <c r="AU152" i="6"/>
  <c r="AS152" i="6"/>
  <c r="AH152" i="6"/>
  <c r="AF152" i="6"/>
  <c r="AG152" i="6" s="1"/>
  <c r="B152" i="6"/>
  <c r="AV151" i="6"/>
  <c r="AU151" i="6"/>
  <c r="AS151" i="6"/>
  <c r="AH151" i="6"/>
  <c r="AF151" i="6"/>
  <c r="B151" i="6"/>
  <c r="AV150" i="6"/>
  <c r="AU150" i="6"/>
  <c r="AS150" i="6"/>
  <c r="AH150" i="6"/>
  <c r="AF150" i="6"/>
  <c r="B150" i="6"/>
  <c r="AV149" i="6"/>
  <c r="AU149" i="6"/>
  <c r="AS149" i="6"/>
  <c r="AF149" i="6"/>
  <c r="AH149" i="6" s="1"/>
  <c r="B149" i="6"/>
  <c r="AV148" i="6"/>
  <c r="AU148" i="6"/>
  <c r="AS148" i="6"/>
  <c r="AF148" i="6"/>
  <c r="B148" i="6"/>
  <c r="AV147" i="6"/>
  <c r="AU147" i="6"/>
  <c r="AS147" i="6"/>
  <c r="AF147" i="6"/>
  <c r="AH147" i="6" s="1"/>
  <c r="B147" i="6"/>
  <c r="AV146" i="6"/>
  <c r="AU146" i="6"/>
  <c r="AS146" i="6"/>
  <c r="AH146" i="6"/>
  <c r="AF146" i="6"/>
  <c r="AO146" i="6" s="1"/>
  <c r="B146" i="6"/>
  <c r="AV145" i="6"/>
  <c r="AU145" i="6"/>
  <c r="AS145" i="6"/>
  <c r="AH145" i="6"/>
  <c r="AF145" i="6"/>
  <c r="AO145" i="6" s="1"/>
  <c r="B145" i="6"/>
  <c r="AV144" i="6"/>
  <c r="AU144" i="6"/>
  <c r="AS144" i="6"/>
  <c r="AH144" i="6"/>
  <c r="AF144" i="6"/>
  <c r="AO144" i="6" s="1"/>
  <c r="B144" i="6"/>
  <c r="AV143" i="6"/>
  <c r="AU143" i="6"/>
  <c r="AS143" i="6"/>
  <c r="AF143" i="6"/>
  <c r="AH143" i="6" s="1"/>
  <c r="B143" i="6"/>
  <c r="AV142" i="6"/>
  <c r="AU142" i="6"/>
  <c r="AS142" i="6"/>
  <c r="AF142" i="6"/>
  <c r="AG142" i="6" s="1"/>
  <c r="B142" i="6"/>
  <c r="AV141" i="6"/>
  <c r="AU141" i="6"/>
  <c r="AS141" i="6"/>
  <c r="AF141" i="6"/>
  <c r="B141" i="6"/>
  <c r="AV140" i="6"/>
  <c r="AU140" i="6"/>
  <c r="AS140" i="6"/>
  <c r="AH140" i="6"/>
  <c r="AF140" i="6"/>
  <c r="AG140" i="6" s="1"/>
  <c r="B140" i="6"/>
  <c r="AV139" i="6"/>
  <c r="AU139" i="6"/>
  <c r="AS139" i="6"/>
  <c r="AH139" i="6"/>
  <c r="AF139" i="6"/>
  <c r="AG139" i="6" s="1"/>
  <c r="B139" i="6"/>
  <c r="AV138" i="6"/>
  <c r="AU138" i="6"/>
  <c r="AS138" i="6"/>
  <c r="AH138" i="6"/>
  <c r="AF138" i="6"/>
  <c r="AG138" i="6" s="1"/>
  <c r="B138" i="6"/>
  <c r="AV137" i="6"/>
  <c r="AU137" i="6"/>
  <c r="AS137" i="6"/>
  <c r="AH137" i="6"/>
  <c r="AF137" i="6"/>
  <c r="B137" i="6"/>
  <c r="AV136" i="6"/>
  <c r="AU136" i="6"/>
  <c r="AS136" i="6"/>
  <c r="AH136" i="6"/>
  <c r="AF136" i="6"/>
  <c r="AG136" i="6" s="1"/>
  <c r="B136" i="6"/>
  <c r="AV135" i="6"/>
  <c r="AU135" i="6"/>
  <c r="AS135" i="6"/>
  <c r="AH135" i="6"/>
  <c r="AF135" i="6"/>
  <c r="AG135" i="6" s="1"/>
  <c r="B135" i="6"/>
  <c r="AV134" i="6"/>
  <c r="AU134" i="6"/>
  <c r="AS134" i="6"/>
  <c r="AH134" i="6"/>
  <c r="AF134" i="6"/>
  <c r="AG134" i="6" s="1"/>
  <c r="B134" i="6"/>
  <c r="AV133" i="6"/>
  <c r="AU133" i="6"/>
  <c r="AS133" i="6"/>
  <c r="AH133" i="6"/>
  <c r="AF133" i="6"/>
  <c r="AG133" i="6" s="1"/>
  <c r="B133" i="6"/>
  <c r="AV132" i="6"/>
  <c r="AU132" i="6"/>
  <c r="AS132" i="6"/>
  <c r="AF132" i="6"/>
  <c r="AH132" i="6" s="1"/>
  <c r="B132" i="6"/>
  <c r="AV131" i="6"/>
  <c r="AU131" i="6"/>
  <c r="AS131" i="6"/>
  <c r="AF131" i="6"/>
  <c r="AO131" i="6" s="1"/>
  <c r="B131" i="6"/>
  <c r="AV130" i="6"/>
  <c r="AU130" i="6"/>
  <c r="AS130" i="6"/>
  <c r="AH130" i="6"/>
  <c r="AF130" i="6"/>
  <c r="AO130" i="6" s="1"/>
  <c r="B130" i="6"/>
  <c r="AV129" i="6"/>
  <c r="AU129" i="6"/>
  <c r="AS129" i="6"/>
  <c r="AH129" i="6"/>
  <c r="AF129" i="6"/>
  <c r="AO129" i="6" s="1"/>
  <c r="B129" i="6"/>
  <c r="AV128" i="6"/>
  <c r="AU128" i="6"/>
  <c r="AS128" i="6"/>
  <c r="AH128" i="6"/>
  <c r="AF128" i="6"/>
  <c r="AG128" i="6" s="1"/>
  <c r="B128" i="6"/>
  <c r="AV127" i="6"/>
  <c r="AU127" i="6"/>
  <c r="AS127" i="6"/>
  <c r="AH127" i="6"/>
  <c r="AF127" i="6"/>
  <c r="AO127" i="6" s="1"/>
  <c r="B127" i="6"/>
  <c r="AV126" i="6"/>
  <c r="AU126" i="6"/>
  <c r="AS126" i="6"/>
  <c r="AH126" i="6"/>
  <c r="AF126" i="6"/>
  <c r="AO126" i="6" s="1"/>
  <c r="B126" i="6"/>
  <c r="AV125" i="6"/>
  <c r="AU125" i="6"/>
  <c r="AS125" i="6"/>
  <c r="AH125" i="6"/>
  <c r="AF125" i="6"/>
  <c r="AG125" i="6" s="1"/>
  <c r="B125" i="6"/>
  <c r="AV124" i="6"/>
  <c r="AU124" i="6"/>
  <c r="AS124" i="6"/>
  <c r="AH124" i="6"/>
  <c r="AF124" i="6"/>
  <c r="AO124" i="6" s="1"/>
  <c r="B124" i="6"/>
  <c r="AV123" i="6"/>
  <c r="AU123" i="6"/>
  <c r="AS123" i="6"/>
  <c r="AH123" i="6"/>
  <c r="AF123" i="6"/>
  <c r="B123" i="6"/>
  <c r="AV122" i="6"/>
  <c r="AU122" i="6"/>
  <c r="AS122" i="6"/>
  <c r="AH122" i="6"/>
  <c r="AF122" i="6"/>
  <c r="AG122" i="6" s="1"/>
  <c r="B122" i="6"/>
  <c r="AV121" i="6"/>
  <c r="AU121" i="6"/>
  <c r="AS121" i="6"/>
  <c r="AH121" i="6"/>
  <c r="AF121" i="6"/>
  <c r="AO121" i="6" s="1"/>
  <c r="B121" i="6"/>
  <c r="AV120" i="6"/>
  <c r="AU120" i="6"/>
  <c r="AS120" i="6"/>
  <c r="AH120" i="6"/>
  <c r="AF120" i="6"/>
  <c r="AO120" i="6" s="1"/>
  <c r="B120" i="6"/>
  <c r="AV119" i="6"/>
  <c r="AU119" i="6"/>
  <c r="AS119" i="6"/>
  <c r="AH119" i="6"/>
  <c r="AF119" i="6"/>
  <c r="AG119" i="6" s="1"/>
  <c r="B119" i="6"/>
  <c r="AV118" i="6"/>
  <c r="AU118" i="6"/>
  <c r="AS118" i="6"/>
  <c r="AH118" i="6"/>
  <c r="AF118" i="6"/>
  <c r="AO118" i="6" s="1"/>
  <c r="B118" i="6"/>
  <c r="AV117" i="6"/>
  <c r="AU117" i="6"/>
  <c r="AS117" i="6"/>
  <c r="AH117" i="6"/>
  <c r="AF117" i="6"/>
  <c r="AO117" i="6" s="1"/>
  <c r="B117" i="6"/>
  <c r="AV116" i="6"/>
  <c r="AU116" i="6"/>
  <c r="AS116" i="6"/>
  <c r="AH116" i="6"/>
  <c r="AF116" i="6"/>
  <c r="AG116" i="6" s="1"/>
  <c r="B116" i="6"/>
  <c r="AV115" i="6"/>
  <c r="AU115" i="6"/>
  <c r="AS115" i="6"/>
  <c r="AH115" i="6"/>
  <c r="AF115" i="6"/>
  <c r="B115" i="6"/>
  <c r="AV114" i="6"/>
  <c r="AU114" i="6"/>
  <c r="AS114" i="6"/>
  <c r="AH114" i="6"/>
  <c r="AF114" i="6"/>
  <c r="AO114" i="6" s="1"/>
  <c r="B114" i="6"/>
  <c r="AV113" i="6"/>
  <c r="AU113" i="6"/>
  <c r="AS113" i="6"/>
  <c r="AH113" i="6"/>
  <c r="AF113" i="6"/>
  <c r="AG113" i="6" s="1"/>
  <c r="B113" i="6"/>
  <c r="AV112" i="6"/>
  <c r="AU112" i="6"/>
  <c r="AS112" i="6"/>
  <c r="AH112" i="6"/>
  <c r="AF112" i="6"/>
  <c r="B112" i="6"/>
  <c r="AV111" i="6"/>
  <c r="AU111" i="6"/>
  <c r="AS111" i="6"/>
  <c r="AH111" i="6"/>
  <c r="AF111" i="6"/>
  <c r="AO111" i="6" s="1"/>
  <c r="B111" i="6"/>
  <c r="AV110" i="6"/>
  <c r="AU110" i="6"/>
  <c r="AS110" i="6"/>
  <c r="AH110" i="6"/>
  <c r="AF110" i="6"/>
  <c r="AG110" i="6" s="1"/>
  <c r="B110" i="6"/>
  <c r="AV109" i="6"/>
  <c r="AU109" i="6"/>
  <c r="AS109" i="6"/>
  <c r="AH109" i="6"/>
  <c r="AF109" i="6"/>
  <c r="B109" i="6"/>
  <c r="AV108" i="6"/>
  <c r="AU108" i="6"/>
  <c r="AS108" i="6"/>
  <c r="AH108" i="6"/>
  <c r="AF108" i="6"/>
  <c r="AO108" i="6" s="1"/>
  <c r="B108" i="6"/>
  <c r="AV107" i="6"/>
  <c r="AU107" i="6"/>
  <c r="AS107" i="6"/>
  <c r="AH107" i="6"/>
  <c r="AF107" i="6"/>
  <c r="AG107" i="6" s="1"/>
  <c r="B107" i="6"/>
  <c r="AV106" i="6"/>
  <c r="AU106" i="6"/>
  <c r="AS106" i="6"/>
  <c r="AH106" i="6"/>
  <c r="AF106" i="6"/>
  <c r="B106" i="6"/>
  <c r="AV105" i="6"/>
  <c r="AU105" i="6"/>
  <c r="AS105" i="6"/>
  <c r="AH105" i="6"/>
  <c r="AF105" i="6"/>
  <c r="AO105" i="6" s="1"/>
  <c r="B105" i="6"/>
  <c r="AV104" i="6"/>
  <c r="AU104" i="6"/>
  <c r="AS104" i="6"/>
  <c r="AF104" i="6"/>
  <c r="AG104" i="6" s="1"/>
  <c r="B104" i="6"/>
  <c r="AV103" i="6"/>
  <c r="AU103" i="6"/>
  <c r="AS103" i="6"/>
  <c r="AH103" i="6"/>
  <c r="AF103" i="6"/>
  <c r="AO103" i="6" s="1"/>
  <c r="B103" i="6"/>
  <c r="AV102" i="6"/>
  <c r="AU102" i="6"/>
  <c r="AS102" i="6"/>
  <c r="AH102" i="6"/>
  <c r="AF102" i="6"/>
  <c r="AO102" i="6" s="1"/>
  <c r="B102" i="6"/>
  <c r="AV101" i="6"/>
  <c r="AU101" i="6"/>
  <c r="AS101" i="6"/>
  <c r="AH101" i="6"/>
  <c r="AF101" i="6"/>
  <c r="AO101" i="6" s="1"/>
  <c r="B101" i="6"/>
  <c r="AV100" i="6"/>
  <c r="AU100" i="6"/>
  <c r="AS100" i="6"/>
  <c r="AF100" i="6"/>
  <c r="B100" i="6"/>
  <c r="AV99" i="6"/>
  <c r="AU99" i="6"/>
  <c r="AS99" i="6"/>
  <c r="AH99" i="6"/>
  <c r="AF99" i="6"/>
  <c r="AG99" i="6" s="1"/>
  <c r="B99" i="6"/>
  <c r="AV98" i="6"/>
  <c r="AU98" i="6"/>
  <c r="AS98" i="6"/>
  <c r="AH98" i="6"/>
  <c r="AF98" i="6"/>
  <c r="B98" i="6"/>
  <c r="AV97" i="6"/>
  <c r="AU97" i="6"/>
  <c r="AS97" i="6"/>
  <c r="AH97" i="6"/>
  <c r="AF97" i="6"/>
  <c r="AG97" i="6" s="1"/>
  <c r="B97" i="6"/>
  <c r="AV96" i="6"/>
  <c r="AU96" i="6"/>
  <c r="AS96" i="6"/>
  <c r="AH96" i="6"/>
  <c r="AF96" i="6"/>
  <c r="AG96" i="6" s="1"/>
  <c r="B96" i="6"/>
  <c r="AV95" i="6"/>
  <c r="AU95" i="6"/>
  <c r="AS95" i="6"/>
  <c r="AH95" i="6"/>
  <c r="AF95" i="6"/>
  <c r="AG95" i="6" s="1"/>
  <c r="B95" i="6"/>
  <c r="AV94" i="6"/>
  <c r="AU94" i="6"/>
  <c r="AS94" i="6"/>
  <c r="AH94" i="6"/>
  <c r="AF94" i="6"/>
  <c r="AG94" i="6" s="1"/>
  <c r="B94" i="6"/>
  <c r="AV93" i="6"/>
  <c r="AU93" i="6"/>
  <c r="AS93" i="6"/>
  <c r="AH93" i="6"/>
  <c r="AF93" i="6"/>
  <c r="AG93" i="6" s="1"/>
  <c r="B93" i="6"/>
  <c r="AV92" i="6"/>
  <c r="AU92" i="6"/>
  <c r="AS92" i="6"/>
  <c r="AH92" i="6"/>
  <c r="AF92" i="6"/>
  <c r="AG92" i="6" s="1"/>
  <c r="B92" i="6"/>
  <c r="AV91" i="6"/>
  <c r="AU91" i="6"/>
  <c r="AS91" i="6"/>
  <c r="AH91" i="6"/>
  <c r="AF91" i="6"/>
  <c r="AG91" i="6" s="1"/>
  <c r="B91" i="6"/>
  <c r="AV90" i="6"/>
  <c r="AU90" i="6"/>
  <c r="AS90" i="6"/>
  <c r="AH90" i="6"/>
  <c r="AF90" i="6"/>
  <c r="B90" i="6"/>
  <c r="AV89" i="6"/>
  <c r="AU89" i="6"/>
  <c r="AS89" i="6"/>
  <c r="AH89" i="6"/>
  <c r="AF89" i="6"/>
  <c r="AG89" i="6" s="1"/>
  <c r="B89" i="6"/>
  <c r="AV88" i="6"/>
  <c r="AU88" i="6"/>
  <c r="AS88" i="6"/>
  <c r="AH88" i="6"/>
  <c r="AF88" i="6"/>
  <c r="AG88" i="6" s="1"/>
  <c r="B88" i="6"/>
  <c r="AV87" i="6"/>
  <c r="AU87" i="6"/>
  <c r="AS87" i="6"/>
  <c r="AH87" i="6"/>
  <c r="AF87" i="6"/>
  <c r="AG87" i="6" s="1"/>
  <c r="B87" i="6"/>
  <c r="AV86" i="6"/>
  <c r="AU86" i="6"/>
  <c r="AS86" i="6"/>
  <c r="AH86" i="6"/>
  <c r="AF86" i="6"/>
  <c r="AG86" i="6" s="1"/>
  <c r="B86" i="6"/>
  <c r="AV85" i="6"/>
  <c r="AU85" i="6"/>
  <c r="AS85" i="6"/>
  <c r="AH85" i="6"/>
  <c r="AF85" i="6"/>
  <c r="AG85" i="6" s="1"/>
  <c r="B85" i="6"/>
  <c r="AV84" i="6"/>
  <c r="AU84" i="6"/>
  <c r="AS84" i="6"/>
  <c r="AH84" i="6"/>
  <c r="AF84" i="6"/>
  <c r="AG84" i="6" s="1"/>
  <c r="B84" i="6"/>
  <c r="AV83" i="6"/>
  <c r="AU83" i="6"/>
  <c r="AS83" i="6"/>
  <c r="AH83" i="6"/>
  <c r="AF83" i="6"/>
  <c r="AG83" i="6" s="1"/>
  <c r="B83" i="6"/>
  <c r="AV82" i="6"/>
  <c r="AU82" i="6"/>
  <c r="AS82" i="6"/>
  <c r="AH82" i="6"/>
  <c r="AF82" i="6"/>
  <c r="AG82" i="6" s="1"/>
  <c r="B82" i="6"/>
  <c r="AV81" i="6"/>
  <c r="AU81" i="6"/>
  <c r="AS81" i="6"/>
  <c r="AH81" i="6"/>
  <c r="AF81" i="6"/>
  <c r="AG81" i="6" s="1"/>
  <c r="B81" i="6"/>
  <c r="AV80" i="6"/>
  <c r="AU80" i="6"/>
  <c r="AS80" i="6"/>
  <c r="AH80" i="6"/>
  <c r="AF80" i="6"/>
  <c r="AG80" i="6" s="1"/>
  <c r="B80" i="6"/>
  <c r="AV79" i="6"/>
  <c r="AU79" i="6"/>
  <c r="AS79" i="6"/>
  <c r="AH79" i="6"/>
  <c r="AF79" i="6"/>
  <c r="AG79" i="6" s="1"/>
  <c r="B79" i="6"/>
  <c r="AV78" i="6"/>
  <c r="AU78" i="6"/>
  <c r="AS78" i="6"/>
  <c r="AH78" i="6"/>
  <c r="AF78" i="6"/>
  <c r="B78" i="6"/>
  <c r="AV77" i="6"/>
  <c r="AU77" i="6"/>
  <c r="AS77" i="6"/>
  <c r="AH77" i="6"/>
  <c r="AF77" i="6"/>
  <c r="AG77" i="6" s="1"/>
  <c r="B77" i="6"/>
  <c r="AV76" i="6"/>
  <c r="AU76" i="6"/>
  <c r="AS76" i="6"/>
  <c r="AH76" i="6"/>
  <c r="AF76" i="6"/>
  <c r="AG76" i="6" s="1"/>
  <c r="B76" i="6"/>
  <c r="AV75" i="6"/>
  <c r="AU75" i="6"/>
  <c r="AS75" i="6"/>
  <c r="AH75" i="6"/>
  <c r="AF75" i="6"/>
  <c r="AG75" i="6" s="1"/>
  <c r="B75" i="6"/>
  <c r="AV74" i="6"/>
  <c r="AU74" i="6"/>
  <c r="AS74" i="6"/>
  <c r="AH74" i="6"/>
  <c r="AF74" i="6"/>
  <c r="AG74" i="6" s="1"/>
  <c r="B74" i="6"/>
  <c r="AV73" i="6"/>
  <c r="AU73" i="6"/>
  <c r="AS73" i="6"/>
  <c r="AH73" i="6"/>
  <c r="AF73" i="6"/>
  <c r="AG73" i="6" s="1"/>
  <c r="B73" i="6"/>
  <c r="AV72" i="6"/>
  <c r="AU72" i="6"/>
  <c r="AS72" i="6"/>
  <c r="AH72" i="6"/>
  <c r="AF72" i="6"/>
  <c r="AG72" i="6" s="1"/>
  <c r="B72" i="6"/>
  <c r="AV71" i="6"/>
  <c r="AU71" i="6"/>
  <c r="AS71" i="6"/>
  <c r="AH71" i="6"/>
  <c r="AF71" i="6"/>
  <c r="B71" i="6"/>
  <c r="AV70" i="6"/>
  <c r="AU70" i="6"/>
  <c r="AS70" i="6"/>
  <c r="AH70" i="6"/>
  <c r="AF70" i="6"/>
  <c r="AG70" i="6" s="1"/>
  <c r="B70" i="6"/>
  <c r="AV69" i="6"/>
  <c r="AU69" i="6"/>
  <c r="AS69" i="6"/>
  <c r="AH69" i="6"/>
  <c r="AF69" i="6"/>
  <c r="AG69" i="6" s="1"/>
  <c r="B69" i="6"/>
  <c r="AV68" i="6"/>
  <c r="AU68" i="6"/>
  <c r="AS68" i="6"/>
  <c r="AH68" i="6"/>
  <c r="AF68" i="6"/>
  <c r="AG68" i="6" s="1"/>
  <c r="B68" i="6"/>
  <c r="AV67" i="6"/>
  <c r="AU67" i="6"/>
  <c r="AS67" i="6"/>
  <c r="AH67" i="6"/>
  <c r="AF67" i="6"/>
  <c r="AG67" i="6" s="1"/>
  <c r="B67" i="6"/>
  <c r="AV66" i="6"/>
  <c r="AU66" i="6"/>
  <c r="AS66" i="6"/>
  <c r="AH66" i="6"/>
  <c r="AF66" i="6"/>
  <c r="B66" i="6"/>
  <c r="AV65" i="6"/>
  <c r="AU65" i="6"/>
  <c r="AS65" i="6"/>
  <c r="AH65" i="6"/>
  <c r="AF65" i="6"/>
  <c r="AG65" i="6" s="1"/>
  <c r="B65" i="6"/>
  <c r="AV64" i="6"/>
  <c r="AU64" i="6"/>
  <c r="AS64" i="6"/>
  <c r="AH64" i="6"/>
  <c r="AF64" i="6"/>
  <c r="AG64" i="6" s="1"/>
  <c r="B64" i="6"/>
  <c r="AV63" i="6"/>
  <c r="AU63" i="6"/>
  <c r="AS63" i="6"/>
  <c r="AH63" i="6"/>
  <c r="AF63" i="6"/>
  <c r="AG63" i="6" s="1"/>
  <c r="B63" i="6"/>
  <c r="AV62" i="6"/>
  <c r="AU62" i="6"/>
  <c r="AS62" i="6"/>
  <c r="AH62" i="6"/>
  <c r="AF62" i="6"/>
  <c r="AG62" i="6" s="1"/>
  <c r="B62" i="6"/>
  <c r="AV61" i="6"/>
  <c r="AU61" i="6"/>
  <c r="AS61" i="6"/>
  <c r="AH61" i="6"/>
  <c r="AF61" i="6"/>
  <c r="AG61" i="6" s="1"/>
  <c r="B61" i="6"/>
  <c r="AV60" i="6"/>
  <c r="AU60" i="6"/>
  <c r="AS60" i="6"/>
  <c r="AH60" i="6"/>
  <c r="AF60" i="6"/>
  <c r="AG60" i="6" s="1"/>
  <c r="B60" i="6"/>
  <c r="AV59" i="6"/>
  <c r="AU59" i="6"/>
  <c r="AS59" i="6"/>
  <c r="AH59" i="6"/>
  <c r="AF59" i="6"/>
  <c r="AG59" i="6" s="1"/>
  <c r="B59" i="6"/>
  <c r="AV58" i="6"/>
  <c r="AU58" i="6"/>
  <c r="AS58" i="6"/>
  <c r="AH58" i="6"/>
  <c r="AF58" i="6"/>
  <c r="B58" i="6"/>
  <c r="AV57" i="6"/>
  <c r="AU57" i="6"/>
  <c r="AS57" i="6"/>
  <c r="AH57" i="6"/>
  <c r="AF57" i="6"/>
  <c r="AG57" i="6" s="1"/>
  <c r="B57" i="6"/>
  <c r="AV56" i="6"/>
  <c r="AU56" i="6"/>
  <c r="AS56" i="6"/>
  <c r="AH56" i="6"/>
  <c r="AF56" i="6"/>
  <c r="AG56" i="6" s="1"/>
  <c r="B56" i="6"/>
  <c r="AV55" i="6"/>
  <c r="AU55" i="6"/>
  <c r="AS55" i="6"/>
  <c r="AH55" i="6"/>
  <c r="AF55" i="6"/>
  <c r="AG55" i="6" s="1"/>
  <c r="B55" i="6"/>
  <c r="AV54" i="6"/>
  <c r="AU54" i="6"/>
  <c r="AS54" i="6"/>
  <c r="AH54" i="6"/>
  <c r="AF54" i="6"/>
  <c r="AG54" i="6" s="1"/>
  <c r="B54" i="6"/>
  <c r="AV53" i="6"/>
  <c r="AU53" i="6"/>
  <c r="AS53" i="6"/>
  <c r="AH53" i="6"/>
  <c r="AF53" i="6"/>
  <c r="AG53" i="6" s="1"/>
  <c r="B53" i="6"/>
  <c r="AV52" i="6"/>
  <c r="AU52" i="6"/>
  <c r="AS52" i="6"/>
  <c r="AH52" i="6"/>
  <c r="AF52" i="6"/>
  <c r="AG52" i="6" s="1"/>
  <c r="B52" i="6"/>
  <c r="AV51" i="6"/>
  <c r="AU51" i="6"/>
  <c r="AS51" i="6"/>
  <c r="AH51" i="6"/>
  <c r="AF51" i="6"/>
  <c r="AG51" i="6" s="1"/>
  <c r="B51" i="6"/>
  <c r="AV50" i="6"/>
  <c r="AU50" i="6"/>
  <c r="AS50" i="6"/>
  <c r="AH50" i="6"/>
  <c r="AF50" i="6"/>
  <c r="B50" i="6"/>
  <c r="AV49" i="6"/>
  <c r="AU49" i="6"/>
  <c r="AS49" i="6"/>
  <c r="AH49" i="6"/>
  <c r="AF49" i="6"/>
  <c r="AG49" i="6" s="1"/>
  <c r="B49" i="6"/>
  <c r="AV48" i="6"/>
  <c r="AU48" i="6"/>
  <c r="AS48" i="6"/>
  <c r="AH48" i="6"/>
  <c r="AF48" i="6"/>
  <c r="AG48" i="6" s="1"/>
  <c r="B48" i="6"/>
  <c r="AV47" i="6"/>
  <c r="AU47" i="6"/>
  <c r="AS47" i="6"/>
  <c r="AH47" i="6"/>
  <c r="AF47" i="6"/>
  <c r="AG47" i="6" s="1"/>
  <c r="B47" i="6"/>
  <c r="AV46" i="6"/>
  <c r="AU46" i="6"/>
  <c r="AS46" i="6"/>
  <c r="AH46" i="6"/>
  <c r="AF46" i="6"/>
  <c r="AG46" i="6" s="1"/>
  <c r="B46" i="6"/>
  <c r="AV45" i="6"/>
  <c r="AU45" i="6"/>
  <c r="AS45" i="6"/>
  <c r="AH45" i="6"/>
  <c r="AF45" i="6"/>
  <c r="AG45" i="6" s="1"/>
  <c r="B45" i="6"/>
  <c r="AV44" i="6"/>
  <c r="AU44" i="6"/>
  <c r="AS44" i="6"/>
  <c r="AH44" i="6"/>
  <c r="AF44" i="6"/>
  <c r="AG44" i="6" s="1"/>
  <c r="B44" i="6"/>
  <c r="AV43" i="6"/>
  <c r="AU43" i="6"/>
  <c r="AS43" i="6"/>
  <c r="AH43" i="6"/>
  <c r="AF43" i="6"/>
  <c r="AG43" i="6" s="1"/>
  <c r="B43" i="6"/>
  <c r="AV42" i="6"/>
  <c r="AU42" i="6"/>
  <c r="AS42" i="6"/>
  <c r="AH42" i="6"/>
  <c r="AF42" i="6"/>
  <c r="B42" i="6"/>
  <c r="AV41" i="6"/>
  <c r="AU41" i="6"/>
  <c r="AS41" i="6"/>
  <c r="AH41" i="6"/>
  <c r="AF41" i="6"/>
  <c r="AG41" i="6" s="1"/>
  <c r="B41" i="6"/>
  <c r="AV40" i="6"/>
  <c r="AU40" i="6"/>
  <c r="AS40" i="6"/>
  <c r="AH40" i="6"/>
  <c r="AF40" i="6"/>
  <c r="AG40" i="6" s="1"/>
  <c r="B40" i="6"/>
  <c r="AV39" i="6"/>
  <c r="AU39" i="6"/>
  <c r="AS39" i="6"/>
  <c r="AH39" i="6"/>
  <c r="AF39" i="6"/>
  <c r="AG39" i="6" s="1"/>
  <c r="B39" i="6"/>
  <c r="AV38" i="6"/>
  <c r="AU38" i="6"/>
  <c r="AS38" i="6"/>
  <c r="AH38" i="6"/>
  <c r="AF38" i="6"/>
  <c r="AG38" i="6" s="1"/>
  <c r="B38" i="6"/>
  <c r="AV37" i="6"/>
  <c r="AU37" i="6"/>
  <c r="AS37" i="6"/>
  <c r="AH37" i="6"/>
  <c r="AF37" i="6"/>
  <c r="AG37" i="6" s="1"/>
  <c r="B37" i="6"/>
  <c r="AV36" i="6"/>
  <c r="AU36" i="6"/>
  <c r="AS36" i="6"/>
  <c r="AH36" i="6"/>
  <c r="AF36" i="6"/>
  <c r="AG36" i="6" s="1"/>
  <c r="B36" i="6"/>
  <c r="AV35" i="6"/>
  <c r="AU35" i="6"/>
  <c r="AS35" i="6"/>
  <c r="AH35" i="6"/>
  <c r="AF35" i="6"/>
  <c r="AG35" i="6" s="1"/>
  <c r="B35" i="6"/>
  <c r="AV34" i="6"/>
  <c r="AU34" i="6"/>
  <c r="AS34" i="6"/>
  <c r="AH34" i="6"/>
  <c r="AF34" i="6"/>
  <c r="B34" i="6"/>
  <c r="AV33" i="6"/>
  <c r="AU33" i="6"/>
  <c r="AS33" i="6"/>
  <c r="AH33" i="6"/>
  <c r="AF33" i="6"/>
  <c r="AG33" i="6" s="1"/>
  <c r="B33" i="6"/>
  <c r="AV32" i="6"/>
  <c r="AU32" i="6"/>
  <c r="AS32" i="6"/>
  <c r="AH32" i="6"/>
  <c r="AF32" i="6"/>
  <c r="AG32" i="6" s="1"/>
  <c r="B32" i="6"/>
  <c r="AV31" i="6"/>
  <c r="AU31" i="6"/>
  <c r="AS31" i="6"/>
  <c r="AH31" i="6"/>
  <c r="AF31" i="6"/>
  <c r="B31" i="6"/>
  <c r="AV30" i="6"/>
  <c r="AU30" i="6"/>
  <c r="AS30" i="6"/>
  <c r="AH30" i="6"/>
  <c r="AF30" i="6"/>
  <c r="AG30" i="6" s="1"/>
  <c r="B30" i="6"/>
  <c r="AV29" i="6"/>
  <c r="AU29" i="6"/>
  <c r="AS29" i="6"/>
  <c r="AH29" i="6"/>
  <c r="AF29" i="6"/>
  <c r="AG29" i="6" s="1"/>
  <c r="B29" i="6"/>
  <c r="AV28" i="6"/>
  <c r="AU28" i="6"/>
  <c r="AS28" i="6"/>
  <c r="AH28" i="6"/>
  <c r="AF28" i="6"/>
  <c r="AG28" i="6" s="1"/>
  <c r="B28" i="6"/>
  <c r="AV27" i="6"/>
  <c r="AU27" i="6"/>
  <c r="AS27" i="6"/>
  <c r="AH27" i="6"/>
  <c r="AF27" i="6"/>
  <c r="AG27" i="6" s="1"/>
  <c r="B27" i="6"/>
  <c r="AV26" i="6"/>
  <c r="AU26" i="6"/>
  <c r="AS26" i="6"/>
  <c r="AH26" i="6"/>
  <c r="AF26" i="6"/>
  <c r="AG26" i="6" s="1"/>
  <c r="B26" i="6"/>
  <c r="AV25" i="6"/>
  <c r="AU25" i="6"/>
  <c r="AS25" i="6"/>
  <c r="AH25" i="6"/>
  <c r="AF25" i="6"/>
  <c r="AG25" i="6" s="1"/>
  <c r="B25" i="6"/>
  <c r="AV24" i="6"/>
  <c r="AU24" i="6"/>
  <c r="AS24" i="6"/>
  <c r="AH24" i="6"/>
  <c r="AF24" i="6"/>
  <c r="AG24" i="6" s="1"/>
  <c r="B24" i="6"/>
  <c r="AV23" i="6"/>
  <c r="AU23" i="6"/>
  <c r="AS23" i="6"/>
  <c r="AH23" i="6"/>
  <c r="AF23" i="6"/>
  <c r="AG23" i="6" s="1"/>
  <c r="B23" i="6"/>
  <c r="AV22" i="6"/>
  <c r="AU22" i="6"/>
  <c r="AS22" i="6"/>
  <c r="AH22" i="6"/>
  <c r="AF22" i="6"/>
  <c r="AG22" i="6" s="1"/>
  <c r="B22" i="6"/>
  <c r="AV21" i="6"/>
  <c r="AU21" i="6"/>
  <c r="AS21" i="6"/>
  <c r="AH21" i="6"/>
  <c r="AF21" i="6"/>
  <c r="AG21" i="6" s="1"/>
  <c r="B21" i="6"/>
  <c r="AV20" i="6"/>
  <c r="AU20" i="6"/>
  <c r="AS20" i="6"/>
  <c r="AH20" i="6"/>
  <c r="AF20" i="6"/>
  <c r="AG20" i="6" s="1"/>
  <c r="B20" i="6"/>
  <c r="AV19" i="6"/>
  <c r="AU19" i="6"/>
  <c r="AS19" i="6"/>
  <c r="AF19" i="6"/>
  <c r="AH19" i="6" s="1"/>
  <c r="B19" i="6"/>
  <c r="AV18" i="6"/>
  <c r="AU18" i="6"/>
  <c r="AS18" i="6"/>
  <c r="AF18" i="6"/>
  <c r="B18" i="6"/>
  <c r="AV17" i="6"/>
  <c r="AU17" i="6"/>
  <c r="AS17" i="6"/>
  <c r="AH17" i="6"/>
  <c r="AF17" i="6"/>
  <c r="AO17" i="6" s="1"/>
  <c r="B17" i="6"/>
  <c r="AV16" i="6"/>
  <c r="AU16" i="6"/>
  <c r="AS16" i="6"/>
  <c r="AH16" i="6"/>
  <c r="AF16" i="6"/>
  <c r="AG16" i="6" s="1"/>
  <c r="B16" i="6"/>
  <c r="AV15" i="6"/>
  <c r="AU15" i="6"/>
  <c r="AS15" i="6"/>
  <c r="AH15" i="6"/>
  <c r="AF15" i="6"/>
  <c r="B15" i="6"/>
  <c r="AV14" i="6"/>
  <c r="AU14" i="6"/>
  <c r="AS14" i="6"/>
  <c r="AH14" i="6"/>
  <c r="AF14" i="6"/>
  <c r="AG14" i="6" s="1"/>
  <c r="B14" i="6"/>
  <c r="AV13" i="6"/>
  <c r="AU13" i="6"/>
  <c r="AS13" i="6"/>
  <c r="AH13" i="6"/>
  <c r="AF13" i="6"/>
  <c r="AG13" i="6" s="1"/>
  <c r="B13" i="6"/>
  <c r="AV12" i="6"/>
  <c r="AU12" i="6"/>
  <c r="AS12" i="6"/>
  <c r="AH12" i="6"/>
  <c r="AF12" i="6"/>
  <c r="B12" i="6"/>
  <c r="AV11" i="6"/>
  <c r="AU11" i="6"/>
  <c r="AS11" i="6"/>
  <c r="AH11" i="6"/>
  <c r="AF11" i="6"/>
  <c r="AO11" i="6" s="1"/>
  <c r="B11" i="6"/>
  <c r="AV10" i="6"/>
  <c r="AU10" i="6"/>
  <c r="AS10" i="6"/>
  <c r="AH10" i="6"/>
  <c r="AF10" i="6"/>
  <c r="AG10" i="6" s="1"/>
  <c r="B10" i="6"/>
  <c r="AV9" i="6"/>
  <c r="AU9" i="6"/>
  <c r="AS9" i="6"/>
  <c r="AH9" i="6"/>
  <c r="AF9" i="6"/>
  <c r="B9" i="6"/>
  <c r="AV8" i="6"/>
  <c r="AU8" i="6"/>
  <c r="AS8" i="6"/>
  <c r="AH8" i="6"/>
  <c r="AF8" i="6"/>
  <c r="B8" i="6"/>
  <c r="AV7" i="6"/>
  <c r="AU7" i="6"/>
  <c r="AS7" i="6"/>
  <c r="AH7" i="6"/>
  <c r="AF7" i="6"/>
  <c r="AG7" i="6" s="1"/>
  <c r="B7" i="6"/>
  <c r="AV6" i="6"/>
  <c r="AU6" i="6"/>
  <c r="AS6" i="6"/>
  <c r="AH6" i="6"/>
  <c r="AF6" i="6"/>
  <c r="B6" i="6"/>
  <c r="AV5" i="6"/>
  <c r="AU5" i="6"/>
  <c r="AS5" i="6"/>
  <c r="AH5" i="6"/>
  <c r="AF5" i="6"/>
  <c r="AO5" i="6" s="1"/>
  <c r="B5" i="6"/>
  <c r="AV4" i="6"/>
  <c r="AU4" i="6"/>
  <c r="AS4" i="6"/>
  <c r="AH4" i="6"/>
  <c r="AF4" i="6"/>
  <c r="AG4" i="6" s="1"/>
  <c r="B4" i="6"/>
  <c r="P360" i="5"/>
  <c r="O360" i="5"/>
  <c r="N360" i="5"/>
  <c r="AO357" i="5"/>
  <c r="AH357" i="5"/>
  <c r="AF357" i="5"/>
  <c r="AG357" i="5" s="1"/>
  <c r="B357" i="5"/>
  <c r="AO356" i="5"/>
  <c r="AH356" i="5"/>
  <c r="AF356" i="5"/>
  <c r="AG356" i="5" s="1"/>
  <c r="B356" i="5"/>
  <c r="AO355" i="5"/>
  <c r="AH355" i="5"/>
  <c r="AF355" i="5"/>
  <c r="AG355" i="5" s="1"/>
  <c r="B355" i="5"/>
  <c r="AO354" i="5"/>
  <c r="AH354" i="5"/>
  <c r="AF354" i="5"/>
  <c r="AG354" i="5" s="1"/>
  <c r="B354" i="5"/>
  <c r="AO353" i="5"/>
  <c r="AH353" i="5"/>
  <c r="AF353" i="5"/>
  <c r="AG353" i="5" s="1"/>
  <c r="B353" i="5"/>
  <c r="AO352" i="5"/>
  <c r="AH352" i="5"/>
  <c r="AF352" i="5"/>
  <c r="AG352" i="5" s="1"/>
  <c r="B352" i="5"/>
  <c r="AO351" i="5"/>
  <c r="AH351" i="5"/>
  <c r="AF351" i="5"/>
  <c r="AG351" i="5" s="1"/>
  <c r="B351" i="5"/>
  <c r="AO350" i="5"/>
  <c r="AH350" i="5"/>
  <c r="AF350" i="5"/>
  <c r="AG350" i="5" s="1"/>
  <c r="B350" i="5"/>
  <c r="AO349" i="5"/>
  <c r="AH349" i="5"/>
  <c r="AF349" i="5"/>
  <c r="AG349" i="5" s="1"/>
  <c r="B349" i="5"/>
  <c r="AO348" i="5"/>
  <c r="AH348" i="5"/>
  <c r="AF348" i="5"/>
  <c r="AG348" i="5" s="1"/>
  <c r="B348" i="5"/>
  <c r="AO347" i="5"/>
  <c r="AH347" i="5"/>
  <c r="AF347" i="5"/>
  <c r="AG347" i="5" s="1"/>
  <c r="B347" i="5"/>
  <c r="AO346" i="5"/>
  <c r="AH346" i="5"/>
  <c r="AF346" i="5"/>
  <c r="AG346" i="5" s="1"/>
  <c r="B346" i="5"/>
  <c r="AO345" i="5"/>
  <c r="AH345" i="5"/>
  <c r="AF345" i="5"/>
  <c r="AG345" i="5" s="1"/>
  <c r="B345" i="5"/>
  <c r="AO344" i="5"/>
  <c r="AH344" i="5"/>
  <c r="AF344" i="5"/>
  <c r="AG344" i="5" s="1"/>
  <c r="B344" i="5"/>
  <c r="AO343" i="5"/>
  <c r="AH343" i="5"/>
  <c r="AF343" i="5"/>
  <c r="AG343" i="5" s="1"/>
  <c r="B343" i="5"/>
  <c r="AF342" i="5"/>
  <c r="B342" i="5"/>
  <c r="AO341" i="5"/>
  <c r="AH341" i="5"/>
  <c r="AF341" i="5"/>
  <c r="AG341" i="5" s="1"/>
  <c r="B341" i="5"/>
  <c r="AO340" i="5"/>
  <c r="AH340" i="5"/>
  <c r="AF340" i="5"/>
  <c r="AG340" i="5" s="1"/>
  <c r="B340" i="5"/>
  <c r="AO339" i="5"/>
  <c r="AH339" i="5"/>
  <c r="AF339" i="5"/>
  <c r="AG339" i="5" s="1"/>
  <c r="B339" i="5"/>
  <c r="AO338" i="5"/>
  <c r="AH338" i="5"/>
  <c r="AF338" i="5"/>
  <c r="AG338" i="5" s="1"/>
  <c r="B338" i="5"/>
  <c r="AO337" i="5"/>
  <c r="AH337" i="5"/>
  <c r="AF337" i="5"/>
  <c r="AG337" i="5" s="1"/>
  <c r="B337" i="5"/>
  <c r="AO336" i="5"/>
  <c r="AH336" i="5"/>
  <c r="AF336" i="5"/>
  <c r="AG336" i="5" s="1"/>
  <c r="B336" i="5"/>
  <c r="AO335" i="5"/>
  <c r="AH335" i="5"/>
  <c r="AF335" i="5"/>
  <c r="AG335" i="5" s="1"/>
  <c r="B335" i="5"/>
  <c r="AO334" i="5"/>
  <c r="AH334" i="5"/>
  <c r="AF334" i="5"/>
  <c r="AG334" i="5" s="1"/>
  <c r="B334" i="5"/>
  <c r="AO333" i="5"/>
  <c r="AH333" i="5"/>
  <c r="AF333" i="5"/>
  <c r="AG333" i="5" s="1"/>
  <c r="B333" i="5"/>
  <c r="AO332" i="5"/>
  <c r="AH332" i="5"/>
  <c r="AF332" i="5"/>
  <c r="AG332" i="5" s="1"/>
  <c r="B332" i="5"/>
  <c r="AO331" i="5"/>
  <c r="AH331" i="5"/>
  <c r="AF331" i="5"/>
  <c r="AG331" i="5" s="1"/>
  <c r="B331" i="5"/>
  <c r="AO330" i="5"/>
  <c r="AH330" i="5"/>
  <c r="AF330" i="5"/>
  <c r="AG330" i="5" s="1"/>
  <c r="B330" i="5"/>
  <c r="AO329" i="5"/>
  <c r="AH329" i="5"/>
  <c r="AF329" i="5"/>
  <c r="AG329" i="5" s="1"/>
  <c r="B329" i="5"/>
  <c r="AO328" i="5"/>
  <c r="AH328" i="5"/>
  <c r="AF328" i="5"/>
  <c r="AG328" i="5" s="1"/>
  <c r="B328" i="5"/>
  <c r="AO327" i="5"/>
  <c r="AH327" i="5"/>
  <c r="AF327" i="5"/>
  <c r="AG327" i="5" s="1"/>
  <c r="B327" i="5"/>
  <c r="AO326" i="5"/>
  <c r="AH326" i="5"/>
  <c r="AF326" i="5"/>
  <c r="AG326" i="5" s="1"/>
  <c r="B326" i="5"/>
  <c r="AO325" i="5"/>
  <c r="AH325" i="5"/>
  <c r="AF325" i="5"/>
  <c r="AG325" i="5" s="1"/>
  <c r="B325" i="5"/>
  <c r="AO324" i="5"/>
  <c r="AH324" i="5"/>
  <c r="AF324" i="5"/>
  <c r="AG324" i="5" s="1"/>
  <c r="B324" i="5"/>
  <c r="AO323" i="5"/>
  <c r="AH323" i="5"/>
  <c r="AF323" i="5"/>
  <c r="AG323" i="5" s="1"/>
  <c r="B323" i="5"/>
  <c r="AO322" i="5"/>
  <c r="AH322" i="5"/>
  <c r="AF322" i="5"/>
  <c r="AG322" i="5" s="1"/>
  <c r="B322" i="5"/>
  <c r="AF321" i="5"/>
  <c r="B321" i="5"/>
  <c r="AO320" i="5"/>
  <c r="AH320" i="5"/>
  <c r="AF320" i="5"/>
  <c r="AG320" i="5" s="1"/>
  <c r="B320" i="5"/>
  <c r="AO319" i="5"/>
  <c r="AH319" i="5"/>
  <c r="AF319" i="5"/>
  <c r="AG319" i="5" s="1"/>
  <c r="B319" i="5"/>
  <c r="AO318" i="5"/>
  <c r="AH318" i="5"/>
  <c r="AF318" i="5"/>
  <c r="AG318" i="5" s="1"/>
  <c r="B318" i="5"/>
  <c r="AO317" i="5"/>
  <c r="AH317" i="5"/>
  <c r="AF317" i="5"/>
  <c r="AG317" i="5" s="1"/>
  <c r="B317" i="5"/>
  <c r="AO316" i="5"/>
  <c r="AH316" i="5"/>
  <c r="AF316" i="5"/>
  <c r="AG316" i="5" s="1"/>
  <c r="B316" i="5"/>
  <c r="AF315" i="5"/>
  <c r="AO315" i="5" s="1"/>
  <c r="B315" i="5"/>
  <c r="AO314" i="5"/>
  <c r="AF314" i="5"/>
  <c r="B314" i="5"/>
  <c r="AF313" i="5"/>
  <c r="B313" i="5"/>
  <c r="AF312" i="5"/>
  <c r="B312" i="5"/>
  <c r="AO311" i="5"/>
  <c r="AH311" i="5"/>
  <c r="AF311" i="5"/>
  <c r="AG311" i="5" s="1"/>
  <c r="B311" i="5"/>
  <c r="AO310" i="5"/>
  <c r="AH310" i="5"/>
  <c r="AF310" i="5"/>
  <c r="AG310" i="5" s="1"/>
  <c r="B310" i="5"/>
  <c r="AO309" i="5"/>
  <c r="AF309" i="5"/>
  <c r="AH309" i="5" s="1"/>
  <c r="B309" i="5"/>
  <c r="AO308" i="5"/>
  <c r="AH308" i="5"/>
  <c r="AF308" i="5"/>
  <c r="AG308" i="5" s="1"/>
  <c r="B308" i="5"/>
  <c r="AO307" i="5"/>
  <c r="AH307" i="5"/>
  <c r="AF307" i="5"/>
  <c r="AG307" i="5" s="1"/>
  <c r="B307" i="5"/>
  <c r="AO306" i="5"/>
  <c r="AH306" i="5"/>
  <c r="AF306" i="5"/>
  <c r="AG306" i="5" s="1"/>
  <c r="B306" i="5"/>
  <c r="AO305" i="5"/>
  <c r="AH305" i="5"/>
  <c r="AF305" i="5"/>
  <c r="AG305" i="5" s="1"/>
  <c r="B305" i="5"/>
  <c r="AO304" i="5"/>
  <c r="AH304" i="5"/>
  <c r="AF304" i="5"/>
  <c r="AG304" i="5" s="1"/>
  <c r="B304" i="5"/>
  <c r="AO303" i="5"/>
  <c r="AH303" i="5"/>
  <c r="AF303" i="5"/>
  <c r="AG303" i="5" s="1"/>
  <c r="B303" i="5"/>
  <c r="AF302" i="5"/>
  <c r="B302" i="5"/>
  <c r="AF301" i="5"/>
  <c r="B301" i="5"/>
  <c r="AO300" i="5"/>
  <c r="AF300" i="5"/>
  <c r="AH300" i="5" s="1"/>
  <c r="B300" i="5"/>
  <c r="AF299" i="5"/>
  <c r="AO299" i="5" s="1"/>
  <c r="B299" i="5"/>
  <c r="AF298" i="5"/>
  <c r="B298" i="5"/>
  <c r="AF297" i="5"/>
  <c r="B297" i="5"/>
  <c r="AF296" i="5"/>
  <c r="AH296" i="5" s="1"/>
  <c r="B296" i="5"/>
  <c r="AF295" i="5"/>
  <c r="AO295" i="5" s="1"/>
  <c r="B295" i="5"/>
  <c r="AO294" i="5"/>
  <c r="AH294" i="5"/>
  <c r="AF294" i="5"/>
  <c r="AG294" i="5" s="1"/>
  <c r="B294" i="5"/>
  <c r="AO293" i="5"/>
  <c r="AH293" i="5"/>
  <c r="AF293" i="5"/>
  <c r="AG293" i="5" s="1"/>
  <c r="B293" i="5"/>
  <c r="AO292" i="5"/>
  <c r="AH292" i="5"/>
  <c r="AF292" i="5"/>
  <c r="AG292" i="5" s="1"/>
  <c r="B292" i="5"/>
  <c r="AO291" i="5"/>
  <c r="AH291" i="5"/>
  <c r="AF291" i="5"/>
  <c r="AG291" i="5" s="1"/>
  <c r="B291" i="5"/>
  <c r="AO290" i="5"/>
  <c r="AH290" i="5"/>
  <c r="AF290" i="5"/>
  <c r="AG290" i="5" s="1"/>
  <c r="B290" i="5"/>
  <c r="AO289" i="5"/>
  <c r="AH289" i="5"/>
  <c r="AF289" i="5"/>
  <c r="AG289" i="5" s="1"/>
  <c r="B289" i="5"/>
  <c r="AF288" i="5"/>
  <c r="AH288" i="5" s="1"/>
  <c r="B288" i="5"/>
  <c r="AF287" i="5"/>
  <c r="AO287" i="5" s="1"/>
  <c r="B287" i="5"/>
  <c r="AF286" i="5"/>
  <c r="B286" i="5"/>
  <c r="AF285" i="5"/>
  <c r="AO285" i="5" s="1"/>
  <c r="B285" i="5"/>
  <c r="AF284" i="5"/>
  <c r="AH284" i="5" s="1"/>
  <c r="B284" i="5"/>
  <c r="AO283" i="5"/>
  <c r="AH283" i="5"/>
  <c r="AF283" i="5"/>
  <c r="AG283" i="5" s="1"/>
  <c r="B283" i="5"/>
  <c r="AO282" i="5"/>
  <c r="AH282" i="5"/>
  <c r="AF282" i="5"/>
  <c r="AG282" i="5" s="1"/>
  <c r="B282" i="5"/>
  <c r="AO281" i="5"/>
  <c r="AH281" i="5"/>
  <c r="AF281" i="5"/>
  <c r="AG281" i="5" s="1"/>
  <c r="B281" i="5"/>
  <c r="AO280" i="5"/>
  <c r="AH280" i="5"/>
  <c r="AF280" i="5"/>
  <c r="AG280" i="5" s="1"/>
  <c r="B280" i="5"/>
  <c r="AF279" i="5"/>
  <c r="AO279" i="5" s="1"/>
  <c r="B279" i="5"/>
  <c r="AO278" i="5"/>
  <c r="AH278" i="5"/>
  <c r="AF278" i="5"/>
  <c r="AG278" i="5" s="1"/>
  <c r="B278" i="5"/>
  <c r="AO277" i="5"/>
  <c r="AH277" i="5"/>
  <c r="AF277" i="5"/>
  <c r="AG277" i="5" s="1"/>
  <c r="B277" i="5"/>
  <c r="AF276" i="5"/>
  <c r="AH276" i="5" s="1"/>
  <c r="B276" i="5"/>
  <c r="AO275" i="5"/>
  <c r="AH275" i="5"/>
  <c r="AF275" i="5"/>
  <c r="AG275" i="5" s="1"/>
  <c r="B275" i="5"/>
  <c r="AO274" i="5"/>
  <c r="AH274" i="5"/>
  <c r="AF274" i="5"/>
  <c r="AG274" i="5" s="1"/>
  <c r="B274" i="5"/>
  <c r="AO273" i="5"/>
  <c r="AH273" i="5"/>
  <c r="AF273" i="5"/>
  <c r="AG273" i="5" s="1"/>
  <c r="B273" i="5"/>
  <c r="AO272" i="5"/>
  <c r="AH272" i="5"/>
  <c r="AF272" i="5"/>
  <c r="AG272" i="5" s="1"/>
  <c r="B272" i="5"/>
  <c r="AO271" i="5"/>
  <c r="AH271" i="5"/>
  <c r="AF271" i="5"/>
  <c r="AG271" i="5" s="1"/>
  <c r="B271" i="5"/>
  <c r="AO270" i="5"/>
  <c r="AH270" i="5"/>
  <c r="AF270" i="5"/>
  <c r="AG270" i="5" s="1"/>
  <c r="B270" i="5"/>
  <c r="AO269" i="5"/>
  <c r="AH269" i="5"/>
  <c r="AF269" i="5"/>
  <c r="AG269" i="5" s="1"/>
  <c r="B269" i="5"/>
  <c r="AO268" i="5"/>
  <c r="AH268" i="5"/>
  <c r="AF268" i="5"/>
  <c r="AG268" i="5" s="1"/>
  <c r="B268" i="5"/>
  <c r="AO267" i="5"/>
  <c r="AH267" i="5"/>
  <c r="AF267" i="5"/>
  <c r="AG267" i="5" s="1"/>
  <c r="B267" i="5"/>
  <c r="AO266" i="5"/>
  <c r="AH266" i="5"/>
  <c r="AF266" i="5"/>
  <c r="AG266" i="5" s="1"/>
  <c r="B266" i="5"/>
  <c r="AF265" i="5"/>
  <c r="B265" i="5"/>
  <c r="AO264" i="5"/>
  <c r="AH264" i="5"/>
  <c r="AF264" i="5"/>
  <c r="AG264" i="5" s="1"/>
  <c r="B264" i="5"/>
  <c r="AF263" i="5"/>
  <c r="AO263" i="5" s="1"/>
  <c r="B263" i="5"/>
  <c r="AF262" i="5"/>
  <c r="AO262" i="5" s="1"/>
  <c r="B262" i="5"/>
  <c r="AF261" i="5"/>
  <c r="AG261" i="5" s="1"/>
  <c r="B261" i="5"/>
  <c r="AO260" i="5"/>
  <c r="AH260" i="5"/>
  <c r="AF260" i="5"/>
  <c r="AG260" i="5" s="1"/>
  <c r="B260" i="5"/>
  <c r="AO259" i="5"/>
  <c r="AH259" i="5"/>
  <c r="AF259" i="5"/>
  <c r="AG259" i="5" s="1"/>
  <c r="B259" i="5"/>
  <c r="AO258" i="5"/>
  <c r="AH258" i="5"/>
  <c r="AF258" i="5"/>
  <c r="AG258" i="5" s="1"/>
  <c r="B258" i="5"/>
  <c r="AO257" i="5"/>
  <c r="AH257" i="5"/>
  <c r="AF257" i="5"/>
  <c r="AG257" i="5" s="1"/>
  <c r="B257" i="5"/>
  <c r="AO256" i="5"/>
  <c r="AH256" i="5"/>
  <c r="AF256" i="5"/>
  <c r="AG256" i="5" s="1"/>
  <c r="B256" i="5"/>
  <c r="AO255" i="5"/>
  <c r="AH255" i="5"/>
  <c r="AF255" i="5"/>
  <c r="AG255" i="5" s="1"/>
  <c r="B255" i="5"/>
  <c r="AO254" i="5"/>
  <c r="AH254" i="5"/>
  <c r="AF254" i="5"/>
  <c r="AG254" i="5" s="1"/>
  <c r="B254" i="5"/>
  <c r="AO253" i="5"/>
  <c r="AH253" i="5"/>
  <c r="AF253" i="5"/>
  <c r="AG253" i="5" s="1"/>
  <c r="B253" i="5"/>
  <c r="AO252" i="5"/>
  <c r="AH252" i="5"/>
  <c r="AF252" i="5"/>
  <c r="AG252" i="5" s="1"/>
  <c r="B252" i="5"/>
  <c r="AO251" i="5"/>
  <c r="AH251" i="5"/>
  <c r="AF251" i="5"/>
  <c r="AG251" i="5" s="1"/>
  <c r="B251" i="5"/>
  <c r="AO250" i="5"/>
  <c r="AH250" i="5"/>
  <c r="AF250" i="5"/>
  <c r="AG250" i="5" s="1"/>
  <c r="B250" i="5"/>
  <c r="AO249" i="5"/>
  <c r="AH249" i="5"/>
  <c r="AF249" i="5"/>
  <c r="AG249" i="5" s="1"/>
  <c r="B249" i="5"/>
  <c r="AO248" i="5"/>
  <c r="AH248" i="5"/>
  <c r="AF248" i="5"/>
  <c r="AG248" i="5" s="1"/>
  <c r="B248" i="5"/>
  <c r="AO247" i="5"/>
  <c r="AH247" i="5"/>
  <c r="AF247" i="5"/>
  <c r="AG247" i="5" s="1"/>
  <c r="B247" i="5"/>
  <c r="AO246" i="5"/>
  <c r="AH246" i="5"/>
  <c r="AF246" i="5"/>
  <c r="AG246" i="5" s="1"/>
  <c r="B246" i="5"/>
  <c r="AO245" i="5"/>
  <c r="AH245" i="5"/>
  <c r="AF245" i="5"/>
  <c r="AG245" i="5" s="1"/>
  <c r="B245" i="5"/>
  <c r="AO244" i="5"/>
  <c r="AH244" i="5"/>
  <c r="AF244" i="5"/>
  <c r="AG244" i="5" s="1"/>
  <c r="B244" i="5"/>
  <c r="AO243" i="5"/>
  <c r="AH243" i="5"/>
  <c r="AF243" i="5"/>
  <c r="AG243" i="5" s="1"/>
  <c r="B243" i="5"/>
  <c r="AO242" i="5"/>
  <c r="AH242" i="5"/>
  <c r="AF242" i="5"/>
  <c r="AG242" i="5" s="1"/>
  <c r="B242" i="5"/>
  <c r="AO241" i="5"/>
  <c r="AH241" i="5"/>
  <c r="AF241" i="5"/>
  <c r="AG241" i="5" s="1"/>
  <c r="B241" i="5"/>
  <c r="AO240" i="5"/>
  <c r="AH240" i="5"/>
  <c r="AF240" i="5"/>
  <c r="AG240" i="5" s="1"/>
  <c r="B240" i="5"/>
  <c r="AO239" i="5"/>
  <c r="AH239" i="5"/>
  <c r="AF239" i="5"/>
  <c r="AG239" i="5" s="1"/>
  <c r="B239" i="5"/>
  <c r="AO238" i="5"/>
  <c r="AH238" i="5"/>
  <c r="AF238" i="5"/>
  <c r="AG238" i="5" s="1"/>
  <c r="B238" i="5"/>
  <c r="AO237" i="5"/>
  <c r="AH237" i="5"/>
  <c r="AF237" i="5"/>
  <c r="AG237" i="5" s="1"/>
  <c r="B237" i="5"/>
  <c r="AO236" i="5"/>
  <c r="AH236" i="5"/>
  <c r="AF236" i="5"/>
  <c r="AG236" i="5" s="1"/>
  <c r="B236" i="5"/>
  <c r="AO235" i="5"/>
  <c r="AH235" i="5"/>
  <c r="AF235" i="5"/>
  <c r="AG235" i="5" s="1"/>
  <c r="B235" i="5"/>
  <c r="AO234" i="5"/>
  <c r="AH234" i="5"/>
  <c r="AF234" i="5"/>
  <c r="AG234" i="5" s="1"/>
  <c r="B234" i="5"/>
  <c r="AO233" i="5"/>
  <c r="AH233" i="5"/>
  <c r="AF233" i="5"/>
  <c r="AG233" i="5" s="1"/>
  <c r="B233" i="5"/>
  <c r="AO232" i="5"/>
  <c r="AH232" i="5"/>
  <c r="AF232" i="5"/>
  <c r="AG232" i="5" s="1"/>
  <c r="B232" i="5"/>
  <c r="AO231" i="5"/>
  <c r="AH231" i="5"/>
  <c r="AF231" i="5"/>
  <c r="AG231" i="5" s="1"/>
  <c r="B231" i="5"/>
  <c r="AO230" i="5"/>
  <c r="AH230" i="5"/>
  <c r="AF230" i="5"/>
  <c r="AG230" i="5" s="1"/>
  <c r="B230" i="5"/>
  <c r="AO229" i="5"/>
  <c r="AH229" i="5"/>
  <c r="AF229" i="5"/>
  <c r="AG229" i="5" s="1"/>
  <c r="B229" i="5"/>
  <c r="AO228" i="5"/>
  <c r="AH228" i="5"/>
  <c r="AF228" i="5"/>
  <c r="AG228" i="5" s="1"/>
  <c r="B228" i="5"/>
  <c r="AO227" i="5"/>
  <c r="AH227" i="5"/>
  <c r="AF227" i="5"/>
  <c r="AG227" i="5" s="1"/>
  <c r="B227" i="5"/>
  <c r="AO226" i="5"/>
  <c r="AH226" i="5"/>
  <c r="AF226" i="5"/>
  <c r="AG226" i="5" s="1"/>
  <c r="B226" i="5"/>
  <c r="AO225" i="5"/>
  <c r="AH225" i="5"/>
  <c r="AF225" i="5"/>
  <c r="AG225" i="5" s="1"/>
  <c r="B225" i="5"/>
  <c r="AO224" i="5"/>
  <c r="AH224" i="5"/>
  <c r="AF224" i="5"/>
  <c r="AG224" i="5" s="1"/>
  <c r="B224" i="5"/>
  <c r="AO223" i="5"/>
  <c r="AH223" i="5"/>
  <c r="AF223" i="5"/>
  <c r="AG223" i="5" s="1"/>
  <c r="B223" i="5"/>
  <c r="AO222" i="5"/>
  <c r="AH222" i="5"/>
  <c r="AF222" i="5"/>
  <c r="AG222" i="5" s="1"/>
  <c r="B222" i="5"/>
  <c r="AO221" i="5"/>
  <c r="AH221" i="5"/>
  <c r="AF221" i="5"/>
  <c r="AG221" i="5" s="1"/>
  <c r="B221" i="5"/>
  <c r="AO220" i="5"/>
  <c r="AH220" i="5"/>
  <c r="AF220" i="5"/>
  <c r="AG220" i="5" s="1"/>
  <c r="B220" i="5"/>
  <c r="AO219" i="5"/>
  <c r="AH219" i="5"/>
  <c r="AF219" i="5"/>
  <c r="AG219" i="5" s="1"/>
  <c r="B219" i="5"/>
  <c r="AO218" i="5"/>
  <c r="AH218" i="5"/>
  <c r="AF218" i="5"/>
  <c r="AG218" i="5" s="1"/>
  <c r="B218" i="5"/>
  <c r="AO217" i="5"/>
  <c r="AH217" i="5"/>
  <c r="AF217" i="5"/>
  <c r="AG217" i="5" s="1"/>
  <c r="B217" i="5"/>
  <c r="AO216" i="5"/>
  <c r="AH216" i="5"/>
  <c r="AF216" i="5"/>
  <c r="AG216" i="5" s="1"/>
  <c r="B216" i="5"/>
  <c r="AO215" i="5"/>
  <c r="AH215" i="5"/>
  <c r="AF215" i="5"/>
  <c r="AG215" i="5" s="1"/>
  <c r="B215" i="5"/>
  <c r="AO214" i="5"/>
  <c r="AH214" i="5"/>
  <c r="AF214" i="5"/>
  <c r="AG214" i="5" s="1"/>
  <c r="B214" i="5"/>
  <c r="AO213" i="5"/>
  <c r="AH213" i="5"/>
  <c r="AF213" i="5"/>
  <c r="AG213" i="5" s="1"/>
  <c r="B213" i="5"/>
  <c r="AF212" i="5"/>
  <c r="AH212" i="5" s="1"/>
  <c r="B212" i="5"/>
  <c r="AO211" i="5"/>
  <c r="AH211" i="5"/>
  <c r="AF211" i="5"/>
  <c r="AG211" i="5" s="1"/>
  <c r="B211" i="5"/>
  <c r="AO210" i="5"/>
  <c r="AH210" i="5"/>
  <c r="AF210" i="5"/>
  <c r="AG210" i="5" s="1"/>
  <c r="B210" i="5"/>
  <c r="AO209" i="5"/>
  <c r="AH209" i="5"/>
  <c r="AF209" i="5"/>
  <c r="AG209" i="5" s="1"/>
  <c r="B209" i="5"/>
  <c r="AO208" i="5"/>
  <c r="AH208" i="5"/>
  <c r="AF208" i="5"/>
  <c r="AG208" i="5" s="1"/>
  <c r="B208" i="5"/>
  <c r="AF207" i="5"/>
  <c r="AO207" i="5" s="1"/>
  <c r="B207" i="5"/>
  <c r="AO206" i="5"/>
  <c r="AH206" i="5"/>
  <c r="AF206" i="5"/>
  <c r="AG206" i="5" s="1"/>
  <c r="B206" i="5"/>
  <c r="AO205" i="5"/>
  <c r="AH205" i="5"/>
  <c r="AF205" i="5"/>
  <c r="AG205" i="5" s="1"/>
  <c r="B205" i="5"/>
  <c r="AO204" i="5"/>
  <c r="AH204" i="5"/>
  <c r="AF204" i="5"/>
  <c r="AG204" i="5" s="1"/>
  <c r="B204" i="5"/>
  <c r="AO203" i="5"/>
  <c r="AH203" i="5"/>
  <c r="AF203" i="5"/>
  <c r="AG203" i="5" s="1"/>
  <c r="B203" i="5"/>
  <c r="AO202" i="5"/>
  <c r="AH202" i="5"/>
  <c r="AF202" i="5"/>
  <c r="AG202" i="5" s="1"/>
  <c r="B202" i="5"/>
  <c r="AO201" i="5"/>
  <c r="AH201" i="5"/>
  <c r="AF201" i="5"/>
  <c r="AG201" i="5" s="1"/>
  <c r="B201" i="5"/>
  <c r="AO200" i="5"/>
  <c r="AH200" i="5"/>
  <c r="AF200" i="5"/>
  <c r="AG200" i="5" s="1"/>
  <c r="B200" i="5"/>
  <c r="AF199" i="5"/>
  <c r="AO199" i="5" s="1"/>
  <c r="B199" i="5"/>
  <c r="AF198" i="5"/>
  <c r="AG198" i="5" s="1"/>
  <c r="B198" i="5"/>
  <c r="AO197" i="5"/>
  <c r="AH197" i="5"/>
  <c r="AF197" i="5"/>
  <c r="AG197" i="5" s="1"/>
  <c r="B197" i="5"/>
  <c r="AO196" i="5"/>
  <c r="AH196" i="5"/>
  <c r="AF196" i="5"/>
  <c r="AG196" i="5" s="1"/>
  <c r="B196" i="5"/>
  <c r="AO195" i="5"/>
  <c r="AH195" i="5"/>
  <c r="AF195" i="5"/>
  <c r="AG195" i="5" s="1"/>
  <c r="B195" i="5"/>
  <c r="AO194" i="5"/>
  <c r="AH194" i="5"/>
  <c r="AF194" i="5"/>
  <c r="AG194" i="5" s="1"/>
  <c r="B194" i="5"/>
  <c r="AO193" i="5"/>
  <c r="AH193" i="5"/>
  <c r="AF193" i="5"/>
  <c r="AG193" i="5" s="1"/>
  <c r="B193" i="5"/>
  <c r="AO192" i="5"/>
  <c r="AH192" i="5"/>
  <c r="AF192" i="5"/>
  <c r="AG192" i="5" s="1"/>
  <c r="B192" i="5"/>
  <c r="AO191" i="5"/>
  <c r="AH191" i="5"/>
  <c r="AF191" i="5"/>
  <c r="AG191" i="5" s="1"/>
  <c r="B191" i="5"/>
  <c r="AO190" i="5"/>
  <c r="AH190" i="5"/>
  <c r="AF190" i="5"/>
  <c r="AG190" i="5" s="1"/>
  <c r="B190" i="5"/>
  <c r="AO189" i="5"/>
  <c r="AH189" i="5"/>
  <c r="AF189" i="5"/>
  <c r="AG189" i="5" s="1"/>
  <c r="B189" i="5"/>
  <c r="AO188" i="5"/>
  <c r="AH188" i="5"/>
  <c r="AF188" i="5"/>
  <c r="AG188" i="5" s="1"/>
  <c r="B188" i="5"/>
  <c r="AO187" i="5"/>
  <c r="AH187" i="5"/>
  <c r="AF187" i="5"/>
  <c r="AG187" i="5" s="1"/>
  <c r="B187" i="5"/>
  <c r="AO186" i="5"/>
  <c r="AH186" i="5"/>
  <c r="AF186" i="5"/>
  <c r="AG186" i="5" s="1"/>
  <c r="B186" i="5"/>
  <c r="AO185" i="5"/>
  <c r="AH185" i="5"/>
  <c r="AF185" i="5"/>
  <c r="AG185" i="5" s="1"/>
  <c r="B185" i="5"/>
  <c r="AF184" i="5"/>
  <c r="AH184" i="5" s="1"/>
  <c r="B184" i="5"/>
  <c r="AO183" i="5"/>
  <c r="AH183" i="5"/>
  <c r="AF183" i="5"/>
  <c r="AG183" i="5" s="1"/>
  <c r="B183" i="5"/>
  <c r="AO182" i="5"/>
  <c r="AH182" i="5"/>
  <c r="AF182" i="5"/>
  <c r="AG182" i="5" s="1"/>
  <c r="B182" i="5"/>
  <c r="AO181" i="5"/>
  <c r="AH181" i="5"/>
  <c r="AF181" i="5"/>
  <c r="AG181" i="5" s="1"/>
  <c r="B181" i="5"/>
  <c r="AO180" i="5"/>
  <c r="AH180" i="5"/>
  <c r="AF180" i="5"/>
  <c r="AG180" i="5" s="1"/>
  <c r="B180" i="5"/>
  <c r="AO179" i="5"/>
  <c r="AH179" i="5"/>
  <c r="AF179" i="5"/>
  <c r="AG179" i="5" s="1"/>
  <c r="B179" i="5"/>
  <c r="AO178" i="5"/>
  <c r="AH178" i="5"/>
  <c r="AF178" i="5"/>
  <c r="AG178" i="5" s="1"/>
  <c r="B178" i="5"/>
  <c r="AO177" i="5"/>
  <c r="AH177" i="5"/>
  <c r="AF177" i="5"/>
  <c r="AG177" i="5" s="1"/>
  <c r="B177" i="5"/>
  <c r="AO176" i="5"/>
  <c r="AH176" i="5"/>
  <c r="AF176" i="5"/>
  <c r="AG176" i="5" s="1"/>
  <c r="B176" i="5"/>
  <c r="AO175" i="5"/>
  <c r="AH175" i="5"/>
  <c r="AF175" i="5"/>
  <c r="AG175" i="5" s="1"/>
  <c r="B175" i="5"/>
  <c r="AO174" i="5"/>
  <c r="AH174" i="5"/>
  <c r="AF174" i="5"/>
  <c r="AG174" i="5" s="1"/>
  <c r="B174" i="5"/>
  <c r="AO173" i="5"/>
  <c r="AH173" i="5"/>
  <c r="AF173" i="5"/>
  <c r="AG173" i="5" s="1"/>
  <c r="B173" i="5"/>
  <c r="AO172" i="5"/>
  <c r="AH172" i="5"/>
  <c r="AF172" i="5"/>
  <c r="AG172" i="5" s="1"/>
  <c r="B172" i="5"/>
  <c r="AO171" i="5"/>
  <c r="AH171" i="5"/>
  <c r="AF171" i="5"/>
  <c r="AG171" i="5" s="1"/>
  <c r="B171" i="5"/>
  <c r="AO170" i="5"/>
  <c r="AH170" i="5"/>
  <c r="AF170" i="5"/>
  <c r="AG170" i="5" s="1"/>
  <c r="B170" i="5"/>
  <c r="AO169" i="5"/>
  <c r="AH169" i="5"/>
  <c r="AF169" i="5"/>
  <c r="AG169" i="5" s="1"/>
  <c r="B169" i="5"/>
  <c r="AO168" i="5"/>
  <c r="AH168" i="5"/>
  <c r="AF168" i="5"/>
  <c r="AG168" i="5" s="1"/>
  <c r="B168" i="5"/>
  <c r="AO167" i="5"/>
  <c r="AH167" i="5"/>
  <c r="AF167" i="5"/>
  <c r="AG167" i="5" s="1"/>
  <c r="B167" i="5"/>
  <c r="AO166" i="5"/>
  <c r="AH166" i="5"/>
  <c r="AF166" i="5"/>
  <c r="AG166" i="5" s="1"/>
  <c r="B166" i="5"/>
  <c r="AO165" i="5"/>
  <c r="AH165" i="5"/>
  <c r="AF165" i="5"/>
  <c r="AG165" i="5" s="1"/>
  <c r="B165" i="5"/>
  <c r="AO164" i="5"/>
  <c r="AH164" i="5"/>
  <c r="AF164" i="5"/>
  <c r="AG164" i="5" s="1"/>
  <c r="B164" i="5"/>
  <c r="AO163" i="5"/>
  <c r="AH163" i="5"/>
  <c r="AF163" i="5"/>
  <c r="AG163" i="5" s="1"/>
  <c r="B163" i="5"/>
  <c r="AO162" i="5"/>
  <c r="AH162" i="5"/>
  <c r="AF162" i="5"/>
  <c r="AG162" i="5" s="1"/>
  <c r="B162" i="5"/>
  <c r="AO161" i="5"/>
  <c r="AH161" i="5"/>
  <c r="AF161" i="5"/>
  <c r="AG161" i="5" s="1"/>
  <c r="B161" i="5"/>
  <c r="AO160" i="5"/>
  <c r="AH160" i="5"/>
  <c r="AF160" i="5"/>
  <c r="AG160" i="5" s="1"/>
  <c r="B160" i="5"/>
  <c r="AO159" i="5"/>
  <c r="AH159" i="5"/>
  <c r="AF159" i="5"/>
  <c r="AG159" i="5" s="1"/>
  <c r="B159" i="5"/>
  <c r="AO158" i="5"/>
  <c r="AH158" i="5"/>
  <c r="AF158" i="5"/>
  <c r="AG158" i="5" s="1"/>
  <c r="B158" i="5"/>
  <c r="AO157" i="5"/>
  <c r="AH157" i="5"/>
  <c r="AF157" i="5"/>
  <c r="AG157" i="5" s="1"/>
  <c r="B157" i="5"/>
  <c r="AO156" i="5"/>
  <c r="AH156" i="5"/>
  <c r="AF156" i="5"/>
  <c r="AG156" i="5" s="1"/>
  <c r="B156" i="5"/>
  <c r="AO155" i="5"/>
  <c r="AH155" i="5"/>
  <c r="AF155" i="5"/>
  <c r="AG155" i="5" s="1"/>
  <c r="B155" i="5"/>
  <c r="AO154" i="5"/>
  <c r="AH154" i="5"/>
  <c r="AF154" i="5"/>
  <c r="AG154" i="5" s="1"/>
  <c r="B154" i="5"/>
  <c r="AO153" i="5"/>
  <c r="AH153" i="5"/>
  <c r="AF153" i="5"/>
  <c r="AG153" i="5" s="1"/>
  <c r="B153" i="5"/>
  <c r="AO152" i="5"/>
  <c r="AH152" i="5"/>
  <c r="AF152" i="5"/>
  <c r="AG152" i="5" s="1"/>
  <c r="B152" i="5"/>
  <c r="AO151" i="5"/>
  <c r="AH151" i="5"/>
  <c r="AF151" i="5"/>
  <c r="AG151" i="5" s="1"/>
  <c r="B151" i="5"/>
  <c r="AO150" i="5"/>
  <c r="AH150" i="5"/>
  <c r="AF150" i="5"/>
  <c r="AG150" i="5" s="1"/>
  <c r="B150" i="5"/>
  <c r="AO149" i="5"/>
  <c r="AH149" i="5"/>
  <c r="AF149" i="5"/>
  <c r="AG149" i="5" s="1"/>
  <c r="B149" i="5"/>
  <c r="AO148" i="5"/>
  <c r="AH148" i="5"/>
  <c r="AF148" i="5"/>
  <c r="AG148" i="5" s="1"/>
  <c r="B148" i="5"/>
  <c r="AO147" i="5"/>
  <c r="AH147" i="5"/>
  <c r="AF147" i="5"/>
  <c r="AG147" i="5" s="1"/>
  <c r="B147" i="5"/>
  <c r="AO146" i="5"/>
  <c r="AH146" i="5"/>
  <c r="AF146" i="5"/>
  <c r="AG146" i="5" s="1"/>
  <c r="B146" i="5"/>
  <c r="AO145" i="5"/>
  <c r="AH145" i="5"/>
  <c r="AF145" i="5"/>
  <c r="AG145" i="5" s="1"/>
  <c r="B145" i="5"/>
  <c r="AO144" i="5"/>
  <c r="AH144" i="5"/>
  <c r="AF144" i="5"/>
  <c r="AG144" i="5" s="1"/>
  <c r="B144" i="5"/>
  <c r="AO143" i="5"/>
  <c r="AH143" i="5"/>
  <c r="AF143" i="5"/>
  <c r="AG143" i="5" s="1"/>
  <c r="B143" i="5"/>
  <c r="AO142" i="5"/>
  <c r="AH142" i="5"/>
  <c r="AF142" i="5"/>
  <c r="AG142" i="5" s="1"/>
  <c r="B142" i="5"/>
  <c r="AO141" i="5"/>
  <c r="AH141" i="5"/>
  <c r="AF141" i="5"/>
  <c r="AG141" i="5" s="1"/>
  <c r="B141" i="5"/>
  <c r="AO140" i="5"/>
  <c r="AH140" i="5"/>
  <c r="AF140" i="5"/>
  <c r="AG140" i="5" s="1"/>
  <c r="B140" i="5"/>
  <c r="AO139" i="5"/>
  <c r="AH139" i="5"/>
  <c r="AF139" i="5"/>
  <c r="AG139" i="5" s="1"/>
  <c r="B139" i="5"/>
  <c r="AO138" i="5"/>
  <c r="AH138" i="5"/>
  <c r="AF138" i="5"/>
  <c r="AG138" i="5" s="1"/>
  <c r="B138" i="5"/>
  <c r="AO137" i="5"/>
  <c r="AH137" i="5"/>
  <c r="AF137" i="5"/>
  <c r="AG137" i="5" s="1"/>
  <c r="B137" i="5"/>
  <c r="AO136" i="5"/>
  <c r="AH136" i="5"/>
  <c r="AF136" i="5"/>
  <c r="AG136" i="5" s="1"/>
  <c r="B136" i="5"/>
  <c r="AO135" i="5"/>
  <c r="AH135" i="5"/>
  <c r="AF135" i="5"/>
  <c r="AG135" i="5" s="1"/>
  <c r="B135" i="5"/>
  <c r="AO134" i="5"/>
  <c r="AH134" i="5"/>
  <c r="AF134" i="5"/>
  <c r="AG134" i="5" s="1"/>
  <c r="B134" i="5"/>
  <c r="AO133" i="5"/>
  <c r="AH133" i="5"/>
  <c r="AF133" i="5"/>
  <c r="AG133" i="5" s="1"/>
  <c r="B133" i="5"/>
  <c r="AO132" i="5"/>
  <c r="AH132" i="5"/>
  <c r="AF132" i="5"/>
  <c r="AG132" i="5" s="1"/>
  <c r="B132" i="5"/>
  <c r="AO131" i="5"/>
  <c r="AH131" i="5"/>
  <c r="AF131" i="5"/>
  <c r="AG131" i="5" s="1"/>
  <c r="B131" i="5"/>
  <c r="AO130" i="5"/>
  <c r="AH130" i="5"/>
  <c r="AF130" i="5"/>
  <c r="AG130" i="5" s="1"/>
  <c r="B130" i="5"/>
  <c r="AO129" i="5"/>
  <c r="AH129" i="5"/>
  <c r="AF129" i="5"/>
  <c r="AG129" i="5" s="1"/>
  <c r="B129" i="5"/>
  <c r="AO128" i="5"/>
  <c r="AH128" i="5"/>
  <c r="AF128" i="5"/>
  <c r="AG128" i="5" s="1"/>
  <c r="B128" i="5"/>
  <c r="AO127" i="5"/>
  <c r="AH127" i="5"/>
  <c r="AF127" i="5"/>
  <c r="AG127" i="5" s="1"/>
  <c r="B127" i="5"/>
  <c r="AO126" i="5"/>
  <c r="AH126" i="5"/>
  <c r="AF126" i="5"/>
  <c r="AG126" i="5" s="1"/>
  <c r="B126" i="5"/>
  <c r="AO125" i="5"/>
  <c r="AH125" i="5"/>
  <c r="AF125" i="5"/>
  <c r="AG125" i="5" s="1"/>
  <c r="B125" i="5"/>
  <c r="AO124" i="5"/>
  <c r="AH124" i="5"/>
  <c r="AF124" i="5"/>
  <c r="AG124" i="5" s="1"/>
  <c r="B124" i="5"/>
  <c r="AO123" i="5"/>
  <c r="AH123" i="5"/>
  <c r="AF123" i="5"/>
  <c r="AG123" i="5" s="1"/>
  <c r="B123" i="5"/>
  <c r="AO122" i="5"/>
  <c r="AH122" i="5"/>
  <c r="AF122" i="5"/>
  <c r="AG122" i="5" s="1"/>
  <c r="B122" i="5"/>
  <c r="AO121" i="5"/>
  <c r="AH121" i="5"/>
  <c r="AF121" i="5"/>
  <c r="AG121" i="5" s="1"/>
  <c r="B121" i="5"/>
  <c r="AO120" i="5"/>
  <c r="AH120" i="5"/>
  <c r="AF120" i="5"/>
  <c r="AG120" i="5" s="1"/>
  <c r="B120" i="5"/>
  <c r="AO119" i="5"/>
  <c r="AH119" i="5"/>
  <c r="AF119" i="5"/>
  <c r="AG119" i="5" s="1"/>
  <c r="B119" i="5"/>
  <c r="AO118" i="5"/>
  <c r="AH118" i="5"/>
  <c r="AF118" i="5"/>
  <c r="AG118" i="5" s="1"/>
  <c r="B118" i="5"/>
  <c r="AO117" i="5"/>
  <c r="AH117" i="5"/>
  <c r="AF117" i="5"/>
  <c r="AG117" i="5" s="1"/>
  <c r="B117" i="5"/>
  <c r="AO116" i="5"/>
  <c r="AH116" i="5"/>
  <c r="AF116" i="5"/>
  <c r="AG116" i="5" s="1"/>
  <c r="B116" i="5"/>
  <c r="AO115" i="5"/>
  <c r="AH115" i="5"/>
  <c r="AF115" i="5"/>
  <c r="AG115" i="5" s="1"/>
  <c r="B115" i="5"/>
  <c r="AO114" i="5"/>
  <c r="AH114" i="5"/>
  <c r="AF114" i="5"/>
  <c r="AG114" i="5" s="1"/>
  <c r="B114" i="5"/>
  <c r="AO113" i="5"/>
  <c r="AH113" i="5"/>
  <c r="AF113" i="5"/>
  <c r="AG113" i="5" s="1"/>
  <c r="B113" i="5"/>
  <c r="AO112" i="5"/>
  <c r="AH112" i="5"/>
  <c r="AF112" i="5"/>
  <c r="AG112" i="5" s="1"/>
  <c r="B112" i="5"/>
  <c r="AO111" i="5"/>
  <c r="AH111" i="5"/>
  <c r="AF111" i="5"/>
  <c r="AG111" i="5" s="1"/>
  <c r="B111" i="5"/>
  <c r="AO110" i="5"/>
  <c r="AH110" i="5"/>
  <c r="AF110" i="5"/>
  <c r="AG110" i="5" s="1"/>
  <c r="B110" i="5"/>
  <c r="AO109" i="5"/>
  <c r="AH109" i="5"/>
  <c r="AF109" i="5"/>
  <c r="AG109" i="5" s="1"/>
  <c r="B109" i="5"/>
  <c r="AO108" i="5"/>
  <c r="AH108" i="5"/>
  <c r="AF108" i="5"/>
  <c r="AG108" i="5" s="1"/>
  <c r="B108" i="5"/>
  <c r="AO107" i="5"/>
  <c r="AH107" i="5"/>
  <c r="AF107" i="5"/>
  <c r="AG107" i="5" s="1"/>
  <c r="B107" i="5"/>
  <c r="AO106" i="5"/>
  <c r="AH106" i="5"/>
  <c r="AF106" i="5"/>
  <c r="AG106" i="5" s="1"/>
  <c r="B106" i="5"/>
  <c r="AO105" i="5"/>
  <c r="AH105" i="5"/>
  <c r="AF105" i="5"/>
  <c r="AG105" i="5" s="1"/>
  <c r="B105" i="5"/>
  <c r="AO104" i="5"/>
  <c r="AH104" i="5"/>
  <c r="AF104" i="5"/>
  <c r="AG104" i="5" s="1"/>
  <c r="B104" i="5"/>
  <c r="AO103" i="5"/>
  <c r="AH103" i="5"/>
  <c r="AF103" i="5"/>
  <c r="AG103" i="5" s="1"/>
  <c r="B103" i="5"/>
  <c r="AO102" i="5"/>
  <c r="AH102" i="5"/>
  <c r="AF102" i="5"/>
  <c r="AG102" i="5" s="1"/>
  <c r="B102" i="5"/>
  <c r="AO101" i="5"/>
  <c r="AH101" i="5"/>
  <c r="AF101" i="5"/>
  <c r="AG101" i="5" s="1"/>
  <c r="B101" i="5"/>
  <c r="AO100" i="5"/>
  <c r="AH100" i="5"/>
  <c r="AF100" i="5"/>
  <c r="AG100" i="5" s="1"/>
  <c r="B100" i="5"/>
  <c r="AO99" i="5"/>
  <c r="AH99" i="5"/>
  <c r="AF99" i="5"/>
  <c r="AG99" i="5" s="1"/>
  <c r="B99" i="5"/>
  <c r="AO98" i="5"/>
  <c r="AH98" i="5"/>
  <c r="AF98" i="5"/>
  <c r="AG98" i="5" s="1"/>
  <c r="B98" i="5"/>
  <c r="AO97" i="5"/>
  <c r="AH97" i="5"/>
  <c r="AF97" i="5"/>
  <c r="AG97" i="5" s="1"/>
  <c r="B97" i="5"/>
  <c r="AO96" i="5"/>
  <c r="AH96" i="5"/>
  <c r="AF96" i="5"/>
  <c r="AG96" i="5" s="1"/>
  <c r="B96" i="5"/>
  <c r="AO95" i="5"/>
  <c r="AH95" i="5"/>
  <c r="AF95" i="5"/>
  <c r="AG95" i="5" s="1"/>
  <c r="B95" i="5"/>
  <c r="AO94" i="5"/>
  <c r="AH94" i="5"/>
  <c r="AF94" i="5"/>
  <c r="AG94" i="5" s="1"/>
  <c r="B94" i="5"/>
  <c r="AO93" i="5"/>
  <c r="AH93" i="5"/>
  <c r="AF93" i="5"/>
  <c r="AG93" i="5" s="1"/>
  <c r="B93" i="5"/>
  <c r="AO92" i="5"/>
  <c r="AH92" i="5"/>
  <c r="AF92" i="5"/>
  <c r="AG92" i="5" s="1"/>
  <c r="B92" i="5"/>
  <c r="AO91" i="5"/>
  <c r="AH91" i="5"/>
  <c r="AF91" i="5"/>
  <c r="AG91" i="5" s="1"/>
  <c r="B91" i="5"/>
  <c r="AO90" i="5"/>
  <c r="AH90" i="5"/>
  <c r="AF90" i="5"/>
  <c r="AG90" i="5" s="1"/>
  <c r="B90" i="5"/>
  <c r="AO89" i="5"/>
  <c r="AH89" i="5"/>
  <c r="AF89" i="5"/>
  <c r="AG89" i="5" s="1"/>
  <c r="B89" i="5"/>
  <c r="AO88" i="5"/>
  <c r="AH88" i="5"/>
  <c r="AF88" i="5"/>
  <c r="AG88" i="5" s="1"/>
  <c r="B88" i="5"/>
  <c r="AO87" i="5"/>
  <c r="AH87" i="5"/>
  <c r="AF87" i="5"/>
  <c r="AG87" i="5" s="1"/>
  <c r="B87" i="5"/>
  <c r="AO86" i="5"/>
  <c r="AH86" i="5"/>
  <c r="AF86" i="5"/>
  <c r="AG86" i="5" s="1"/>
  <c r="B86" i="5"/>
  <c r="AO85" i="5"/>
  <c r="AH85" i="5"/>
  <c r="AF85" i="5"/>
  <c r="AG85" i="5" s="1"/>
  <c r="B85" i="5"/>
  <c r="AO84" i="5"/>
  <c r="AH84" i="5"/>
  <c r="AF84" i="5"/>
  <c r="AG84" i="5" s="1"/>
  <c r="B84" i="5"/>
  <c r="AO83" i="5"/>
  <c r="AH83" i="5"/>
  <c r="AF83" i="5"/>
  <c r="AG83" i="5" s="1"/>
  <c r="B83" i="5"/>
  <c r="AO82" i="5"/>
  <c r="AH82" i="5"/>
  <c r="AF82" i="5"/>
  <c r="AG82" i="5" s="1"/>
  <c r="B82" i="5"/>
  <c r="AO81" i="5"/>
  <c r="AH81" i="5"/>
  <c r="AF81" i="5"/>
  <c r="AG81" i="5" s="1"/>
  <c r="B81" i="5"/>
  <c r="AO80" i="5"/>
  <c r="AH80" i="5"/>
  <c r="AF80" i="5"/>
  <c r="AG80" i="5" s="1"/>
  <c r="B80" i="5"/>
  <c r="AO79" i="5"/>
  <c r="AH79" i="5"/>
  <c r="AF79" i="5"/>
  <c r="AG79" i="5" s="1"/>
  <c r="B79" i="5"/>
  <c r="AO78" i="5"/>
  <c r="AH78" i="5"/>
  <c r="AF78" i="5"/>
  <c r="AG78" i="5" s="1"/>
  <c r="B78" i="5"/>
  <c r="AO77" i="5"/>
  <c r="AH77" i="5"/>
  <c r="AF77" i="5"/>
  <c r="AG77" i="5" s="1"/>
  <c r="B77" i="5"/>
  <c r="AO76" i="5"/>
  <c r="AH76" i="5"/>
  <c r="AF76" i="5"/>
  <c r="AG76" i="5" s="1"/>
  <c r="B76" i="5"/>
  <c r="AO75" i="5"/>
  <c r="AH75" i="5"/>
  <c r="AF75" i="5"/>
  <c r="AG75" i="5" s="1"/>
  <c r="B75" i="5"/>
  <c r="AO74" i="5"/>
  <c r="AH74" i="5"/>
  <c r="AF74" i="5"/>
  <c r="AG74" i="5" s="1"/>
  <c r="B74" i="5"/>
  <c r="AO73" i="5"/>
  <c r="AH73" i="5"/>
  <c r="AF73" i="5"/>
  <c r="AG73" i="5" s="1"/>
  <c r="B73" i="5"/>
  <c r="AO72" i="5"/>
  <c r="AH72" i="5"/>
  <c r="AF72" i="5"/>
  <c r="AG72" i="5" s="1"/>
  <c r="B72" i="5"/>
  <c r="AO71" i="5"/>
  <c r="AH71" i="5"/>
  <c r="AF71" i="5"/>
  <c r="AG71" i="5" s="1"/>
  <c r="B71" i="5"/>
  <c r="AO70" i="5"/>
  <c r="AH70" i="5"/>
  <c r="AF70" i="5"/>
  <c r="AG70" i="5" s="1"/>
  <c r="B70" i="5"/>
  <c r="AO69" i="5"/>
  <c r="AH69" i="5"/>
  <c r="AF69" i="5"/>
  <c r="AG69" i="5" s="1"/>
  <c r="B69" i="5"/>
  <c r="AO68" i="5"/>
  <c r="AH68" i="5"/>
  <c r="AF68" i="5"/>
  <c r="AG68" i="5" s="1"/>
  <c r="B68" i="5"/>
  <c r="AO67" i="5"/>
  <c r="AH67" i="5"/>
  <c r="AF67" i="5"/>
  <c r="AG67" i="5" s="1"/>
  <c r="B67" i="5"/>
  <c r="AO66" i="5"/>
  <c r="AH66" i="5"/>
  <c r="AF66" i="5"/>
  <c r="AG66" i="5" s="1"/>
  <c r="B66" i="5"/>
  <c r="AO65" i="5"/>
  <c r="AH65" i="5"/>
  <c r="AF65" i="5"/>
  <c r="AG65" i="5" s="1"/>
  <c r="B65" i="5"/>
  <c r="AO64" i="5"/>
  <c r="AH64" i="5"/>
  <c r="AF64" i="5"/>
  <c r="AG64" i="5" s="1"/>
  <c r="B64" i="5"/>
  <c r="AO63" i="5"/>
  <c r="AH63" i="5"/>
  <c r="AF63" i="5"/>
  <c r="AG63" i="5" s="1"/>
  <c r="B63" i="5"/>
  <c r="AO62" i="5"/>
  <c r="AH62" i="5"/>
  <c r="AF62" i="5"/>
  <c r="AG62" i="5" s="1"/>
  <c r="B62" i="5"/>
  <c r="AO61" i="5"/>
  <c r="AH61" i="5"/>
  <c r="AF61" i="5"/>
  <c r="AG61" i="5" s="1"/>
  <c r="B61" i="5"/>
  <c r="AO60" i="5"/>
  <c r="AH60" i="5"/>
  <c r="AF60" i="5"/>
  <c r="AG60" i="5" s="1"/>
  <c r="B60" i="5"/>
  <c r="AO59" i="5"/>
  <c r="AH59" i="5"/>
  <c r="AF59" i="5"/>
  <c r="AG59" i="5" s="1"/>
  <c r="B59" i="5"/>
  <c r="AO58" i="5"/>
  <c r="AH58" i="5"/>
  <c r="AF58" i="5"/>
  <c r="AG58" i="5" s="1"/>
  <c r="B58" i="5"/>
  <c r="AO57" i="5"/>
  <c r="AH57" i="5"/>
  <c r="AF57" i="5"/>
  <c r="AG57" i="5" s="1"/>
  <c r="B57" i="5"/>
  <c r="AO56" i="5"/>
  <c r="AH56" i="5"/>
  <c r="AF56" i="5"/>
  <c r="AG56" i="5" s="1"/>
  <c r="B56" i="5"/>
  <c r="AO55" i="5"/>
  <c r="AH55" i="5"/>
  <c r="AF55" i="5"/>
  <c r="AG55" i="5" s="1"/>
  <c r="B55" i="5"/>
  <c r="AO54" i="5"/>
  <c r="AH54" i="5"/>
  <c r="AF54" i="5"/>
  <c r="AG54" i="5" s="1"/>
  <c r="B54" i="5"/>
  <c r="AO53" i="5"/>
  <c r="AH53" i="5"/>
  <c r="AF53" i="5"/>
  <c r="AG53" i="5" s="1"/>
  <c r="B53" i="5"/>
  <c r="AO52" i="5"/>
  <c r="AH52" i="5"/>
  <c r="AF52" i="5"/>
  <c r="AG52" i="5" s="1"/>
  <c r="B52" i="5"/>
  <c r="AO51" i="5"/>
  <c r="AH51" i="5"/>
  <c r="AF51" i="5"/>
  <c r="AG51" i="5" s="1"/>
  <c r="B51" i="5"/>
  <c r="AO50" i="5"/>
  <c r="AH50" i="5"/>
  <c r="AF50" i="5"/>
  <c r="AG50" i="5" s="1"/>
  <c r="B50" i="5"/>
  <c r="AO49" i="5"/>
  <c r="AH49" i="5"/>
  <c r="AF49" i="5"/>
  <c r="AG49" i="5" s="1"/>
  <c r="B49" i="5"/>
  <c r="AO48" i="5"/>
  <c r="AH48" i="5"/>
  <c r="AF48" i="5"/>
  <c r="AG48" i="5" s="1"/>
  <c r="B48" i="5"/>
  <c r="AO47" i="5"/>
  <c r="AH47" i="5"/>
  <c r="AF47" i="5"/>
  <c r="AG47" i="5" s="1"/>
  <c r="B47" i="5"/>
  <c r="AO46" i="5"/>
  <c r="AH46" i="5"/>
  <c r="AF46" i="5"/>
  <c r="AG46" i="5" s="1"/>
  <c r="B46" i="5"/>
  <c r="AO45" i="5"/>
  <c r="AH45" i="5"/>
  <c r="AF45" i="5"/>
  <c r="AG45" i="5" s="1"/>
  <c r="B45" i="5"/>
  <c r="AO44" i="5"/>
  <c r="AH44" i="5"/>
  <c r="AF44" i="5"/>
  <c r="AG44" i="5" s="1"/>
  <c r="B44" i="5"/>
  <c r="AO43" i="5"/>
  <c r="AH43" i="5"/>
  <c r="AF43" i="5"/>
  <c r="AG43" i="5" s="1"/>
  <c r="B43" i="5"/>
  <c r="AO42" i="5"/>
  <c r="AH42" i="5"/>
  <c r="AF42" i="5"/>
  <c r="AG42" i="5" s="1"/>
  <c r="B42" i="5"/>
  <c r="AO41" i="5"/>
  <c r="AH41" i="5"/>
  <c r="AF41" i="5"/>
  <c r="AG41" i="5" s="1"/>
  <c r="B41" i="5"/>
  <c r="AO40" i="5"/>
  <c r="AH40" i="5"/>
  <c r="AF40" i="5"/>
  <c r="AG40" i="5" s="1"/>
  <c r="B40" i="5"/>
  <c r="AO39" i="5"/>
  <c r="AH39" i="5"/>
  <c r="AF39" i="5"/>
  <c r="AG39" i="5" s="1"/>
  <c r="B39" i="5"/>
  <c r="AO38" i="5"/>
  <c r="AH38" i="5"/>
  <c r="AF38" i="5"/>
  <c r="AG38" i="5" s="1"/>
  <c r="B38" i="5"/>
  <c r="AO37" i="5"/>
  <c r="AH37" i="5"/>
  <c r="AF37" i="5"/>
  <c r="AG37" i="5" s="1"/>
  <c r="B37" i="5"/>
  <c r="AF36" i="5"/>
  <c r="AG36" i="5" s="1"/>
  <c r="B36" i="5"/>
  <c r="AO35" i="5"/>
  <c r="AH35" i="5"/>
  <c r="AF35" i="5"/>
  <c r="AG35" i="5" s="1"/>
  <c r="B35" i="5"/>
  <c r="AF34" i="5"/>
  <c r="AO34" i="5" s="1"/>
  <c r="B34" i="5"/>
  <c r="AF33" i="5"/>
  <c r="B33" i="5"/>
  <c r="AO32" i="5"/>
  <c r="AH32" i="5"/>
  <c r="AF32" i="5"/>
  <c r="AG32" i="5" s="1"/>
  <c r="B32" i="5"/>
  <c r="AF31" i="5"/>
  <c r="AO31" i="5" s="1"/>
  <c r="B31" i="5"/>
  <c r="AO30" i="5"/>
  <c r="AH30" i="5"/>
  <c r="AF30" i="5"/>
  <c r="AG30" i="5" s="1"/>
  <c r="B30" i="5"/>
  <c r="AO29" i="5"/>
  <c r="AH29" i="5"/>
  <c r="AF29" i="5"/>
  <c r="AG29" i="5" s="1"/>
  <c r="B29" i="5"/>
  <c r="AO28" i="5"/>
  <c r="AH28" i="5"/>
  <c r="AF28" i="5"/>
  <c r="AG28" i="5" s="1"/>
  <c r="B28" i="5"/>
  <c r="AO27" i="5"/>
  <c r="AH27" i="5"/>
  <c r="AF27" i="5"/>
  <c r="AG27" i="5" s="1"/>
  <c r="B27" i="5"/>
  <c r="AO26" i="5"/>
  <c r="AH26" i="5"/>
  <c r="AF26" i="5"/>
  <c r="AG26" i="5" s="1"/>
  <c r="B26" i="5"/>
  <c r="AO25" i="5"/>
  <c r="AH25" i="5"/>
  <c r="AF25" i="5"/>
  <c r="AG25" i="5" s="1"/>
  <c r="B25" i="5"/>
  <c r="AO24" i="5"/>
  <c r="AH24" i="5"/>
  <c r="AF24" i="5"/>
  <c r="AG24" i="5" s="1"/>
  <c r="B24" i="5"/>
  <c r="AO23" i="5"/>
  <c r="AH23" i="5"/>
  <c r="AF23" i="5"/>
  <c r="AG23" i="5" s="1"/>
  <c r="B23" i="5"/>
  <c r="AO22" i="5"/>
  <c r="AH22" i="5"/>
  <c r="AF22" i="5"/>
  <c r="AG22" i="5" s="1"/>
  <c r="B22" i="5"/>
  <c r="AO21" i="5"/>
  <c r="AH21" i="5"/>
  <c r="AF21" i="5"/>
  <c r="AG21" i="5" s="1"/>
  <c r="B21" i="5"/>
  <c r="AO20" i="5"/>
  <c r="AH20" i="5"/>
  <c r="AF20" i="5"/>
  <c r="AG20" i="5" s="1"/>
  <c r="B20" i="5"/>
  <c r="AO19" i="5"/>
  <c r="AH19" i="5"/>
  <c r="AF19" i="5"/>
  <c r="AG19" i="5" s="1"/>
  <c r="B19" i="5"/>
  <c r="AO18" i="5"/>
  <c r="AH18" i="5"/>
  <c r="AF18" i="5"/>
  <c r="AG18" i="5" s="1"/>
  <c r="B18" i="5"/>
  <c r="AO17" i="5"/>
  <c r="AH17" i="5"/>
  <c r="AF17" i="5"/>
  <c r="AG17" i="5" s="1"/>
  <c r="B17" i="5"/>
  <c r="AO16" i="5"/>
  <c r="AH16" i="5"/>
  <c r="AF16" i="5"/>
  <c r="AG16" i="5" s="1"/>
  <c r="B16" i="5"/>
  <c r="AO15" i="5"/>
  <c r="AH15" i="5"/>
  <c r="AF15" i="5"/>
  <c r="AG15" i="5" s="1"/>
  <c r="B15" i="5"/>
  <c r="AO14" i="5"/>
  <c r="AH14" i="5"/>
  <c r="AF14" i="5"/>
  <c r="AG14" i="5" s="1"/>
  <c r="B14" i="5"/>
  <c r="AO13" i="5"/>
  <c r="AH13" i="5"/>
  <c r="AF13" i="5"/>
  <c r="AG13" i="5" s="1"/>
  <c r="B13" i="5"/>
  <c r="AO12" i="5"/>
  <c r="AH12" i="5"/>
  <c r="AF12" i="5"/>
  <c r="AG12" i="5" s="1"/>
  <c r="B12" i="5"/>
  <c r="AO11" i="5"/>
  <c r="AH11" i="5"/>
  <c r="AF11" i="5"/>
  <c r="AG11" i="5" s="1"/>
  <c r="B11" i="5"/>
  <c r="AO10" i="5"/>
  <c r="AH10" i="5"/>
  <c r="AF10" i="5"/>
  <c r="AG10" i="5" s="1"/>
  <c r="B10" i="5"/>
  <c r="AO9" i="5"/>
  <c r="AH9" i="5"/>
  <c r="AF9" i="5"/>
  <c r="AG9" i="5" s="1"/>
  <c r="B9" i="5"/>
  <c r="AO8" i="5"/>
  <c r="AH8" i="5"/>
  <c r="AF8" i="5"/>
  <c r="AG8" i="5" s="1"/>
  <c r="B8" i="5"/>
  <c r="AO7" i="5"/>
  <c r="AH7" i="5"/>
  <c r="AF7" i="5"/>
  <c r="AG7" i="5" s="1"/>
  <c r="B7" i="5"/>
  <c r="AO6" i="5"/>
  <c r="AH6" i="5"/>
  <c r="AF6" i="5"/>
  <c r="AG6" i="5" s="1"/>
  <c r="B6" i="5"/>
  <c r="AO5" i="5"/>
  <c r="AH5" i="5"/>
  <c r="AF5" i="5"/>
  <c r="AG5" i="5" s="1"/>
  <c r="B5" i="5"/>
  <c r="AO4" i="5"/>
  <c r="AH4" i="5"/>
  <c r="AF4" i="5"/>
  <c r="AG4" i="5" s="1"/>
  <c r="B4" i="5"/>
  <c r="J916" i="4"/>
  <c r="I916" i="4"/>
  <c r="I895" i="4" s="1"/>
  <c r="H916" i="4"/>
  <c r="G916" i="4"/>
  <c r="F916" i="4"/>
  <c r="E916" i="4"/>
  <c r="D916" i="4"/>
  <c r="C916" i="4"/>
  <c r="J915" i="4"/>
  <c r="I915" i="4"/>
  <c r="H915" i="4"/>
  <c r="G915" i="4"/>
  <c r="F915" i="4"/>
  <c r="E915" i="4"/>
  <c r="E894" i="4" s="1"/>
  <c r="D915" i="4"/>
  <c r="C915" i="4"/>
  <c r="J914" i="4"/>
  <c r="I914" i="4"/>
  <c r="H914" i="4"/>
  <c r="G914" i="4"/>
  <c r="F914" i="4"/>
  <c r="E914" i="4"/>
  <c r="D914" i="4"/>
  <c r="C914" i="4"/>
  <c r="J913" i="4"/>
  <c r="I913" i="4"/>
  <c r="I892" i="4" s="1"/>
  <c r="H913" i="4"/>
  <c r="G913" i="4"/>
  <c r="F913" i="4"/>
  <c r="E913" i="4"/>
  <c r="D913" i="4"/>
  <c r="C913" i="4"/>
  <c r="J912" i="4"/>
  <c r="I912" i="4"/>
  <c r="H912" i="4"/>
  <c r="G912" i="4"/>
  <c r="F912" i="4"/>
  <c r="E912" i="4"/>
  <c r="E891" i="4" s="1"/>
  <c r="D912" i="4"/>
  <c r="C912" i="4"/>
  <c r="J911" i="4"/>
  <c r="I911" i="4"/>
  <c r="H911" i="4"/>
  <c r="G911" i="4"/>
  <c r="F911" i="4"/>
  <c r="E911" i="4"/>
  <c r="D911" i="4"/>
  <c r="C911" i="4"/>
  <c r="J910" i="4"/>
  <c r="I910" i="4"/>
  <c r="I890" i="4" s="1"/>
  <c r="H910" i="4"/>
  <c r="G910" i="4"/>
  <c r="F910" i="4"/>
  <c r="E910" i="4"/>
  <c r="D910" i="4"/>
  <c r="S909" i="4"/>
  <c r="Y904" i="4" s="1"/>
  <c r="R909" i="4"/>
  <c r="Q909" i="4"/>
  <c r="P909" i="4"/>
  <c r="V904" i="4" s="1"/>
  <c r="J909" i="4"/>
  <c r="I909" i="4"/>
  <c r="H909" i="4"/>
  <c r="G909" i="4"/>
  <c r="F909" i="4"/>
  <c r="E909" i="4"/>
  <c r="D909" i="4"/>
  <c r="C909" i="4"/>
  <c r="S908" i="4"/>
  <c r="R908" i="4"/>
  <c r="X903" i="4" s="1"/>
  <c r="Q908" i="4"/>
  <c r="P908" i="4"/>
  <c r="J908" i="4"/>
  <c r="I908" i="4"/>
  <c r="H908" i="4"/>
  <c r="H890" i="4" s="1"/>
  <c r="G908" i="4"/>
  <c r="F908" i="4"/>
  <c r="E908" i="4"/>
  <c r="D908" i="4"/>
  <c r="C908" i="4"/>
  <c r="S907" i="4"/>
  <c r="R907" i="4"/>
  <c r="X902" i="4" s="1"/>
  <c r="Q907" i="4"/>
  <c r="P907" i="4"/>
  <c r="V902" i="4" s="1"/>
  <c r="Z902" i="4" s="1"/>
  <c r="J907" i="4"/>
  <c r="I907" i="4"/>
  <c r="H907" i="4"/>
  <c r="H889" i="4" s="1"/>
  <c r="G907" i="4"/>
  <c r="F907" i="4"/>
  <c r="E907" i="4"/>
  <c r="D907" i="4"/>
  <c r="C907" i="4"/>
  <c r="S906" i="4"/>
  <c r="Y901" i="4" s="1"/>
  <c r="R906" i="4"/>
  <c r="X901" i="4" s="1"/>
  <c r="Q906" i="4"/>
  <c r="P906" i="4"/>
  <c r="W884" i="4" s="1"/>
  <c r="W888" i="4" s="1"/>
  <c r="J906" i="4"/>
  <c r="I906" i="4"/>
  <c r="H906" i="4"/>
  <c r="G906" i="4"/>
  <c r="F906" i="4"/>
  <c r="E906" i="4"/>
  <c r="D906" i="4"/>
  <c r="C906" i="4"/>
  <c r="S905" i="4"/>
  <c r="R905" i="4"/>
  <c r="V886" i="4" s="1"/>
  <c r="Q905" i="4"/>
  <c r="P905" i="4"/>
  <c r="J905" i="4"/>
  <c r="I905" i="4"/>
  <c r="H905" i="4"/>
  <c r="H888" i="4" s="1"/>
  <c r="G905" i="4"/>
  <c r="F905" i="4"/>
  <c r="E905" i="4"/>
  <c r="D905" i="4"/>
  <c r="X904" i="4"/>
  <c r="W904" i="4"/>
  <c r="S904" i="4"/>
  <c r="V887" i="4" s="1"/>
  <c r="R904" i="4"/>
  <c r="Q904" i="4"/>
  <c r="P904" i="4"/>
  <c r="V884" i="4" s="1"/>
  <c r="J904" i="4"/>
  <c r="I904" i="4"/>
  <c r="H904" i="4"/>
  <c r="G904" i="4"/>
  <c r="F904" i="4"/>
  <c r="E904" i="4"/>
  <c r="E887" i="4" s="1"/>
  <c r="D904" i="4"/>
  <c r="D887" i="4" s="1"/>
  <c r="C904" i="4"/>
  <c r="Y903" i="4"/>
  <c r="W903" i="4"/>
  <c r="V903" i="4"/>
  <c r="S903" i="4"/>
  <c r="R903" i="4"/>
  <c r="Q903" i="4"/>
  <c r="P903" i="4"/>
  <c r="J903" i="4"/>
  <c r="I903" i="4"/>
  <c r="I886" i="4" s="1"/>
  <c r="G903" i="4"/>
  <c r="G886" i="4" s="1"/>
  <c r="F903" i="4"/>
  <c r="E903" i="4"/>
  <c r="E886" i="4" s="1"/>
  <c r="D903" i="4"/>
  <c r="C903" i="4"/>
  <c r="Y902" i="4"/>
  <c r="W902" i="4"/>
  <c r="S902" i="4"/>
  <c r="U887" i="4" s="1"/>
  <c r="R902" i="4"/>
  <c r="Q902" i="4"/>
  <c r="P902" i="4"/>
  <c r="J902" i="4"/>
  <c r="J917" i="4" s="1"/>
  <c r="I902" i="4"/>
  <c r="I885" i="4" s="1"/>
  <c r="H902" i="4"/>
  <c r="G902" i="4"/>
  <c r="F902" i="4"/>
  <c r="F917" i="4" s="1"/>
  <c r="E902" i="4"/>
  <c r="D902" i="4"/>
  <c r="C902" i="4"/>
  <c r="W901" i="4"/>
  <c r="V901" i="4"/>
  <c r="S901" i="4"/>
  <c r="R901" i="4"/>
  <c r="U886" i="4" s="1"/>
  <c r="Q901" i="4"/>
  <c r="P901" i="4"/>
  <c r="W900" i="4"/>
  <c r="S900" i="4"/>
  <c r="R900" i="4"/>
  <c r="Q900" i="4"/>
  <c r="W898" i="4" s="1"/>
  <c r="P900" i="4"/>
  <c r="V898" i="4" s="1"/>
  <c r="Y899" i="4"/>
  <c r="W899" i="4"/>
  <c r="S899" i="4"/>
  <c r="R899" i="4"/>
  <c r="X897" i="4" s="1"/>
  <c r="Q899" i="4"/>
  <c r="P899" i="4"/>
  <c r="Y898" i="4"/>
  <c r="X898" i="4"/>
  <c r="S898" i="4"/>
  <c r="S887" i="4" s="1"/>
  <c r="R898" i="4"/>
  <c r="Q898" i="4"/>
  <c r="P898" i="4"/>
  <c r="W897" i="4"/>
  <c r="S897" i="4"/>
  <c r="Y896" i="4" s="1"/>
  <c r="R897" i="4"/>
  <c r="R886" i="4" s="1"/>
  <c r="Q897" i="4"/>
  <c r="P897" i="4"/>
  <c r="W896" i="4"/>
  <c r="V896" i="4"/>
  <c r="S896" i="4"/>
  <c r="R896" i="4"/>
  <c r="X895" i="4" s="1"/>
  <c r="Q896" i="4"/>
  <c r="W895" i="4" s="1"/>
  <c r="P896" i="4"/>
  <c r="Y895" i="4"/>
  <c r="S895" i="4"/>
  <c r="S910" i="4" s="1"/>
  <c r="R895" i="4"/>
  <c r="X894" i="4" s="1"/>
  <c r="Q895" i="4"/>
  <c r="P885" i="4" s="1"/>
  <c r="P895" i="4"/>
  <c r="V894" i="4" s="1"/>
  <c r="Z894" i="4" s="1"/>
  <c r="J895" i="4"/>
  <c r="H895" i="4"/>
  <c r="G895" i="4"/>
  <c r="F895" i="4"/>
  <c r="E895" i="4"/>
  <c r="D895" i="4"/>
  <c r="C895" i="4"/>
  <c r="W894" i="4"/>
  <c r="J894" i="4"/>
  <c r="I894" i="4"/>
  <c r="H894" i="4"/>
  <c r="G894" i="4"/>
  <c r="F894" i="4"/>
  <c r="D894" i="4"/>
  <c r="C894" i="4"/>
  <c r="J893" i="4"/>
  <c r="I893" i="4"/>
  <c r="H893" i="4"/>
  <c r="G893" i="4"/>
  <c r="F893" i="4"/>
  <c r="E893" i="4"/>
  <c r="D893" i="4"/>
  <c r="C893" i="4"/>
  <c r="J892" i="4"/>
  <c r="H892" i="4"/>
  <c r="G892" i="4"/>
  <c r="F892" i="4"/>
  <c r="E892" i="4"/>
  <c r="D892" i="4"/>
  <c r="C892" i="4"/>
  <c r="J891" i="4"/>
  <c r="I891" i="4"/>
  <c r="H891" i="4"/>
  <c r="G891" i="4"/>
  <c r="F891" i="4"/>
  <c r="D891" i="4"/>
  <c r="C891" i="4"/>
  <c r="J890" i="4"/>
  <c r="G890" i="4"/>
  <c r="F890" i="4"/>
  <c r="E890" i="4"/>
  <c r="D890" i="4"/>
  <c r="J889" i="4"/>
  <c r="I889" i="4"/>
  <c r="G889" i="4"/>
  <c r="F889" i="4"/>
  <c r="E889" i="4"/>
  <c r="D889" i="4"/>
  <c r="C889" i="4"/>
  <c r="J888" i="4"/>
  <c r="I888" i="4"/>
  <c r="G888" i="4"/>
  <c r="F888" i="4"/>
  <c r="E888" i="4"/>
  <c r="D888" i="4"/>
  <c r="Z887" i="4"/>
  <c r="Y887" i="4"/>
  <c r="X887" i="4"/>
  <c r="W887" i="4"/>
  <c r="T887" i="4"/>
  <c r="Q887" i="4"/>
  <c r="J887" i="4"/>
  <c r="I887" i="4"/>
  <c r="H887" i="4"/>
  <c r="G887" i="4"/>
  <c r="F887" i="4"/>
  <c r="C887" i="4"/>
  <c r="Z886" i="4"/>
  <c r="Y886" i="4"/>
  <c r="X886" i="4"/>
  <c r="W886" i="4"/>
  <c r="T886" i="4"/>
  <c r="J886" i="4"/>
  <c r="F886" i="4"/>
  <c r="D886" i="4"/>
  <c r="C886" i="4"/>
  <c r="Z885" i="4"/>
  <c r="Y885" i="4"/>
  <c r="X885" i="4"/>
  <c r="W885" i="4"/>
  <c r="V885" i="4"/>
  <c r="U885" i="4"/>
  <c r="S885" i="4"/>
  <c r="R885" i="4"/>
  <c r="Q885" i="4"/>
  <c r="J885" i="4"/>
  <c r="H885" i="4"/>
  <c r="G885" i="4"/>
  <c r="E885" i="4"/>
  <c r="D885" i="4"/>
  <c r="C885" i="4"/>
  <c r="Z884" i="4"/>
  <c r="Y884" i="4"/>
  <c r="X884" i="4"/>
  <c r="U884" i="4"/>
  <c r="T884" i="4"/>
  <c r="S884" i="4"/>
  <c r="R884" i="4"/>
  <c r="AO757" i="4"/>
  <c r="AH757" i="4"/>
  <c r="AF757" i="4"/>
  <c r="AG757" i="4" s="1"/>
  <c r="B757" i="4"/>
  <c r="AO756" i="4"/>
  <c r="AH756" i="4"/>
  <c r="AF756" i="4"/>
  <c r="AG756" i="4" s="1"/>
  <c r="B756" i="4"/>
  <c r="AO755" i="4"/>
  <c r="AH755" i="4"/>
  <c r="AF755" i="4"/>
  <c r="AG755" i="4" s="1"/>
  <c r="B755" i="4"/>
  <c r="AO754" i="4"/>
  <c r="AH754" i="4"/>
  <c r="AF754" i="4"/>
  <c r="AG754" i="4" s="1"/>
  <c r="B754" i="4"/>
  <c r="AO753" i="4"/>
  <c r="AH753" i="4"/>
  <c r="AF753" i="4"/>
  <c r="AG753" i="4" s="1"/>
  <c r="B753" i="4"/>
  <c r="AO752" i="4"/>
  <c r="AH752" i="4"/>
  <c r="AF752" i="4"/>
  <c r="AG752" i="4" s="1"/>
  <c r="B752" i="4"/>
  <c r="AO751" i="4"/>
  <c r="AH751" i="4"/>
  <c r="AF751" i="4"/>
  <c r="AG751" i="4" s="1"/>
  <c r="B751" i="4"/>
  <c r="AO750" i="4"/>
  <c r="AH750" i="4"/>
  <c r="AF750" i="4"/>
  <c r="AG750" i="4" s="1"/>
  <c r="B750" i="4"/>
  <c r="AO749" i="4"/>
  <c r="AH749" i="4"/>
  <c r="AF749" i="4"/>
  <c r="AG749" i="4" s="1"/>
  <c r="B749" i="4"/>
  <c r="AO748" i="4"/>
  <c r="AH748" i="4"/>
  <c r="AF748" i="4"/>
  <c r="AG748" i="4" s="1"/>
  <c r="B748" i="4"/>
  <c r="AO747" i="4"/>
  <c r="AH747" i="4"/>
  <c r="AF747" i="4"/>
  <c r="AG747" i="4" s="1"/>
  <c r="B747" i="4"/>
  <c r="AO746" i="4"/>
  <c r="AH746" i="4"/>
  <c r="AF746" i="4"/>
  <c r="AG746" i="4" s="1"/>
  <c r="B746" i="4"/>
  <c r="AO745" i="4"/>
  <c r="AH745" i="4"/>
  <c r="AF745" i="4"/>
  <c r="AG745" i="4" s="1"/>
  <c r="B745" i="4"/>
  <c r="AO744" i="4"/>
  <c r="AH744" i="4"/>
  <c r="AF744" i="4"/>
  <c r="AG744" i="4" s="1"/>
  <c r="B744" i="4"/>
  <c r="AO743" i="4"/>
  <c r="AH743" i="4"/>
  <c r="AF743" i="4"/>
  <c r="AG743" i="4" s="1"/>
  <c r="B743" i="4"/>
  <c r="AO742" i="4"/>
  <c r="AH742" i="4"/>
  <c r="AF742" i="4"/>
  <c r="AG742" i="4" s="1"/>
  <c r="B742" i="4"/>
  <c r="AO741" i="4"/>
  <c r="AH741" i="4"/>
  <c r="AF741" i="4"/>
  <c r="AG741" i="4" s="1"/>
  <c r="B741" i="4"/>
  <c r="AO740" i="4"/>
  <c r="AH740" i="4"/>
  <c r="AF740" i="4"/>
  <c r="AG740" i="4" s="1"/>
  <c r="B740" i="4"/>
  <c r="AO739" i="4"/>
  <c r="AH739" i="4"/>
  <c r="AF739" i="4"/>
  <c r="AG739" i="4" s="1"/>
  <c r="B739" i="4"/>
  <c r="AO738" i="4"/>
  <c r="AH738" i="4"/>
  <c r="AF738" i="4"/>
  <c r="AG738" i="4" s="1"/>
  <c r="B738" i="4"/>
  <c r="AO737" i="4"/>
  <c r="AH737" i="4"/>
  <c r="AF737" i="4"/>
  <c r="AG737" i="4" s="1"/>
  <c r="B737" i="4"/>
  <c r="AO736" i="4"/>
  <c r="AH736" i="4"/>
  <c r="AF736" i="4"/>
  <c r="AG736" i="4" s="1"/>
  <c r="B736" i="4"/>
  <c r="AO735" i="4"/>
  <c r="AH735" i="4"/>
  <c r="AF735" i="4"/>
  <c r="AG735" i="4" s="1"/>
  <c r="B735" i="4"/>
  <c r="AO734" i="4"/>
  <c r="AH734" i="4"/>
  <c r="AF734" i="4"/>
  <c r="AG734" i="4" s="1"/>
  <c r="B734" i="4"/>
  <c r="AO733" i="4"/>
  <c r="AH733" i="4"/>
  <c r="AF733" i="4"/>
  <c r="AG733" i="4" s="1"/>
  <c r="B733" i="4"/>
  <c r="AO732" i="4"/>
  <c r="AH732" i="4"/>
  <c r="AF732" i="4"/>
  <c r="AG732" i="4" s="1"/>
  <c r="B732" i="4"/>
  <c r="AO731" i="4"/>
  <c r="AH731" i="4"/>
  <c r="AF731" i="4"/>
  <c r="AG731" i="4" s="1"/>
  <c r="B731" i="4"/>
  <c r="AO730" i="4"/>
  <c r="AH730" i="4"/>
  <c r="AF730" i="4"/>
  <c r="AG730" i="4" s="1"/>
  <c r="B730" i="4"/>
  <c r="AO729" i="4"/>
  <c r="AH729" i="4"/>
  <c r="AF729" i="4"/>
  <c r="AG729" i="4" s="1"/>
  <c r="B729" i="4"/>
  <c r="AO728" i="4"/>
  <c r="AH728" i="4"/>
  <c r="AF728" i="4"/>
  <c r="AG728" i="4" s="1"/>
  <c r="B728" i="4"/>
  <c r="AO727" i="4"/>
  <c r="AH727" i="4"/>
  <c r="AF727" i="4"/>
  <c r="AG727" i="4" s="1"/>
  <c r="B727" i="4"/>
  <c r="AO726" i="4"/>
  <c r="AH726" i="4"/>
  <c r="AF726" i="4"/>
  <c r="AG726" i="4" s="1"/>
  <c r="B726" i="4"/>
  <c r="AO725" i="4"/>
  <c r="AH725" i="4"/>
  <c r="AF725" i="4"/>
  <c r="AG725" i="4" s="1"/>
  <c r="B725" i="4"/>
  <c r="AO724" i="4"/>
  <c r="AH724" i="4"/>
  <c r="AF724" i="4"/>
  <c r="AG724" i="4" s="1"/>
  <c r="B724" i="4"/>
  <c r="AO723" i="4"/>
  <c r="AH723" i="4"/>
  <c r="AF723" i="4"/>
  <c r="AG723" i="4" s="1"/>
  <c r="B723" i="4"/>
  <c r="AO722" i="4"/>
  <c r="AH722" i="4"/>
  <c r="AF722" i="4"/>
  <c r="AG722" i="4" s="1"/>
  <c r="B722" i="4"/>
  <c r="AO721" i="4"/>
  <c r="AH721" i="4"/>
  <c r="AF721" i="4"/>
  <c r="AG721" i="4" s="1"/>
  <c r="B721" i="4"/>
  <c r="AO720" i="4"/>
  <c r="AH720" i="4"/>
  <c r="AF720" i="4"/>
  <c r="AG720" i="4" s="1"/>
  <c r="B720" i="4"/>
  <c r="AO719" i="4"/>
  <c r="AH719" i="4"/>
  <c r="AF719" i="4"/>
  <c r="AG719" i="4" s="1"/>
  <c r="B719" i="4"/>
  <c r="AO718" i="4"/>
  <c r="AH718" i="4"/>
  <c r="AF718" i="4"/>
  <c r="AG718" i="4" s="1"/>
  <c r="B718" i="4"/>
  <c r="AO717" i="4"/>
  <c r="AH717" i="4"/>
  <c r="AF717" i="4"/>
  <c r="AG717" i="4" s="1"/>
  <c r="B717" i="4"/>
  <c r="AO716" i="4"/>
  <c r="AH716" i="4"/>
  <c r="AF716" i="4"/>
  <c r="AG716" i="4" s="1"/>
  <c r="B716" i="4"/>
  <c r="AO715" i="4"/>
  <c r="AH715" i="4"/>
  <c r="AF715" i="4"/>
  <c r="AG715" i="4" s="1"/>
  <c r="B715" i="4"/>
  <c r="AO714" i="4"/>
  <c r="AH714" i="4"/>
  <c r="AF714" i="4"/>
  <c r="AG714" i="4" s="1"/>
  <c r="B714" i="4"/>
  <c r="AO713" i="4"/>
  <c r="AH713" i="4"/>
  <c r="AF713" i="4"/>
  <c r="AG713" i="4" s="1"/>
  <c r="B713" i="4"/>
  <c r="AO712" i="4"/>
  <c r="AH712" i="4"/>
  <c r="AF712" i="4"/>
  <c r="AG712" i="4" s="1"/>
  <c r="B712" i="4"/>
  <c r="AO711" i="4"/>
  <c r="AH711" i="4"/>
  <c r="AF711" i="4"/>
  <c r="AG711" i="4" s="1"/>
  <c r="B711" i="4"/>
  <c r="AO710" i="4"/>
  <c r="AH710" i="4"/>
  <c r="AF710" i="4"/>
  <c r="AG710" i="4" s="1"/>
  <c r="B710" i="4"/>
  <c r="AO709" i="4"/>
  <c r="AH709" i="4"/>
  <c r="AF709" i="4"/>
  <c r="AG709" i="4" s="1"/>
  <c r="B709" i="4"/>
  <c r="AO708" i="4"/>
  <c r="AH708" i="4"/>
  <c r="AF708" i="4"/>
  <c r="AG708" i="4" s="1"/>
  <c r="B708" i="4"/>
  <c r="AO707" i="4"/>
  <c r="AH707" i="4"/>
  <c r="AF707" i="4"/>
  <c r="AG707" i="4" s="1"/>
  <c r="B707" i="4"/>
  <c r="AO706" i="4"/>
  <c r="AH706" i="4"/>
  <c r="AF706" i="4"/>
  <c r="AG706" i="4" s="1"/>
  <c r="B706" i="4"/>
  <c r="AO705" i="4"/>
  <c r="AH705" i="4"/>
  <c r="AF705" i="4"/>
  <c r="AG705" i="4" s="1"/>
  <c r="B705" i="4"/>
  <c r="AO704" i="4"/>
  <c r="AH704" i="4"/>
  <c r="AF704" i="4"/>
  <c r="AG704" i="4" s="1"/>
  <c r="B704" i="4"/>
  <c r="AO703" i="4"/>
  <c r="AH703" i="4"/>
  <c r="AF703" i="4"/>
  <c r="AG703" i="4" s="1"/>
  <c r="B703" i="4"/>
  <c r="AO702" i="4"/>
  <c r="AH702" i="4"/>
  <c r="AF702" i="4"/>
  <c r="AG702" i="4" s="1"/>
  <c r="B702" i="4"/>
  <c r="AO701" i="4"/>
  <c r="AH701" i="4"/>
  <c r="AF701" i="4"/>
  <c r="AG701" i="4" s="1"/>
  <c r="B701" i="4"/>
  <c r="AO700" i="4"/>
  <c r="AH700" i="4"/>
  <c r="AF700" i="4"/>
  <c r="AG700" i="4" s="1"/>
  <c r="B700" i="4"/>
  <c r="AO699" i="4"/>
  <c r="AH699" i="4"/>
  <c r="AF699" i="4"/>
  <c r="AG699" i="4" s="1"/>
  <c r="B699" i="4"/>
  <c r="AO698" i="4"/>
  <c r="AH698" i="4"/>
  <c r="AF698" i="4"/>
  <c r="AG698" i="4" s="1"/>
  <c r="B698" i="4"/>
  <c r="AO697" i="4"/>
  <c r="AH697" i="4"/>
  <c r="AF697" i="4"/>
  <c r="AG697" i="4" s="1"/>
  <c r="B697" i="4"/>
  <c r="AO696" i="4"/>
  <c r="AH696" i="4"/>
  <c r="AF696" i="4"/>
  <c r="AG696" i="4" s="1"/>
  <c r="B696" i="4"/>
  <c r="AO695" i="4"/>
  <c r="AH695" i="4"/>
  <c r="AF695" i="4"/>
  <c r="AG695" i="4" s="1"/>
  <c r="B695" i="4"/>
  <c r="AO694" i="4"/>
  <c r="AH694" i="4"/>
  <c r="AF694" i="4"/>
  <c r="AG694" i="4" s="1"/>
  <c r="B694" i="4"/>
  <c r="AO693" i="4"/>
  <c r="AH693" i="4"/>
  <c r="AF693" i="4"/>
  <c r="AG693" i="4" s="1"/>
  <c r="B693" i="4"/>
  <c r="AO692" i="4"/>
  <c r="AH692" i="4"/>
  <c r="AF692" i="4"/>
  <c r="AG692" i="4" s="1"/>
  <c r="B692" i="4"/>
  <c r="AO691" i="4"/>
  <c r="AH691" i="4"/>
  <c r="AF691" i="4"/>
  <c r="AG691" i="4" s="1"/>
  <c r="B691" i="4"/>
  <c r="AO690" i="4"/>
  <c r="AH690" i="4"/>
  <c r="AF690" i="4"/>
  <c r="AG690" i="4" s="1"/>
  <c r="B690" i="4"/>
  <c r="AO689" i="4"/>
  <c r="AH689" i="4"/>
  <c r="AF689" i="4"/>
  <c r="AG689" i="4" s="1"/>
  <c r="B689" i="4"/>
  <c r="AO688" i="4"/>
  <c r="AH688" i="4"/>
  <c r="AF688" i="4"/>
  <c r="AG688" i="4" s="1"/>
  <c r="B688" i="4"/>
  <c r="AO687" i="4"/>
  <c r="AH687" i="4"/>
  <c r="AF687" i="4"/>
  <c r="AG687" i="4" s="1"/>
  <c r="B687" i="4"/>
  <c r="AO686" i="4"/>
  <c r="AH686" i="4"/>
  <c r="AF686" i="4"/>
  <c r="AG686" i="4" s="1"/>
  <c r="B686" i="4"/>
  <c r="AO685" i="4"/>
  <c r="AH685" i="4"/>
  <c r="AF685" i="4"/>
  <c r="AG685" i="4" s="1"/>
  <c r="B685" i="4"/>
  <c r="AO684" i="4"/>
  <c r="AH684" i="4"/>
  <c r="AF684" i="4"/>
  <c r="AG684" i="4" s="1"/>
  <c r="B684" i="4"/>
  <c r="AO683" i="4"/>
  <c r="AH683" i="4"/>
  <c r="AF683" i="4"/>
  <c r="AG683" i="4" s="1"/>
  <c r="B683" i="4"/>
  <c r="AO682" i="4"/>
  <c r="AH682" i="4"/>
  <c r="AF682" i="4"/>
  <c r="AG682" i="4" s="1"/>
  <c r="B682" i="4"/>
  <c r="AO681" i="4"/>
  <c r="AH681" i="4"/>
  <c r="AF681" i="4"/>
  <c r="AG681" i="4" s="1"/>
  <c r="B681" i="4"/>
  <c r="AO680" i="4"/>
  <c r="AH680" i="4"/>
  <c r="AF680" i="4"/>
  <c r="AG680" i="4" s="1"/>
  <c r="B680" i="4"/>
  <c r="AO679" i="4"/>
  <c r="AH679" i="4"/>
  <c r="AF679" i="4"/>
  <c r="AG679" i="4" s="1"/>
  <c r="B679" i="4"/>
  <c r="AO678" i="4"/>
  <c r="AH678" i="4"/>
  <c r="AF678" i="4"/>
  <c r="AG678" i="4" s="1"/>
  <c r="B678" i="4"/>
  <c r="AO677" i="4"/>
  <c r="AH677" i="4"/>
  <c r="AF677" i="4"/>
  <c r="AG677" i="4" s="1"/>
  <c r="B677" i="4"/>
  <c r="AO676" i="4"/>
  <c r="AH676" i="4"/>
  <c r="AF676" i="4"/>
  <c r="AG676" i="4" s="1"/>
  <c r="B676" i="4"/>
  <c r="AO675" i="4"/>
  <c r="AH675" i="4"/>
  <c r="AF675" i="4"/>
  <c r="AG675" i="4" s="1"/>
  <c r="B675" i="4"/>
  <c r="AO674" i="4"/>
  <c r="AH674" i="4"/>
  <c r="AF674" i="4"/>
  <c r="AG674" i="4" s="1"/>
  <c r="B674" i="4"/>
  <c r="AO673" i="4"/>
  <c r="AH673" i="4"/>
  <c r="AF673" i="4"/>
  <c r="AG673" i="4" s="1"/>
  <c r="B673" i="4"/>
  <c r="AO672" i="4"/>
  <c r="AH672" i="4"/>
  <c r="AF672" i="4"/>
  <c r="AG672" i="4" s="1"/>
  <c r="B672" i="4"/>
  <c r="AO671" i="4"/>
  <c r="AH671" i="4"/>
  <c r="AF671" i="4"/>
  <c r="AG671" i="4" s="1"/>
  <c r="B671" i="4"/>
  <c r="AO670" i="4"/>
  <c r="AH670" i="4"/>
  <c r="AF670" i="4"/>
  <c r="AG670" i="4" s="1"/>
  <c r="B670" i="4"/>
  <c r="AO669" i="4"/>
  <c r="AH669" i="4"/>
  <c r="AF669" i="4"/>
  <c r="AG669" i="4" s="1"/>
  <c r="B669" i="4"/>
  <c r="AO668" i="4"/>
  <c r="AH668" i="4"/>
  <c r="AF668" i="4"/>
  <c r="AG668" i="4" s="1"/>
  <c r="B668" i="4"/>
  <c r="AO667" i="4"/>
  <c r="AH667" i="4"/>
  <c r="AF667" i="4"/>
  <c r="AG667" i="4" s="1"/>
  <c r="B667" i="4"/>
  <c r="AO666" i="4"/>
  <c r="AH666" i="4"/>
  <c r="AF666" i="4"/>
  <c r="AG666" i="4" s="1"/>
  <c r="B666" i="4"/>
  <c r="AO665" i="4"/>
  <c r="AH665" i="4"/>
  <c r="AF665" i="4"/>
  <c r="AG665" i="4" s="1"/>
  <c r="B665" i="4"/>
  <c r="AO664" i="4"/>
  <c r="AH664" i="4"/>
  <c r="AF664" i="4"/>
  <c r="AG664" i="4" s="1"/>
  <c r="B664" i="4"/>
  <c r="AO663" i="4"/>
  <c r="AH663" i="4"/>
  <c r="AF663" i="4"/>
  <c r="AG663" i="4" s="1"/>
  <c r="B663" i="4"/>
  <c r="AO662" i="4"/>
  <c r="AH662" i="4"/>
  <c r="AF662" i="4"/>
  <c r="AG662" i="4" s="1"/>
  <c r="B662" i="4"/>
  <c r="AO661" i="4"/>
  <c r="AH661" i="4"/>
  <c r="AF661" i="4"/>
  <c r="AG661" i="4" s="1"/>
  <c r="B661" i="4"/>
  <c r="AO660" i="4"/>
  <c r="AH660" i="4"/>
  <c r="AF660" i="4"/>
  <c r="AG660" i="4" s="1"/>
  <c r="B660" i="4"/>
  <c r="AO659" i="4"/>
  <c r="AH659" i="4"/>
  <c r="AF659" i="4"/>
  <c r="AG659" i="4" s="1"/>
  <c r="B659" i="4"/>
  <c r="AO658" i="4"/>
  <c r="AH658" i="4"/>
  <c r="AF658" i="4"/>
  <c r="AG658" i="4" s="1"/>
  <c r="B658" i="4"/>
  <c r="AO657" i="4"/>
  <c r="AH657" i="4"/>
  <c r="AF657" i="4"/>
  <c r="AG657" i="4" s="1"/>
  <c r="B657" i="4"/>
  <c r="AO656" i="4"/>
  <c r="AH656" i="4"/>
  <c r="AF656" i="4"/>
  <c r="AG656" i="4" s="1"/>
  <c r="B656" i="4"/>
  <c r="AO655" i="4"/>
  <c r="AH655" i="4"/>
  <c r="AF655" i="4"/>
  <c r="AG655" i="4" s="1"/>
  <c r="B655" i="4"/>
  <c r="AO654" i="4"/>
  <c r="AH654" i="4"/>
  <c r="AF654" i="4"/>
  <c r="AG654" i="4" s="1"/>
  <c r="B654" i="4"/>
  <c r="AO653" i="4"/>
  <c r="AH653" i="4"/>
  <c r="AF653" i="4"/>
  <c r="AG653" i="4" s="1"/>
  <c r="B653" i="4"/>
  <c r="AO652" i="4"/>
  <c r="AH652" i="4"/>
  <c r="AF652" i="4"/>
  <c r="AG652" i="4" s="1"/>
  <c r="B652" i="4"/>
  <c r="AO651" i="4"/>
  <c r="AH651" i="4"/>
  <c r="AF651" i="4"/>
  <c r="AG651" i="4" s="1"/>
  <c r="B651" i="4"/>
  <c r="AO650" i="4"/>
  <c r="AH650" i="4"/>
  <c r="AF650" i="4"/>
  <c r="AG650" i="4" s="1"/>
  <c r="B650" i="4"/>
  <c r="AO649" i="4"/>
  <c r="AH649" i="4"/>
  <c r="AF649" i="4"/>
  <c r="AG649" i="4" s="1"/>
  <c r="B649" i="4"/>
  <c r="AO648" i="4"/>
  <c r="AH648" i="4"/>
  <c r="AF648" i="4"/>
  <c r="AG648" i="4" s="1"/>
  <c r="B648" i="4"/>
  <c r="AO647" i="4"/>
  <c r="AH647" i="4"/>
  <c r="AF647" i="4"/>
  <c r="AG647" i="4" s="1"/>
  <c r="B647" i="4"/>
  <c r="AO646" i="4"/>
  <c r="AH646" i="4"/>
  <c r="AF646" i="4"/>
  <c r="AG646" i="4" s="1"/>
  <c r="B646" i="4"/>
  <c r="AO645" i="4"/>
  <c r="AH645" i="4"/>
  <c r="AF645" i="4"/>
  <c r="AG645" i="4" s="1"/>
  <c r="B645" i="4"/>
  <c r="AO644" i="4"/>
  <c r="AH644" i="4"/>
  <c r="AF644" i="4"/>
  <c r="AG644" i="4" s="1"/>
  <c r="B644" i="4"/>
  <c r="AO643" i="4"/>
  <c r="AH643" i="4"/>
  <c r="AF643" i="4"/>
  <c r="AG643" i="4" s="1"/>
  <c r="B643" i="4"/>
  <c r="AO642" i="4"/>
  <c r="AH642" i="4"/>
  <c r="AF642" i="4"/>
  <c r="AG642" i="4" s="1"/>
  <c r="B642" i="4"/>
  <c r="AO641" i="4"/>
  <c r="AH641" i="4"/>
  <c r="AF641" i="4"/>
  <c r="AG641" i="4" s="1"/>
  <c r="B641" i="4"/>
  <c r="AO640" i="4"/>
  <c r="AH640" i="4"/>
  <c r="AF640" i="4"/>
  <c r="AG640" i="4" s="1"/>
  <c r="B640" i="4"/>
  <c r="AO639" i="4"/>
  <c r="AH639" i="4"/>
  <c r="AF639" i="4"/>
  <c r="AG639" i="4" s="1"/>
  <c r="B639" i="4"/>
  <c r="AO638" i="4"/>
  <c r="AH638" i="4"/>
  <c r="AF638" i="4"/>
  <c r="AG638" i="4" s="1"/>
  <c r="B638" i="4"/>
  <c r="AO637" i="4"/>
  <c r="AH637" i="4"/>
  <c r="AF637" i="4"/>
  <c r="AG637" i="4" s="1"/>
  <c r="B637" i="4"/>
  <c r="AO636" i="4"/>
  <c r="AH636" i="4"/>
  <c r="AF636" i="4"/>
  <c r="AG636" i="4" s="1"/>
  <c r="B636" i="4"/>
  <c r="AO635" i="4"/>
  <c r="AH635" i="4"/>
  <c r="AF635" i="4"/>
  <c r="AG635" i="4" s="1"/>
  <c r="B635" i="4"/>
  <c r="AO634" i="4"/>
  <c r="AH634" i="4"/>
  <c r="AF634" i="4"/>
  <c r="AG634" i="4" s="1"/>
  <c r="B634" i="4"/>
  <c r="AO633" i="4"/>
  <c r="AH633" i="4"/>
  <c r="AF633" i="4"/>
  <c r="AG633" i="4" s="1"/>
  <c r="B633" i="4"/>
  <c r="AO632" i="4"/>
  <c r="AH632" i="4"/>
  <c r="AF632" i="4"/>
  <c r="AG632" i="4" s="1"/>
  <c r="B632" i="4"/>
  <c r="AO631" i="4"/>
  <c r="AH631" i="4"/>
  <c r="AF631" i="4"/>
  <c r="AG631" i="4" s="1"/>
  <c r="B631" i="4"/>
  <c r="AO630" i="4"/>
  <c r="AH630" i="4"/>
  <c r="AF630" i="4"/>
  <c r="AG630" i="4" s="1"/>
  <c r="B630" i="4"/>
  <c r="AO629" i="4"/>
  <c r="AH629" i="4"/>
  <c r="AF629" i="4"/>
  <c r="AG629" i="4" s="1"/>
  <c r="B629" i="4"/>
  <c r="AO628" i="4"/>
  <c r="AH628" i="4"/>
  <c r="AF628" i="4"/>
  <c r="AG628" i="4" s="1"/>
  <c r="B628" i="4"/>
  <c r="AO627" i="4"/>
  <c r="AH627" i="4"/>
  <c r="AF627" i="4"/>
  <c r="AG627" i="4" s="1"/>
  <c r="B627" i="4"/>
  <c r="AO626" i="4"/>
  <c r="AH626" i="4"/>
  <c r="AF626" i="4"/>
  <c r="AG626" i="4" s="1"/>
  <c r="B626" i="4"/>
  <c r="AO625" i="4"/>
  <c r="AH625" i="4"/>
  <c r="AF625" i="4"/>
  <c r="AG625" i="4" s="1"/>
  <c r="B625" i="4"/>
  <c r="AO624" i="4"/>
  <c r="AH624" i="4"/>
  <c r="AF624" i="4"/>
  <c r="AG624" i="4" s="1"/>
  <c r="B624" i="4"/>
  <c r="AO623" i="4"/>
  <c r="AH623" i="4"/>
  <c r="AF623" i="4"/>
  <c r="AG623" i="4" s="1"/>
  <c r="B623" i="4"/>
  <c r="AO622" i="4"/>
  <c r="AH622" i="4"/>
  <c r="AF622" i="4"/>
  <c r="AG622" i="4" s="1"/>
  <c r="B622" i="4"/>
  <c r="AO621" i="4"/>
  <c r="AH621" i="4"/>
  <c r="AF621" i="4"/>
  <c r="AG621" i="4" s="1"/>
  <c r="B621" i="4"/>
  <c r="AO620" i="4"/>
  <c r="AH620" i="4"/>
  <c r="AF620" i="4"/>
  <c r="AG620" i="4" s="1"/>
  <c r="B620" i="4"/>
  <c r="AO619" i="4"/>
  <c r="AH619" i="4"/>
  <c r="AF619" i="4"/>
  <c r="AG619" i="4" s="1"/>
  <c r="B619" i="4"/>
  <c r="AO618" i="4"/>
  <c r="AH618" i="4"/>
  <c r="AF618" i="4"/>
  <c r="AG618" i="4" s="1"/>
  <c r="B618" i="4"/>
  <c r="AO617" i="4"/>
  <c r="AH617" i="4"/>
  <c r="AF617" i="4"/>
  <c r="AG617" i="4" s="1"/>
  <c r="B617" i="4"/>
  <c r="AO616" i="4"/>
  <c r="AH616" i="4"/>
  <c r="AF616" i="4"/>
  <c r="AG616" i="4" s="1"/>
  <c r="B616" i="4"/>
  <c r="AO615" i="4"/>
  <c r="AH615" i="4"/>
  <c r="AF615" i="4"/>
  <c r="AG615" i="4" s="1"/>
  <c r="B615" i="4"/>
  <c r="AO614" i="4"/>
  <c r="AH614" i="4"/>
  <c r="AF614" i="4"/>
  <c r="AG614" i="4" s="1"/>
  <c r="B614" i="4"/>
  <c r="AO613" i="4"/>
  <c r="AH613" i="4"/>
  <c r="AF613" i="4"/>
  <c r="AG613" i="4" s="1"/>
  <c r="B613" i="4"/>
  <c r="AO612" i="4"/>
  <c r="AH612" i="4"/>
  <c r="AF612" i="4"/>
  <c r="AG612" i="4" s="1"/>
  <c r="B612" i="4"/>
  <c r="AO611" i="4"/>
  <c r="AH611" i="4"/>
  <c r="AF611" i="4"/>
  <c r="AG611" i="4" s="1"/>
  <c r="B611" i="4"/>
  <c r="AO610" i="4"/>
  <c r="AH610" i="4"/>
  <c r="AF610" i="4"/>
  <c r="AG610" i="4" s="1"/>
  <c r="B610" i="4"/>
  <c r="AO609" i="4"/>
  <c r="AH609" i="4"/>
  <c r="AF609" i="4"/>
  <c r="AG609" i="4" s="1"/>
  <c r="B609" i="4"/>
  <c r="AO608" i="4"/>
  <c r="AH608" i="4"/>
  <c r="AF608" i="4"/>
  <c r="AG608" i="4" s="1"/>
  <c r="B608" i="4"/>
  <c r="AO607" i="4"/>
  <c r="AH607" i="4"/>
  <c r="AF607" i="4"/>
  <c r="AG607" i="4" s="1"/>
  <c r="B607" i="4"/>
  <c r="AO606" i="4"/>
  <c r="AH606" i="4"/>
  <c r="AF606" i="4"/>
  <c r="AG606" i="4" s="1"/>
  <c r="B606" i="4"/>
  <c r="AO605" i="4"/>
  <c r="AH605" i="4"/>
  <c r="AF605" i="4"/>
  <c r="AG605" i="4" s="1"/>
  <c r="B605" i="4"/>
  <c r="AO604" i="4"/>
  <c r="AH604" i="4"/>
  <c r="AF604" i="4"/>
  <c r="AG604" i="4" s="1"/>
  <c r="B604" i="4"/>
  <c r="AO603" i="4"/>
  <c r="AH603" i="4"/>
  <c r="AF603" i="4"/>
  <c r="AG603" i="4" s="1"/>
  <c r="B603" i="4"/>
  <c r="AO602" i="4"/>
  <c r="AH602" i="4"/>
  <c r="AF602" i="4"/>
  <c r="AG602" i="4" s="1"/>
  <c r="B602" i="4"/>
  <c r="AO601" i="4"/>
  <c r="AH601" i="4"/>
  <c r="AF601" i="4"/>
  <c r="AG601" i="4" s="1"/>
  <c r="B601" i="4"/>
  <c r="AO600" i="4"/>
  <c r="AH600" i="4"/>
  <c r="AF600" i="4"/>
  <c r="AG600" i="4" s="1"/>
  <c r="B600" i="4"/>
  <c r="AO599" i="4"/>
  <c r="AH599" i="4"/>
  <c r="AF599" i="4"/>
  <c r="AG599" i="4" s="1"/>
  <c r="B599" i="4"/>
  <c r="AO598" i="4"/>
  <c r="AH598" i="4"/>
  <c r="AF598" i="4"/>
  <c r="AG598" i="4" s="1"/>
  <c r="B598" i="4"/>
  <c r="AO597" i="4"/>
  <c r="AH597" i="4"/>
  <c r="AF597" i="4"/>
  <c r="AG597" i="4" s="1"/>
  <c r="B597" i="4"/>
  <c r="AO596" i="4"/>
  <c r="AH596" i="4"/>
  <c r="AF596" i="4"/>
  <c r="AG596" i="4" s="1"/>
  <c r="B596" i="4"/>
  <c r="AO595" i="4"/>
  <c r="AH595" i="4"/>
  <c r="AF595" i="4"/>
  <c r="AG595" i="4" s="1"/>
  <c r="B595" i="4"/>
  <c r="AO594" i="4"/>
  <c r="AH594" i="4"/>
  <c r="AF594" i="4"/>
  <c r="AG594" i="4" s="1"/>
  <c r="B594" i="4"/>
  <c r="AO593" i="4"/>
  <c r="AH593" i="4"/>
  <c r="AF593" i="4"/>
  <c r="AG593" i="4" s="1"/>
  <c r="B593" i="4"/>
  <c r="AO592" i="4"/>
  <c r="AH592" i="4"/>
  <c r="AF592" i="4"/>
  <c r="AG592" i="4" s="1"/>
  <c r="B592" i="4"/>
  <c r="AO591" i="4"/>
  <c r="AH591" i="4"/>
  <c r="AF591" i="4"/>
  <c r="AG591" i="4" s="1"/>
  <c r="B591" i="4"/>
  <c r="AO590" i="4"/>
  <c r="AH590" i="4"/>
  <c r="AF590" i="4"/>
  <c r="AG590" i="4" s="1"/>
  <c r="B590" i="4"/>
  <c r="AO589" i="4"/>
  <c r="AH589" i="4"/>
  <c r="AF589" i="4"/>
  <c r="AG589" i="4" s="1"/>
  <c r="B589" i="4"/>
  <c r="AO588" i="4"/>
  <c r="AH588" i="4"/>
  <c r="AF588" i="4"/>
  <c r="AG588" i="4" s="1"/>
  <c r="B588" i="4"/>
  <c r="AO587" i="4"/>
  <c r="AH587" i="4"/>
  <c r="AF587" i="4"/>
  <c r="AG587" i="4" s="1"/>
  <c r="B587" i="4"/>
  <c r="AO586" i="4"/>
  <c r="AH586" i="4"/>
  <c r="AF586" i="4"/>
  <c r="AG586" i="4" s="1"/>
  <c r="B586" i="4"/>
  <c r="AO585" i="4"/>
  <c r="AH585" i="4"/>
  <c r="AF585" i="4"/>
  <c r="AG585" i="4" s="1"/>
  <c r="B585" i="4"/>
  <c r="AO584" i="4"/>
  <c r="AH584" i="4"/>
  <c r="AF584" i="4"/>
  <c r="AG584" i="4" s="1"/>
  <c r="B584" i="4"/>
  <c r="AO583" i="4"/>
  <c r="AH583" i="4"/>
  <c r="AF583" i="4"/>
  <c r="AG583" i="4" s="1"/>
  <c r="B583" i="4"/>
  <c r="AO582" i="4"/>
  <c r="AH582" i="4"/>
  <c r="AF582" i="4"/>
  <c r="AG582" i="4" s="1"/>
  <c r="B582" i="4"/>
  <c r="AO581" i="4"/>
  <c r="AH581" i="4"/>
  <c r="AF581" i="4"/>
  <c r="AG581" i="4" s="1"/>
  <c r="B581" i="4"/>
  <c r="AO580" i="4"/>
  <c r="AH580" i="4"/>
  <c r="AF580" i="4"/>
  <c r="AG580" i="4" s="1"/>
  <c r="B580" i="4"/>
  <c r="AO579" i="4"/>
  <c r="AH579" i="4"/>
  <c r="AF579" i="4"/>
  <c r="AG579" i="4" s="1"/>
  <c r="B579" i="4"/>
  <c r="AO578" i="4"/>
  <c r="AH578" i="4"/>
  <c r="AF578" i="4"/>
  <c r="AG578" i="4" s="1"/>
  <c r="B578" i="4"/>
  <c r="AO577" i="4"/>
  <c r="AH577" i="4"/>
  <c r="AF577" i="4"/>
  <c r="AG577" i="4" s="1"/>
  <c r="B577" i="4"/>
  <c r="AO576" i="4"/>
  <c r="AH576" i="4"/>
  <c r="AF576" i="4"/>
  <c r="AG576" i="4" s="1"/>
  <c r="B576" i="4"/>
  <c r="AO575" i="4"/>
  <c r="AH575" i="4"/>
  <c r="AF575" i="4"/>
  <c r="AG575" i="4" s="1"/>
  <c r="B575" i="4"/>
  <c r="AO574" i="4"/>
  <c r="AH574" i="4"/>
  <c r="AF574" i="4"/>
  <c r="AG574" i="4" s="1"/>
  <c r="B574" i="4"/>
  <c r="AO573" i="4"/>
  <c r="AH573" i="4"/>
  <c r="AF573" i="4"/>
  <c r="AG573" i="4" s="1"/>
  <c r="B573" i="4"/>
  <c r="AO572" i="4"/>
  <c r="AH572" i="4"/>
  <c r="AF572" i="4"/>
  <c r="AG572" i="4" s="1"/>
  <c r="B572" i="4"/>
  <c r="AO571" i="4"/>
  <c r="AH571" i="4"/>
  <c r="AF571" i="4"/>
  <c r="AG571" i="4" s="1"/>
  <c r="B571" i="4"/>
  <c r="AO570" i="4"/>
  <c r="AH570" i="4"/>
  <c r="AF570" i="4"/>
  <c r="AG570" i="4" s="1"/>
  <c r="B570" i="4"/>
  <c r="AO569" i="4"/>
  <c r="AH569" i="4"/>
  <c r="AF569" i="4"/>
  <c r="AG569" i="4" s="1"/>
  <c r="B569" i="4"/>
  <c r="AO568" i="4"/>
  <c r="AH568" i="4"/>
  <c r="AF568" i="4"/>
  <c r="AG568" i="4" s="1"/>
  <c r="B568" i="4"/>
  <c r="AO567" i="4"/>
  <c r="AH567" i="4"/>
  <c r="AF567" i="4"/>
  <c r="AG567" i="4" s="1"/>
  <c r="B567" i="4"/>
  <c r="AO566" i="4"/>
  <c r="AH566" i="4"/>
  <c r="AF566" i="4"/>
  <c r="AG566" i="4" s="1"/>
  <c r="B566" i="4"/>
  <c r="AO565" i="4"/>
  <c r="AH565" i="4"/>
  <c r="AF565" i="4"/>
  <c r="AG565" i="4" s="1"/>
  <c r="B565" i="4"/>
  <c r="AO564" i="4"/>
  <c r="AH564" i="4"/>
  <c r="AF564" i="4"/>
  <c r="AG564" i="4" s="1"/>
  <c r="B564" i="4"/>
  <c r="AO563" i="4"/>
  <c r="AH563" i="4"/>
  <c r="AF563" i="4"/>
  <c r="AG563" i="4" s="1"/>
  <c r="B563" i="4"/>
  <c r="AO562" i="4"/>
  <c r="AH562" i="4"/>
  <c r="AF562" i="4"/>
  <c r="AG562" i="4" s="1"/>
  <c r="B562" i="4"/>
  <c r="AO561" i="4"/>
  <c r="AH561" i="4"/>
  <c r="AF561" i="4"/>
  <c r="AG561" i="4" s="1"/>
  <c r="B561" i="4"/>
  <c r="AO560" i="4"/>
  <c r="AH560" i="4"/>
  <c r="AF560" i="4"/>
  <c r="AG560" i="4" s="1"/>
  <c r="B560" i="4"/>
  <c r="AO559" i="4"/>
  <c r="AH559" i="4"/>
  <c r="AF559" i="4"/>
  <c r="AG559" i="4" s="1"/>
  <c r="B559" i="4"/>
  <c r="AO558" i="4"/>
  <c r="AH558" i="4"/>
  <c r="AF558" i="4"/>
  <c r="AG558" i="4" s="1"/>
  <c r="B558" i="4"/>
  <c r="AO557" i="4"/>
  <c r="AH557" i="4"/>
  <c r="AF557" i="4"/>
  <c r="AG557" i="4" s="1"/>
  <c r="B557" i="4"/>
  <c r="AO556" i="4"/>
  <c r="AH556" i="4"/>
  <c r="AF556" i="4"/>
  <c r="AG556" i="4" s="1"/>
  <c r="B556" i="4"/>
  <c r="AO555" i="4"/>
  <c r="AH555" i="4"/>
  <c r="AF555" i="4"/>
  <c r="AG555" i="4" s="1"/>
  <c r="B555" i="4"/>
  <c r="AO554" i="4"/>
  <c r="AH554" i="4"/>
  <c r="AF554" i="4"/>
  <c r="AG554" i="4" s="1"/>
  <c r="B554" i="4"/>
  <c r="AO553" i="4"/>
  <c r="AH553" i="4"/>
  <c r="AF553" i="4"/>
  <c r="AG553" i="4" s="1"/>
  <c r="B553" i="4"/>
  <c r="AO552" i="4"/>
  <c r="AH552" i="4"/>
  <c r="AF552" i="4"/>
  <c r="AG552" i="4" s="1"/>
  <c r="B552" i="4"/>
  <c r="AO551" i="4"/>
  <c r="AH551" i="4"/>
  <c r="AF551" i="4"/>
  <c r="AG551" i="4" s="1"/>
  <c r="B551" i="4"/>
  <c r="AO550" i="4"/>
  <c r="AH550" i="4"/>
  <c r="AF550" i="4"/>
  <c r="AG550" i="4" s="1"/>
  <c r="B550" i="4"/>
  <c r="AO549" i="4"/>
  <c r="AH549" i="4"/>
  <c r="AF549" i="4"/>
  <c r="AG549" i="4" s="1"/>
  <c r="B549" i="4"/>
  <c r="AO548" i="4"/>
  <c r="AH548" i="4"/>
  <c r="AF548" i="4"/>
  <c r="AG548" i="4" s="1"/>
  <c r="B548" i="4"/>
  <c r="AO547" i="4"/>
  <c r="AH547" i="4"/>
  <c r="AF547" i="4"/>
  <c r="AG547" i="4" s="1"/>
  <c r="B547" i="4"/>
  <c r="AO546" i="4"/>
  <c r="AH546" i="4"/>
  <c r="AF546" i="4"/>
  <c r="AG546" i="4" s="1"/>
  <c r="B546" i="4"/>
  <c r="AO545" i="4"/>
  <c r="AH545" i="4"/>
  <c r="AF545" i="4"/>
  <c r="AG545" i="4" s="1"/>
  <c r="B545" i="4"/>
  <c r="AO544" i="4"/>
  <c r="AH544" i="4"/>
  <c r="AF544" i="4"/>
  <c r="AG544" i="4" s="1"/>
  <c r="B544" i="4"/>
  <c r="AO543" i="4"/>
  <c r="AH543" i="4"/>
  <c r="AF543" i="4"/>
  <c r="AG543" i="4" s="1"/>
  <c r="B543" i="4"/>
  <c r="AO542" i="4"/>
  <c r="AH542" i="4"/>
  <c r="AF542" i="4"/>
  <c r="AG542" i="4" s="1"/>
  <c r="B542" i="4"/>
  <c r="AO541" i="4"/>
  <c r="AH541" i="4"/>
  <c r="AF541" i="4"/>
  <c r="AG541" i="4" s="1"/>
  <c r="B541" i="4"/>
  <c r="AO540" i="4"/>
  <c r="AH540" i="4"/>
  <c r="AF540" i="4"/>
  <c r="AG540" i="4" s="1"/>
  <c r="B540" i="4"/>
  <c r="AO539" i="4"/>
  <c r="AH539" i="4"/>
  <c r="AF539" i="4"/>
  <c r="AG539" i="4" s="1"/>
  <c r="B539" i="4"/>
  <c r="AO538" i="4"/>
  <c r="AH538" i="4"/>
  <c r="AF538" i="4"/>
  <c r="AG538" i="4" s="1"/>
  <c r="B538" i="4"/>
  <c r="AO537" i="4"/>
  <c r="AH537" i="4"/>
  <c r="AF537" i="4"/>
  <c r="AG537" i="4" s="1"/>
  <c r="B537" i="4"/>
  <c r="AO536" i="4"/>
  <c r="AH536" i="4"/>
  <c r="AF536" i="4"/>
  <c r="AG536" i="4" s="1"/>
  <c r="B536" i="4"/>
  <c r="AO535" i="4"/>
  <c r="AH535" i="4"/>
  <c r="AF535" i="4"/>
  <c r="AG535" i="4" s="1"/>
  <c r="B535" i="4"/>
  <c r="AO534" i="4"/>
  <c r="AH534" i="4"/>
  <c r="AF534" i="4"/>
  <c r="AG534" i="4" s="1"/>
  <c r="B534" i="4"/>
  <c r="AO533" i="4"/>
  <c r="AH533" i="4"/>
  <c r="AF533" i="4"/>
  <c r="AG533" i="4" s="1"/>
  <c r="B533" i="4"/>
  <c r="AO532" i="4"/>
  <c r="AH532" i="4"/>
  <c r="AF532" i="4"/>
  <c r="AG532" i="4" s="1"/>
  <c r="B532" i="4"/>
  <c r="AO531" i="4"/>
  <c r="AH531" i="4"/>
  <c r="AF531" i="4"/>
  <c r="AG531" i="4" s="1"/>
  <c r="B531" i="4"/>
  <c r="AO530" i="4"/>
  <c r="AH530" i="4"/>
  <c r="AF530" i="4"/>
  <c r="AG530" i="4" s="1"/>
  <c r="B530" i="4"/>
  <c r="AO529" i="4"/>
  <c r="AH529" i="4"/>
  <c r="AF529" i="4"/>
  <c r="AG529" i="4" s="1"/>
  <c r="B529" i="4"/>
  <c r="AO528" i="4"/>
  <c r="AH528" i="4"/>
  <c r="AF528" i="4"/>
  <c r="AG528" i="4" s="1"/>
  <c r="B528" i="4"/>
  <c r="AO527" i="4"/>
  <c r="AH527" i="4"/>
  <c r="AF527" i="4"/>
  <c r="AG527" i="4" s="1"/>
  <c r="B527" i="4"/>
  <c r="AO526" i="4"/>
  <c r="AH526" i="4"/>
  <c r="AF526" i="4"/>
  <c r="AG526" i="4" s="1"/>
  <c r="B526" i="4"/>
  <c r="AO525" i="4"/>
  <c r="AH525" i="4"/>
  <c r="AF525" i="4"/>
  <c r="AG525" i="4" s="1"/>
  <c r="B525" i="4"/>
  <c r="AO524" i="4"/>
  <c r="AH524" i="4"/>
  <c r="AF524" i="4"/>
  <c r="AG524" i="4" s="1"/>
  <c r="B524" i="4"/>
  <c r="AO523" i="4"/>
  <c r="AH523" i="4"/>
  <c r="AF523" i="4"/>
  <c r="AG523" i="4" s="1"/>
  <c r="B523" i="4"/>
  <c r="AO522" i="4"/>
  <c r="AH522" i="4"/>
  <c r="AF522" i="4"/>
  <c r="AG522" i="4" s="1"/>
  <c r="B522" i="4"/>
  <c r="AO521" i="4"/>
  <c r="AH521" i="4"/>
  <c r="AF521" i="4"/>
  <c r="AG521" i="4" s="1"/>
  <c r="B521" i="4"/>
  <c r="AO520" i="4"/>
  <c r="AH520" i="4"/>
  <c r="AF520" i="4"/>
  <c r="AG520" i="4" s="1"/>
  <c r="B520" i="4"/>
  <c r="AO519" i="4"/>
  <c r="AH519" i="4"/>
  <c r="AF519" i="4"/>
  <c r="AG519" i="4" s="1"/>
  <c r="B519" i="4"/>
  <c r="AO518" i="4"/>
  <c r="AH518" i="4"/>
  <c r="AF518" i="4"/>
  <c r="AG518" i="4" s="1"/>
  <c r="B518" i="4"/>
  <c r="AO517" i="4"/>
  <c r="AH517" i="4"/>
  <c r="AF517" i="4"/>
  <c r="AG517" i="4" s="1"/>
  <c r="B517" i="4"/>
  <c r="AO516" i="4"/>
  <c r="AH516" i="4"/>
  <c r="AF516" i="4"/>
  <c r="AG516" i="4" s="1"/>
  <c r="B516" i="4"/>
  <c r="AO515" i="4"/>
  <c r="AH515" i="4"/>
  <c r="AF515" i="4"/>
  <c r="AG515" i="4" s="1"/>
  <c r="B515" i="4"/>
  <c r="AO514" i="4"/>
  <c r="AH514" i="4"/>
  <c r="AF514" i="4"/>
  <c r="AG514" i="4" s="1"/>
  <c r="B514" i="4"/>
  <c r="AO513" i="4"/>
  <c r="AH513" i="4"/>
  <c r="AF513" i="4"/>
  <c r="AG513" i="4" s="1"/>
  <c r="B513" i="4"/>
  <c r="AO512" i="4"/>
  <c r="AH512" i="4"/>
  <c r="AF512" i="4"/>
  <c r="AG512" i="4" s="1"/>
  <c r="B512" i="4"/>
  <c r="AO511" i="4"/>
  <c r="AH511" i="4"/>
  <c r="AF511" i="4"/>
  <c r="AG511" i="4" s="1"/>
  <c r="B511" i="4"/>
  <c r="AO510" i="4"/>
  <c r="AH510" i="4"/>
  <c r="AF510" i="4"/>
  <c r="AG510" i="4" s="1"/>
  <c r="B510" i="4"/>
  <c r="AO509" i="4"/>
  <c r="AH509" i="4"/>
  <c r="AF509" i="4"/>
  <c r="AG509" i="4" s="1"/>
  <c r="B509" i="4"/>
  <c r="AO508" i="4"/>
  <c r="AH508" i="4"/>
  <c r="AF508" i="4"/>
  <c r="AG508" i="4" s="1"/>
  <c r="B508" i="4"/>
  <c r="AO507" i="4"/>
  <c r="AH507" i="4"/>
  <c r="AF507" i="4"/>
  <c r="AG507" i="4" s="1"/>
  <c r="B507" i="4"/>
  <c r="AO506" i="4"/>
  <c r="AH506" i="4"/>
  <c r="AF506" i="4"/>
  <c r="AG506" i="4" s="1"/>
  <c r="B506" i="4"/>
  <c r="AO505" i="4"/>
  <c r="AH505" i="4"/>
  <c r="AF505" i="4"/>
  <c r="AG505" i="4" s="1"/>
  <c r="B505" i="4"/>
  <c r="AO504" i="4"/>
  <c r="AH504" i="4"/>
  <c r="AF504" i="4"/>
  <c r="AG504" i="4" s="1"/>
  <c r="B504" i="4"/>
  <c r="AO503" i="4"/>
  <c r="AH503" i="4"/>
  <c r="AF503" i="4"/>
  <c r="AG503" i="4" s="1"/>
  <c r="B503" i="4"/>
  <c r="AO502" i="4"/>
  <c r="AH502" i="4"/>
  <c r="AF502" i="4"/>
  <c r="AG502" i="4" s="1"/>
  <c r="B502" i="4"/>
  <c r="AO501" i="4"/>
  <c r="AH501" i="4"/>
  <c r="AF501" i="4"/>
  <c r="AG501" i="4" s="1"/>
  <c r="B501" i="4"/>
  <c r="AO500" i="4"/>
  <c r="AH500" i="4"/>
  <c r="AF500" i="4"/>
  <c r="AG500" i="4" s="1"/>
  <c r="B500" i="4"/>
  <c r="AO499" i="4"/>
  <c r="AH499" i="4"/>
  <c r="AF499" i="4"/>
  <c r="AG499" i="4" s="1"/>
  <c r="B499" i="4"/>
  <c r="AO498" i="4"/>
  <c r="AH498" i="4"/>
  <c r="AF498" i="4"/>
  <c r="AG498" i="4" s="1"/>
  <c r="B498" i="4"/>
  <c r="AO497" i="4"/>
  <c r="AH497" i="4"/>
  <c r="AF497" i="4"/>
  <c r="AG497" i="4" s="1"/>
  <c r="B497" i="4"/>
  <c r="AO496" i="4"/>
  <c r="AH496" i="4"/>
  <c r="AF496" i="4"/>
  <c r="AG496" i="4" s="1"/>
  <c r="B496" i="4"/>
  <c r="AO495" i="4"/>
  <c r="AH495" i="4"/>
  <c r="AF495" i="4"/>
  <c r="AG495" i="4" s="1"/>
  <c r="B495" i="4"/>
  <c r="AO494" i="4"/>
  <c r="AH494" i="4"/>
  <c r="AF494" i="4"/>
  <c r="AG494" i="4" s="1"/>
  <c r="B494" i="4"/>
  <c r="AO493" i="4"/>
  <c r="AH493" i="4"/>
  <c r="AF493" i="4"/>
  <c r="AG493" i="4" s="1"/>
  <c r="B493" i="4"/>
  <c r="AO492" i="4"/>
  <c r="AH492" i="4"/>
  <c r="AF492" i="4"/>
  <c r="AG492" i="4" s="1"/>
  <c r="B492" i="4"/>
  <c r="AO491" i="4"/>
  <c r="AH491" i="4"/>
  <c r="AF491" i="4"/>
  <c r="AG491" i="4" s="1"/>
  <c r="B491" i="4"/>
  <c r="AO490" i="4"/>
  <c r="AH490" i="4"/>
  <c r="AF490" i="4"/>
  <c r="AG490" i="4" s="1"/>
  <c r="B490" i="4"/>
  <c r="AO489" i="4"/>
  <c r="AH489" i="4"/>
  <c r="AF489" i="4"/>
  <c r="AG489" i="4" s="1"/>
  <c r="B489" i="4"/>
  <c r="AO488" i="4"/>
  <c r="AH488" i="4"/>
  <c r="AF488" i="4"/>
  <c r="AG488" i="4" s="1"/>
  <c r="B488" i="4"/>
  <c r="AO487" i="4"/>
  <c r="AH487" i="4"/>
  <c r="AF487" i="4"/>
  <c r="AG487" i="4" s="1"/>
  <c r="B487" i="4"/>
  <c r="AO486" i="4"/>
  <c r="AH486" i="4"/>
  <c r="AF486" i="4"/>
  <c r="AG486" i="4" s="1"/>
  <c r="B486" i="4"/>
  <c r="AO485" i="4"/>
  <c r="AH485" i="4"/>
  <c r="AF485" i="4"/>
  <c r="AG485" i="4" s="1"/>
  <c r="B485" i="4"/>
  <c r="AO484" i="4"/>
  <c r="AH484" i="4"/>
  <c r="AF484" i="4"/>
  <c r="AG484" i="4" s="1"/>
  <c r="B484" i="4"/>
  <c r="AO483" i="4"/>
  <c r="AH483" i="4"/>
  <c r="AF483" i="4"/>
  <c r="AG483" i="4" s="1"/>
  <c r="B483" i="4"/>
  <c r="AO482" i="4"/>
  <c r="AH482" i="4"/>
  <c r="AF482" i="4"/>
  <c r="AG482" i="4" s="1"/>
  <c r="B482" i="4"/>
  <c r="AO481" i="4"/>
  <c r="AH481" i="4"/>
  <c r="AF481" i="4"/>
  <c r="AG481" i="4" s="1"/>
  <c r="B481" i="4"/>
  <c r="AO480" i="4"/>
  <c r="AH480" i="4"/>
  <c r="AF480" i="4"/>
  <c r="AG480" i="4" s="1"/>
  <c r="B480" i="4"/>
  <c r="AO479" i="4"/>
  <c r="AH479" i="4"/>
  <c r="AF479" i="4"/>
  <c r="AG479" i="4" s="1"/>
  <c r="B479" i="4"/>
  <c r="AO478" i="4"/>
  <c r="AH478" i="4"/>
  <c r="AF478" i="4"/>
  <c r="AG478" i="4" s="1"/>
  <c r="B478" i="4"/>
  <c r="AO477" i="4"/>
  <c r="AH477" i="4"/>
  <c r="AF477" i="4"/>
  <c r="AG477" i="4" s="1"/>
  <c r="B477" i="4"/>
  <c r="AO476" i="4"/>
  <c r="AH476" i="4"/>
  <c r="AF476" i="4"/>
  <c r="AG476" i="4" s="1"/>
  <c r="B476" i="4"/>
  <c r="AO475" i="4"/>
  <c r="AH475" i="4"/>
  <c r="AF475" i="4"/>
  <c r="AG475" i="4" s="1"/>
  <c r="B475" i="4"/>
  <c r="AO474" i="4"/>
  <c r="AH474" i="4"/>
  <c r="AF474" i="4"/>
  <c r="AG474" i="4" s="1"/>
  <c r="B474" i="4"/>
  <c r="AO473" i="4"/>
  <c r="AH473" i="4"/>
  <c r="AF473" i="4"/>
  <c r="AG473" i="4" s="1"/>
  <c r="B473" i="4"/>
  <c r="AO472" i="4"/>
  <c r="AH472" i="4"/>
  <c r="AF472" i="4"/>
  <c r="AG472" i="4" s="1"/>
  <c r="B472" i="4"/>
  <c r="AO471" i="4"/>
  <c r="AH471" i="4"/>
  <c r="AF471" i="4"/>
  <c r="AG471" i="4" s="1"/>
  <c r="B471" i="4"/>
  <c r="AO470" i="4"/>
  <c r="AH470" i="4"/>
  <c r="AF470" i="4"/>
  <c r="AG470" i="4" s="1"/>
  <c r="B470" i="4"/>
  <c r="AO469" i="4"/>
  <c r="AH469" i="4"/>
  <c r="AF469" i="4"/>
  <c r="AG469" i="4" s="1"/>
  <c r="B469" i="4"/>
  <c r="AO468" i="4"/>
  <c r="AH468" i="4"/>
  <c r="AF468" i="4"/>
  <c r="AG468" i="4" s="1"/>
  <c r="B468" i="4"/>
  <c r="AO467" i="4"/>
  <c r="AH467" i="4"/>
  <c r="AF467" i="4"/>
  <c r="AG467" i="4" s="1"/>
  <c r="B467" i="4"/>
  <c r="AO466" i="4"/>
  <c r="AH466" i="4"/>
  <c r="AF466" i="4"/>
  <c r="AG466" i="4" s="1"/>
  <c r="B466" i="4"/>
  <c r="AO465" i="4"/>
  <c r="AH465" i="4"/>
  <c r="AF465" i="4"/>
  <c r="AG465" i="4" s="1"/>
  <c r="B465" i="4"/>
  <c r="AO464" i="4"/>
  <c r="AH464" i="4"/>
  <c r="AF464" i="4"/>
  <c r="AG464" i="4" s="1"/>
  <c r="B464" i="4"/>
  <c r="AO463" i="4"/>
  <c r="AH463" i="4"/>
  <c r="AF463" i="4"/>
  <c r="AG463" i="4" s="1"/>
  <c r="B463" i="4"/>
  <c r="AO462" i="4"/>
  <c r="AH462" i="4"/>
  <c r="AF462" i="4"/>
  <c r="AG462" i="4" s="1"/>
  <c r="B462" i="4"/>
  <c r="AO461" i="4"/>
  <c r="AH461" i="4"/>
  <c r="AF461" i="4"/>
  <c r="AG461" i="4" s="1"/>
  <c r="B461" i="4"/>
  <c r="AO460" i="4"/>
  <c r="AH460" i="4"/>
  <c r="AF460" i="4"/>
  <c r="AG460" i="4" s="1"/>
  <c r="B460" i="4"/>
  <c r="AF459" i="4"/>
  <c r="AG459" i="4" s="1"/>
  <c r="B459" i="4"/>
  <c r="AO458" i="4"/>
  <c r="AH458" i="4"/>
  <c r="AF458" i="4"/>
  <c r="AG458" i="4" s="1"/>
  <c r="B458" i="4"/>
  <c r="AO457" i="4"/>
  <c r="AH457" i="4"/>
  <c r="AF457" i="4"/>
  <c r="AG457" i="4" s="1"/>
  <c r="B457" i="4"/>
  <c r="AO456" i="4"/>
  <c r="AH456" i="4"/>
  <c r="AF456" i="4"/>
  <c r="AG456" i="4" s="1"/>
  <c r="B456" i="4"/>
  <c r="AO455" i="4"/>
  <c r="AH455" i="4"/>
  <c r="AF455" i="4"/>
  <c r="AG455" i="4" s="1"/>
  <c r="B455" i="4"/>
  <c r="AO454" i="4"/>
  <c r="AH454" i="4"/>
  <c r="AF454" i="4"/>
  <c r="AG454" i="4" s="1"/>
  <c r="B454" i="4"/>
  <c r="AO453" i="4"/>
  <c r="AH453" i="4"/>
  <c r="AF453" i="4"/>
  <c r="AG453" i="4" s="1"/>
  <c r="B453" i="4"/>
  <c r="AO452" i="4"/>
  <c r="AH452" i="4"/>
  <c r="AF452" i="4"/>
  <c r="AG452" i="4" s="1"/>
  <c r="B452" i="4"/>
  <c r="AO451" i="4"/>
  <c r="AH451" i="4"/>
  <c r="AF451" i="4"/>
  <c r="AG451" i="4" s="1"/>
  <c r="B451" i="4"/>
  <c r="AO450" i="4"/>
  <c r="AH450" i="4"/>
  <c r="AF450" i="4"/>
  <c r="AG450" i="4" s="1"/>
  <c r="B450" i="4"/>
  <c r="AO449" i="4"/>
  <c r="AH449" i="4"/>
  <c r="AF449" i="4"/>
  <c r="AG449" i="4" s="1"/>
  <c r="B449" i="4"/>
  <c r="AO448" i="4"/>
  <c r="AH448" i="4"/>
  <c r="AF448" i="4"/>
  <c r="AG448" i="4" s="1"/>
  <c r="B448" i="4"/>
  <c r="AO447" i="4"/>
  <c r="AH447" i="4"/>
  <c r="AF447" i="4"/>
  <c r="AG447" i="4" s="1"/>
  <c r="B447" i="4"/>
  <c r="AO446" i="4"/>
  <c r="AH446" i="4"/>
  <c r="AF446" i="4"/>
  <c r="AG446" i="4" s="1"/>
  <c r="B446" i="4"/>
  <c r="AO445" i="4"/>
  <c r="AH445" i="4"/>
  <c r="AF445" i="4"/>
  <c r="AG445" i="4" s="1"/>
  <c r="B445" i="4"/>
  <c r="AO444" i="4"/>
  <c r="AH444" i="4"/>
  <c r="AF444" i="4"/>
  <c r="AG444" i="4" s="1"/>
  <c r="B444" i="4"/>
  <c r="AO443" i="4"/>
  <c r="AH443" i="4"/>
  <c r="AF443" i="4"/>
  <c r="AG443" i="4" s="1"/>
  <c r="B443" i="4"/>
  <c r="AO442" i="4"/>
  <c r="AH442" i="4"/>
  <c r="AF442" i="4"/>
  <c r="AG442" i="4" s="1"/>
  <c r="B442" i="4"/>
  <c r="AO441" i="4"/>
  <c r="AH441" i="4"/>
  <c r="AF441" i="4"/>
  <c r="AG441" i="4" s="1"/>
  <c r="B441" i="4"/>
  <c r="AO440" i="4"/>
  <c r="AH440" i="4"/>
  <c r="AF440" i="4"/>
  <c r="AG440" i="4" s="1"/>
  <c r="B440" i="4"/>
  <c r="AO439" i="4"/>
  <c r="AH439" i="4"/>
  <c r="AF439" i="4"/>
  <c r="AG439" i="4" s="1"/>
  <c r="B439" i="4"/>
  <c r="AO438" i="4"/>
  <c r="AH438" i="4"/>
  <c r="AF438" i="4"/>
  <c r="AG438" i="4" s="1"/>
  <c r="B438" i="4"/>
  <c r="AO437" i="4"/>
  <c r="AH437" i="4"/>
  <c r="AF437" i="4"/>
  <c r="AG437" i="4" s="1"/>
  <c r="B437" i="4"/>
  <c r="AO436" i="4"/>
  <c r="AH436" i="4"/>
  <c r="AF436" i="4"/>
  <c r="AG436" i="4" s="1"/>
  <c r="B436" i="4"/>
  <c r="AO435" i="4"/>
  <c r="AH435" i="4"/>
  <c r="AF435" i="4"/>
  <c r="AG435" i="4" s="1"/>
  <c r="B435" i="4"/>
  <c r="AO434" i="4"/>
  <c r="AH434" i="4"/>
  <c r="AF434" i="4"/>
  <c r="AG434" i="4" s="1"/>
  <c r="B434" i="4"/>
  <c r="AO433" i="4"/>
  <c r="AH433" i="4"/>
  <c r="AF433" i="4"/>
  <c r="AG433" i="4" s="1"/>
  <c r="B433" i="4"/>
  <c r="AF432" i="4"/>
  <c r="AH432" i="4" s="1"/>
  <c r="B432" i="4"/>
  <c r="AO431" i="4"/>
  <c r="AH431" i="4"/>
  <c r="AF431" i="4"/>
  <c r="AG431" i="4" s="1"/>
  <c r="B431" i="4"/>
  <c r="AO430" i="4"/>
  <c r="AH430" i="4"/>
  <c r="AF430" i="4"/>
  <c r="AG430" i="4" s="1"/>
  <c r="B430" i="4"/>
  <c r="AO429" i="4"/>
  <c r="AH429" i="4"/>
  <c r="AF429" i="4"/>
  <c r="AG429" i="4" s="1"/>
  <c r="B429" i="4"/>
  <c r="AO428" i="4"/>
  <c r="AH428" i="4"/>
  <c r="AF428" i="4"/>
  <c r="AG428" i="4" s="1"/>
  <c r="B428" i="4"/>
  <c r="AO427" i="4"/>
  <c r="AH427" i="4"/>
  <c r="AF427" i="4"/>
  <c r="AG427" i="4" s="1"/>
  <c r="B427" i="4"/>
  <c r="AO426" i="4"/>
  <c r="AH426" i="4"/>
  <c r="AF426" i="4"/>
  <c r="AG426" i="4" s="1"/>
  <c r="B426" i="4"/>
  <c r="AO425" i="4"/>
  <c r="AH425" i="4"/>
  <c r="AF425" i="4"/>
  <c r="AG425" i="4" s="1"/>
  <c r="B425" i="4"/>
  <c r="AO424" i="4"/>
  <c r="AH424" i="4"/>
  <c r="AF424" i="4"/>
  <c r="AG424" i="4" s="1"/>
  <c r="B424" i="4"/>
  <c r="AO423" i="4"/>
  <c r="AH423" i="4"/>
  <c r="AF423" i="4"/>
  <c r="AG423" i="4" s="1"/>
  <c r="B423" i="4"/>
  <c r="AO422" i="4"/>
  <c r="AH422" i="4"/>
  <c r="AF422" i="4"/>
  <c r="AG422" i="4" s="1"/>
  <c r="B422" i="4"/>
  <c r="AO421" i="4"/>
  <c r="AH421" i="4"/>
  <c r="AF421" i="4"/>
  <c r="AG421" i="4" s="1"/>
  <c r="B421" i="4"/>
  <c r="AO420" i="4"/>
  <c r="AH420" i="4"/>
  <c r="AF420" i="4"/>
  <c r="AG420" i="4" s="1"/>
  <c r="B420" i="4"/>
  <c r="AO419" i="4"/>
  <c r="AH419" i="4"/>
  <c r="AF419" i="4"/>
  <c r="AG419" i="4" s="1"/>
  <c r="B419" i="4"/>
  <c r="AO418" i="4"/>
  <c r="AH418" i="4"/>
  <c r="AF418" i="4"/>
  <c r="AG418" i="4" s="1"/>
  <c r="B418" i="4"/>
  <c r="AO417" i="4"/>
  <c r="AH417" i="4"/>
  <c r="AF417" i="4"/>
  <c r="AG417" i="4" s="1"/>
  <c r="B417" i="4"/>
  <c r="AO416" i="4"/>
  <c r="AH416" i="4"/>
  <c r="AF416" i="4"/>
  <c r="AG416" i="4" s="1"/>
  <c r="B416" i="4"/>
  <c r="AO415" i="4"/>
  <c r="AH415" i="4"/>
  <c r="AF415" i="4"/>
  <c r="AG415" i="4" s="1"/>
  <c r="B415" i="4"/>
  <c r="AO414" i="4"/>
  <c r="AH414" i="4"/>
  <c r="AF414" i="4"/>
  <c r="AG414" i="4" s="1"/>
  <c r="B414" i="4"/>
  <c r="AO413" i="4"/>
  <c r="AH413" i="4"/>
  <c r="AF413" i="4"/>
  <c r="AG413" i="4" s="1"/>
  <c r="B413" i="4"/>
  <c r="AO412" i="4"/>
  <c r="AH412" i="4"/>
  <c r="AF412" i="4"/>
  <c r="AG412" i="4" s="1"/>
  <c r="B412" i="4"/>
  <c r="AO411" i="4"/>
  <c r="AH411" i="4"/>
  <c r="AF411" i="4"/>
  <c r="AG411" i="4" s="1"/>
  <c r="B411" i="4"/>
  <c r="AO410" i="4"/>
  <c r="AH410" i="4"/>
  <c r="AF410" i="4"/>
  <c r="AG410" i="4" s="1"/>
  <c r="B410" i="4"/>
  <c r="AO409" i="4"/>
  <c r="AH409" i="4"/>
  <c r="AF409" i="4"/>
  <c r="AG409" i="4" s="1"/>
  <c r="B409" i="4"/>
  <c r="AO408" i="4"/>
  <c r="AH408" i="4"/>
  <c r="AF408" i="4"/>
  <c r="AG408" i="4" s="1"/>
  <c r="B408" i="4"/>
  <c r="AF407" i="4"/>
  <c r="AG407" i="4" s="1"/>
  <c r="B407" i="4"/>
  <c r="AO406" i="4"/>
  <c r="AH406" i="4"/>
  <c r="AF406" i="4"/>
  <c r="AG406" i="4" s="1"/>
  <c r="B406" i="4"/>
  <c r="AO405" i="4"/>
  <c r="AH405" i="4"/>
  <c r="AF405" i="4"/>
  <c r="AG405" i="4" s="1"/>
  <c r="B405" i="4"/>
  <c r="AO404" i="4"/>
  <c r="AH404" i="4"/>
  <c r="AF404" i="4"/>
  <c r="AG404" i="4" s="1"/>
  <c r="B404" i="4"/>
  <c r="AO403" i="4"/>
  <c r="AH403" i="4"/>
  <c r="AF403" i="4"/>
  <c r="AG403" i="4" s="1"/>
  <c r="B403" i="4"/>
  <c r="AO402" i="4"/>
  <c r="AH402" i="4"/>
  <c r="AF402" i="4"/>
  <c r="AG402" i="4" s="1"/>
  <c r="B402" i="4"/>
  <c r="AO401" i="4"/>
  <c r="AH401" i="4"/>
  <c r="AF401" i="4"/>
  <c r="AG401" i="4" s="1"/>
  <c r="B401" i="4"/>
  <c r="AO400" i="4"/>
  <c r="AH400" i="4"/>
  <c r="AF400" i="4"/>
  <c r="AG400" i="4" s="1"/>
  <c r="B400" i="4"/>
  <c r="AO399" i="4"/>
  <c r="AH399" i="4"/>
  <c r="AF399" i="4"/>
  <c r="AG399" i="4" s="1"/>
  <c r="B399" i="4"/>
  <c r="AO398" i="4"/>
  <c r="AH398" i="4"/>
  <c r="AF398" i="4"/>
  <c r="AG398" i="4" s="1"/>
  <c r="B398" i="4"/>
  <c r="AO397" i="4"/>
  <c r="AH397" i="4"/>
  <c r="AF397" i="4"/>
  <c r="AG397" i="4" s="1"/>
  <c r="B397" i="4"/>
  <c r="AO396" i="4"/>
  <c r="AH396" i="4"/>
  <c r="AF396" i="4"/>
  <c r="AG396" i="4" s="1"/>
  <c r="B396" i="4"/>
  <c r="AO395" i="4"/>
  <c r="AH395" i="4"/>
  <c r="AF395" i="4"/>
  <c r="AG395" i="4" s="1"/>
  <c r="B395" i="4"/>
  <c r="AO394" i="4"/>
  <c r="AH394" i="4"/>
  <c r="AF394" i="4"/>
  <c r="AG394" i="4" s="1"/>
  <c r="B394" i="4"/>
  <c r="AO393" i="4"/>
  <c r="AH393" i="4"/>
  <c r="AF393" i="4"/>
  <c r="AG393" i="4" s="1"/>
  <c r="B393" i="4"/>
  <c r="AO392" i="4"/>
  <c r="AH392" i="4"/>
  <c r="AF392" i="4"/>
  <c r="AG392" i="4" s="1"/>
  <c r="B392" i="4"/>
  <c r="AO391" i="4"/>
  <c r="AH391" i="4"/>
  <c r="AF391" i="4"/>
  <c r="AG391" i="4" s="1"/>
  <c r="B391" i="4"/>
  <c r="AO390" i="4"/>
  <c r="AH390" i="4"/>
  <c r="AF390" i="4"/>
  <c r="AG390" i="4" s="1"/>
  <c r="B390" i="4"/>
  <c r="AO389" i="4"/>
  <c r="AH389" i="4"/>
  <c r="AF389" i="4"/>
  <c r="AG389" i="4" s="1"/>
  <c r="B389" i="4"/>
  <c r="AO388" i="4"/>
  <c r="AH388" i="4"/>
  <c r="AF388" i="4"/>
  <c r="AG388" i="4" s="1"/>
  <c r="B388" i="4"/>
  <c r="AO387" i="4"/>
  <c r="AH387" i="4"/>
  <c r="AF387" i="4"/>
  <c r="AG387" i="4" s="1"/>
  <c r="B387" i="4"/>
  <c r="AO386" i="4"/>
  <c r="AH386" i="4"/>
  <c r="AF386" i="4"/>
  <c r="AG386" i="4" s="1"/>
  <c r="B386" i="4"/>
  <c r="AO385" i="4"/>
  <c r="AH385" i="4"/>
  <c r="AF385" i="4"/>
  <c r="AG385" i="4" s="1"/>
  <c r="B385" i="4"/>
  <c r="AO384" i="4"/>
  <c r="AH384" i="4"/>
  <c r="AF384" i="4"/>
  <c r="AG384" i="4" s="1"/>
  <c r="B384" i="4"/>
  <c r="AO383" i="4"/>
  <c r="AH383" i="4"/>
  <c r="AF383" i="4"/>
  <c r="AG383" i="4" s="1"/>
  <c r="B383" i="4"/>
  <c r="AO382" i="4"/>
  <c r="AH382" i="4"/>
  <c r="AF382" i="4"/>
  <c r="AG382" i="4" s="1"/>
  <c r="B382" i="4"/>
  <c r="AO381" i="4"/>
  <c r="AH381" i="4"/>
  <c r="AF381" i="4"/>
  <c r="AG381" i="4" s="1"/>
  <c r="B381" i="4"/>
  <c r="AO380" i="4"/>
  <c r="AH380" i="4"/>
  <c r="AF380" i="4"/>
  <c r="AG380" i="4" s="1"/>
  <c r="B380" i="4"/>
  <c r="AO379" i="4"/>
  <c r="AH379" i="4"/>
  <c r="AF379" i="4"/>
  <c r="AG379" i="4" s="1"/>
  <c r="B379" i="4"/>
  <c r="AO378" i="4"/>
  <c r="AH378" i="4"/>
  <c r="AF378" i="4"/>
  <c r="AG378" i="4" s="1"/>
  <c r="B378" i="4"/>
  <c r="AO377" i="4"/>
  <c r="AH377" i="4"/>
  <c r="AF377" i="4"/>
  <c r="AG377" i="4" s="1"/>
  <c r="B377" i="4"/>
  <c r="AO376" i="4"/>
  <c r="AH376" i="4"/>
  <c r="AF376" i="4"/>
  <c r="AG376" i="4" s="1"/>
  <c r="B376" i="4"/>
  <c r="AO375" i="4"/>
  <c r="AH375" i="4"/>
  <c r="AF375" i="4"/>
  <c r="AG375" i="4" s="1"/>
  <c r="B375" i="4"/>
  <c r="AO374" i="4"/>
  <c r="AH374" i="4"/>
  <c r="AF374" i="4"/>
  <c r="AG374" i="4" s="1"/>
  <c r="B374" i="4"/>
  <c r="AO373" i="4"/>
  <c r="AH373" i="4"/>
  <c r="AF373" i="4"/>
  <c r="AG373" i="4" s="1"/>
  <c r="B373" i="4"/>
  <c r="AH372" i="4"/>
  <c r="AF372" i="4"/>
  <c r="AG372" i="4" s="1"/>
  <c r="B372" i="4"/>
  <c r="AO371" i="4"/>
  <c r="AH371" i="4"/>
  <c r="AF371" i="4"/>
  <c r="AG371" i="4" s="1"/>
  <c r="B371" i="4"/>
  <c r="AO370" i="4"/>
  <c r="AH370" i="4"/>
  <c r="AF370" i="4"/>
  <c r="AG370" i="4" s="1"/>
  <c r="B370" i="4"/>
  <c r="AO369" i="4"/>
  <c r="AH369" i="4"/>
  <c r="AF369" i="4"/>
  <c r="AG369" i="4" s="1"/>
  <c r="B369" i="4"/>
  <c r="AO368" i="4"/>
  <c r="AH368" i="4"/>
  <c r="AF368" i="4"/>
  <c r="AG368" i="4" s="1"/>
  <c r="B368" i="4"/>
  <c r="AO367" i="4"/>
  <c r="AH367" i="4"/>
  <c r="AF367" i="4"/>
  <c r="AG367" i="4" s="1"/>
  <c r="B367" i="4"/>
  <c r="AF366" i="4"/>
  <c r="AO366" i="4" s="1"/>
  <c r="B366" i="4"/>
  <c r="AO365" i="4"/>
  <c r="AH365" i="4"/>
  <c r="AF365" i="4"/>
  <c r="AG365" i="4" s="1"/>
  <c r="B365" i="4"/>
  <c r="AO364" i="4"/>
  <c r="AH364" i="4"/>
  <c r="AF364" i="4"/>
  <c r="AG364" i="4" s="1"/>
  <c r="B364" i="4"/>
  <c r="AO363" i="4"/>
  <c r="AH363" i="4"/>
  <c r="AF363" i="4"/>
  <c r="AG363" i="4" s="1"/>
  <c r="B363" i="4"/>
  <c r="AO362" i="4"/>
  <c r="AH362" i="4"/>
  <c r="AF362" i="4"/>
  <c r="AG362" i="4" s="1"/>
  <c r="B362" i="4"/>
  <c r="AO361" i="4"/>
  <c r="AH361" i="4"/>
  <c r="AF361" i="4"/>
  <c r="AG361" i="4" s="1"/>
  <c r="B361" i="4"/>
  <c r="AO360" i="4"/>
  <c r="AH360" i="4"/>
  <c r="AF360" i="4"/>
  <c r="AG360" i="4" s="1"/>
  <c r="B360" i="4"/>
  <c r="AO359" i="4"/>
  <c r="AH359" i="4"/>
  <c r="AF359" i="4"/>
  <c r="AG359" i="4" s="1"/>
  <c r="B359" i="4"/>
  <c r="AO358" i="4"/>
  <c r="AH358" i="4"/>
  <c r="AF358" i="4"/>
  <c r="AG358" i="4" s="1"/>
  <c r="B358" i="4"/>
  <c r="AF357" i="4"/>
  <c r="B357" i="4"/>
  <c r="AO356" i="4"/>
  <c r="AH356" i="4"/>
  <c r="AF356" i="4"/>
  <c r="AG356" i="4" s="1"/>
  <c r="B356" i="4"/>
  <c r="AH355" i="4"/>
  <c r="AF355" i="4"/>
  <c r="AG355" i="4" s="1"/>
  <c r="B355" i="4"/>
  <c r="AH354" i="4"/>
  <c r="AF354" i="4"/>
  <c r="AG354" i="4" s="1"/>
  <c r="B354" i="4"/>
  <c r="AO353" i="4"/>
  <c r="AH353" i="4"/>
  <c r="AF353" i="4"/>
  <c r="AG353" i="4" s="1"/>
  <c r="B353" i="4"/>
  <c r="AO352" i="4"/>
  <c r="AH352" i="4"/>
  <c r="AF352" i="4"/>
  <c r="AG352" i="4" s="1"/>
  <c r="B352" i="4"/>
  <c r="AO351" i="4"/>
  <c r="AH351" i="4"/>
  <c r="AF351" i="4"/>
  <c r="AG351" i="4" s="1"/>
  <c r="B351" i="4"/>
  <c r="AO350" i="4"/>
  <c r="AH350" i="4"/>
  <c r="AF350" i="4"/>
  <c r="AG350" i="4" s="1"/>
  <c r="B350" i="4"/>
  <c r="AO349" i="4"/>
  <c r="AH349" i="4"/>
  <c r="AF349" i="4"/>
  <c r="AG349" i="4" s="1"/>
  <c r="B349" i="4"/>
  <c r="AO348" i="4"/>
  <c r="AH348" i="4"/>
  <c r="AF348" i="4"/>
  <c r="AG348" i="4" s="1"/>
  <c r="B348" i="4"/>
  <c r="AO347" i="4"/>
  <c r="AH347" i="4"/>
  <c r="AF347" i="4"/>
  <c r="AG347" i="4" s="1"/>
  <c r="B347" i="4"/>
  <c r="AO346" i="4"/>
  <c r="AH346" i="4"/>
  <c r="AF346" i="4"/>
  <c r="AG346" i="4" s="1"/>
  <c r="B346" i="4"/>
  <c r="AH345" i="4"/>
  <c r="AF345" i="4"/>
  <c r="AO345" i="4" s="1"/>
  <c r="B345" i="4"/>
  <c r="AO344" i="4"/>
  <c r="AH344" i="4"/>
  <c r="AF344" i="4"/>
  <c r="AG344" i="4" s="1"/>
  <c r="B344" i="4"/>
  <c r="AO343" i="4"/>
  <c r="AH343" i="4"/>
  <c r="AF343" i="4"/>
  <c r="AG343" i="4" s="1"/>
  <c r="B343" i="4"/>
  <c r="AO342" i="4"/>
  <c r="AH342" i="4"/>
  <c r="AF342" i="4"/>
  <c r="AG342" i="4" s="1"/>
  <c r="B342" i="4"/>
  <c r="AH341" i="4"/>
  <c r="AF341" i="4"/>
  <c r="AO341" i="4" s="1"/>
  <c r="B341" i="4"/>
  <c r="AO340" i="4"/>
  <c r="AH340" i="4"/>
  <c r="AF340" i="4"/>
  <c r="AG340" i="4" s="1"/>
  <c r="B340" i="4"/>
  <c r="AO339" i="4"/>
  <c r="AH339" i="4"/>
  <c r="AF339" i="4"/>
  <c r="AG339" i="4" s="1"/>
  <c r="B339" i="4"/>
  <c r="AO338" i="4"/>
  <c r="AH338" i="4"/>
  <c r="AF338" i="4"/>
  <c r="AG338" i="4" s="1"/>
  <c r="B338" i="4"/>
  <c r="AO337" i="4"/>
  <c r="AH337" i="4"/>
  <c r="AF337" i="4"/>
  <c r="AG337" i="4" s="1"/>
  <c r="B337" i="4"/>
  <c r="AO336" i="4"/>
  <c r="AH336" i="4"/>
  <c r="AF336" i="4"/>
  <c r="AG336" i="4" s="1"/>
  <c r="B336" i="4"/>
  <c r="AO335" i="4"/>
  <c r="AH335" i="4"/>
  <c r="AF335" i="4"/>
  <c r="AG335" i="4" s="1"/>
  <c r="B335" i="4"/>
  <c r="AO334" i="4"/>
  <c r="AH334" i="4"/>
  <c r="AF334" i="4"/>
  <c r="AG334" i="4" s="1"/>
  <c r="B334" i="4"/>
  <c r="AO333" i="4"/>
  <c r="AH333" i="4"/>
  <c r="AF333" i="4"/>
  <c r="AG333" i="4" s="1"/>
  <c r="B333" i="4"/>
  <c r="AO332" i="4"/>
  <c r="AH332" i="4"/>
  <c r="AF332" i="4"/>
  <c r="AG332" i="4" s="1"/>
  <c r="B332" i="4"/>
  <c r="AO331" i="4"/>
  <c r="AH331" i="4"/>
  <c r="AF331" i="4"/>
  <c r="AG331" i="4" s="1"/>
  <c r="B331" i="4"/>
  <c r="AO330" i="4"/>
  <c r="AH330" i="4"/>
  <c r="AF330" i="4"/>
  <c r="AG330" i="4" s="1"/>
  <c r="B330" i="4"/>
  <c r="AO329" i="4"/>
  <c r="AH329" i="4"/>
  <c r="AF329" i="4"/>
  <c r="AG329" i="4" s="1"/>
  <c r="B329" i="4"/>
  <c r="AO328" i="4"/>
  <c r="AH328" i="4"/>
  <c r="AF328" i="4"/>
  <c r="AG328" i="4" s="1"/>
  <c r="B328" i="4"/>
  <c r="AO327" i="4"/>
  <c r="AH327" i="4"/>
  <c r="AF327" i="4"/>
  <c r="AG327" i="4" s="1"/>
  <c r="B327" i="4"/>
  <c r="AO326" i="4"/>
  <c r="AH326" i="4"/>
  <c r="AF326" i="4"/>
  <c r="AG326" i="4" s="1"/>
  <c r="B326" i="4"/>
  <c r="AH325" i="4"/>
  <c r="AF325" i="4"/>
  <c r="AO325" i="4" s="1"/>
  <c r="B325" i="4"/>
  <c r="AH324" i="4"/>
  <c r="AF324" i="4"/>
  <c r="AG324" i="4" s="1"/>
  <c r="B324" i="4"/>
  <c r="AF323" i="4"/>
  <c r="AG323" i="4" s="1"/>
  <c r="B323" i="4"/>
  <c r="AO322" i="4"/>
  <c r="AH322" i="4"/>
  <c r="AF322" i="4"/>
  <c r="AG322" i="4" s="1"/>
  <c r="B322" i="4"/>
  <c r="AO321" i="4"/>
  <c r="AH321" i="4"/>
  <c r="AF321" i="4"/>
  <c r="AG321" i="4" s="1"/>
  <c r="B321" i="4"/>
  <c r="AO320" i="4"/>
  <c r="AH320" i="4"/>
  <c r="AF320" i="4"/>
  <c r="AG320" i="4" s="1"/>
  <c r="B320" i="4"/>
  <c r="AO319" i="4"/>
  <c r="AH319" i="4"/>
  <c r="AF319" i="4"/>
  <c r="AG319" i="4" s="1"/>
  <c r="B319" i="4"/>
  <c r="AO318" i="4"/>
  <c r="AH318" i="4"/>
  <c r="AF318" i="4"/>
  <c r="AG318" i="4" s="1"/>
  <c r="B318" i="4"/>
  <c r="AO317" i="4"/>
  <c r="AH317" i="4"/>
  <c r="AF317" i="4"/>
  <c r="AG317" i="4" s="1"/>
  <c r="B317" i="4"/>
  <c r="AO316" i="4"/>
  <c r="AH316" i="4"/>
  <c r="AF316" i="4"/>
  <c r="AG316" i="4" s="1"/>
  <c r="B316" i="4"/>
  <c r="AO315" i="4"/>
  <c r="AH315" i="4"/>
  <c r="AF315" i="4"/>
  <c r="AG315" i="4" s="1"/>
  <c r="B315" i="4"/>
  <c r="AO314" i="4"/>
  <c r="AH314" i="4"/>
  <c r="AF314" i="4"/>
  <c r="AG314" i="4" s="1"/>
  <c r="B314" i="4"/>
  <c r="AO313" i="4"/>
  <c r="AH313" i="4"/>
  <c r="AF313" i="4"/>
  <c r="AG313" i="4" s="1"/>
  <c r="B313" i="4"/>
  <c r="AH312" i="4"/>
  <c r="AF312" i="4"/>
  <c r="AO312" i="4" s="1"/>
  <c r="B312" i="4"/>
  <c r="AF311" i="4"/>
  <c r="AG311" i="4" s="1"/>
  <c r="B311" i="4"/>
  <c r="AO310" i="4"/>
  <c r="AH310" i="4"/>
  <c r="AF310" i="4"/>
  <c r="AG310" i="4" s="1"/>
  <c r="B310" i="4"/>
  <c r="AO309" i="4"/>
  <c r="AH309" i="4"/>
  <c r="AF309" i="4"/>
  <c r="AG309" i="4" s="1"/>
  <c r="B309" i="4"/>
  <c r="AO308" i="4"/>
  <c r="AH308" i="4"/>
  <c r="AF308" i="4"/>
  <c r="AG308" i="4" s="1"/>
  <c r="B308" i="4"/>
  <c r="AO307" i="4"/>
  <c r="AH307" i="4"/>
  <c r="AF307" i="4"/>
  <c r="AG307" i="4" s="1"/>
  <c r="B307" i="4"/>
  <c r="AO306" i="4"/>
  <c r="AH306" i="4"/>
  <c r="AF306" i="4"/>
  <c r="AG306" i="4" s="1"/>
  <c r="B306" i="4"/>
  <c r="AO305" i="4"/>
  <c r="AH305" i="4"/>
  <c r="AF305" i="4"/>
  <c r="AG305" i="4" s="1"/>
  <c r="B305" i="4"/>
  <c r="AO304" i="4"/>
  <c r="AH304" i="4"/>
  <c r="AF304" i="4"/>
  <c r="AG304" i="4" s="1"/>
  <c r="B304" i="4"/>
  <c r="AH303" i="4"/>
  <c r="AF303" i="4"/>
  <c r="AG303" i="4" s="1"/>
  <c r="B303" i="4"/>
  <c r="AH302" i="4"/>
  <c r="AF302" i="4"/>
  <c r="AG302" i="4" s="1"/>
  <c r="N302" i="4"/>
  <c r="B302" i="4"/>
  <c r="AH301" i="4"/>
  <c r="AF301" i="4"/>
  <c r="AO301" i="4" s="1"/>
  <c r="B301" i="4"/>
  <c r="AO300" i="4"/>
  <c r="AH300" i="4"/>
  <c r="AF300" i="4"/>
  <c r="AG300" i="4" s="1"/>
  <c r="B300" i="4"/>
  <c r="AO299" i="4"/>
  <c r="AH299" i="4"/>
  <c r="AF299" i="4"/>
  <c r="AG299" i="4" s="1"/>
  <c r="B299" i="4"/>
  <c r="AF298" i="4"/>
  <c r="AO298" i="4" s="1"/>
  <c r="B298" i="4"/>
  <c r="AF297" i="4"/>
  <c r="AG297" i="4" s="1"/>
  <c r="B297" i="4"/>
  <c r="AF296" i="4"/>
  <c r="AG296" i="4" s="1"/>
  <c r="B296" i="4"/>
  <c r="AF295" i="4"/>
  <c r="AH295" i="4" s="1"/>
  <c r="B295" i="4"/>
  <c r="AF294" i="4"/>
  <c r="AO294" i="4" s="1"/>
  <c r="B294" i="4"/>
  <c r="AO293" i="4"/>
  <c r="AH293" i="4"/>
  <c r="AF293" i="4"/>
  <c r="AG293" i="4" s="1"/>
  <c r="B293" i="4"/>
  <c r="AF292" i="4"/>
  <c r="AG292" i="4" s="1"/>
  <c r="B292" i="4"/>
  <c r="AF291" i="4"/>
  <c r="AH291" i="4" s="1"/>
  <c r="B291" i="4"/>
  <c r="AF290" i="4"/>
  <c r="AO290" i="4" s="1"/>
  <c r="B290" i="4"/>
  <c r="AF289" i="4"/>
  <c r="AG289" i="4" s="1"/>
  <c r="B289" i="4"/>
  <c r="AF288" i="4"/>
  <c r="B288" i="4"/>
  <c r="AF287" i="4"/>
  <c r="B287" i="4"/>
  <c r="AF286" i="4"/>
  <c r="B286" i="4"/>
  <c r="AF285" i="4"/>
  <c r="AO285" i="4" s="1"/>
  <c r="B285" i="4"/>
  <c r="AF284" i="4"/>
  <c r="AG284" i="4" s="1"/>
  <c r="B284" i="4"/>
  <c r="AO283" i="4"/>
  <c r="AH283" i="4"/>
  <c r="AF283" i="4"/>
  <c r="AG283" i="4" s="1"/>
  <c r="B283" i="4"/>
  <c r="AF282" i="4"/>
  <c r="AO282" i="4" s="1"/>
  <c r="B282" i="4"/>
  <c r="AF281" i="4"/>
  <c r="AO281" i="4" s="1"/>
  <c r="B281" i="4"/>
  <c r="AF280" i="4"/>
  <c r="AG280" i="4" s="1"/>
  <c r="B280" i="4"/>
  <c r="AF279" i="4"/>
  <c r="AH279" i="4" s="1"/>
  <c r="B279" i="4"/>
  <c r="AF278" i="4"/>
  <c r="AO278" i="4" s="1"/>
  <c r="B278" i="4"/>
  <c r="AF277" i="4"/>
  <c r="AG277" i="4" s="1"/>
  <c r="B277" i="4"/>
  <c r="AO276" i="4"/>
  <c r="AH276" i="4"/>
  <c r="AF276" i="4"/>
  <c r="AG276" i="4" s="1"/>
  <c r="B276" i="4"/>
  <c r="AF275" i="4"/>
  <c r="B275" i="4"/>
  <c r="AF274" i="4"/>
  <c r="B274" i="4"/>
  <c r="AF273" i="4"/>
  <c r="AO273" i="4" s="1"/>
  <c r="B273" i="4"/>
  <c r="AO272" i="4"/>
  <c r="AH272" i="4"/>
  <c r="AF272" i="4"/>
  <c r="AG272" i="4" s="1"/>
  <c r="B272" i="4"/>
  <c r="AF271" i="4"/>
  <c r="AH271" i="4" s="1"/>
  <c r="B271" i="4"/>
  <c r="AF270" i="4"/>
  <c r="AO270" i="4" s="1"/>
  <c r="B270" i="4"/>
  <c r="AF269" i="4"/>
  <c r="AO269" i="4" s="1"/>
  <c r="B269" i="4"/>
  <c r="AF268" i="4"/>
  <c r="AG268" i="4" s="1"/>
  <c r="B268" i="4"/>
  <c r="AF267" i="4"/>
  <c r="AH267" i="4" s="1"/>
  <c r="B267" i="4"/>
  <c r="AF266" i="4"/>
  <c r="AO266" i="4" s="1"/>
  <c r="B266" i="4"/>
  <c r="AF265" i="4"/>
  <c r="AG265" i="4" s="1"/>
  <c r="B265" i="4"/>
  <c r="AF264" i="4"/>
  <c r="AG264" i="4" s="1"/>
  <c r="B264" i="4"/>
  <c r="AF263" i="4"/>
  <c r="AH263" i="4" s="1"/>
  <c r="B263" i="4"/>
  <c r="AF262" i="4"/>
  <c r="AO262" i="4" s="1"/>
  <c r="B262" i="4"/>
  <c r="AF261" i="4"/>
  <c r="AO261" i="4" s="1"/>
  <c r="B261" i="4"/>
  <c r="AF260" i="4"/>
  <c r="B260" i="4"/>
  <c r="AF259" i="4"/>
  <c r="B259" i="4"/>
  <c r="AF258" i="4"/>
  <c r="B258" i="4"/>
  <c r="AF257" i="4"/>
  <c r="AO257" i="4" s="1"/>
  <c r="N257" i="4"/>
  <c r="B257" i="4"/>
  <c r="AF256" i="4"/>
  <c r="AH256" i="4" s="1"/>
  <c r="B256" i="4"/>
  <c r="AH255" i="4"/>
  <c r="AF255" i="4"/>
  <c r="AO255" i="4" s="1"/>
  <c r="B255" i="4"/>
  <c r="AF254" i="4"/>
  <c r="AO254" i="4" s="1"/>
  <c r="B254" i="4"/>
  <c r="AF253" i="4"/>
  <c r="AG253" i="4" s="1"/>
  <c r="B253" i="4"/>
  <c r="AF252" i="4"/>
  <c r="B252" i="4"/>
  <c r="AF251" i="4"/>
  <c r="AG251" i="4" s="1"/>
  <c r="B251" i="4"/>
  <c r="AF250" i="4"/>
  <c r="AG250" i="4" s="1"/>
  <c r="B250" i="4"/>
  <c r="AO249" i="4"/>
  <c r="AH249" i="4"/>
  <c r="AF249" i="4"/>
  <c r="AG249" i="4" s="1"/>
  <c r="B249" i="4"/>
  <c r="AO248" i="4"/>
  <c r="AH248" i="4"/>
  <c r="AF248" i="4"/>
  <c r="AG248" i="4" s="1"/>
  <c r="B248" i="4"/>
  <c r="AO247" i="4"/>
  <c r="AH247" i="4"/>
  <c r="AF247" i="4"/>
  <c r="AG247" i="4" s="1"/>
  <c r="B247" i="4"/>
  <c r="AO246" i="4"/>
  <c r="AH246" i="4"/>
  <c r="AF246" i="4"/>
  <c r="AG246" i="4" s="1"/>
  <c r="B246" i="4"/>
  <c r="AO245" i="4"/>
  <c r="AH245" i="4"/>
  <c r="AF245" i="4"/>
  <c r="AG245" i="4" s="1"/>
  <c r="B245" i="4"/>
  <c r="AO244" i="4"/>
  <c r="AH244" i="4"/>
  <c r="AF244" i="4"/>
  <c r="AG244" i="4" s="1"/>
  <c r="B244" i="4"/>
  <c r="AO243" i="4"/>
  <c r="AH243" i="4"/>
  <c r="AF243" i="4"/>
  <c r="AG243" i="4" s="1"/>
  <c r="B243" i="4"/>
  <c r="AO242" i="4"/>
  <c r="AH242" i="4"/>
  <c r="AF242" i="4"/>
  <c r="AG242" i="4" s="1"/>
  <c r="B242" i="4"/>
  <c r="AO241" i="4"/>
  <c r="AH241" i="4"/>
  <c r="AF241" i="4"/>
  <c r="AG241" i="4" s="1"/>
  <c r="B241" i="4"/>
  <c r="AO240" i="4"/>
  <c r="AH240" i="4"/>
  <c r="AF240" i="4"/>
  <c r="AG240" i="4" s="1"/>
  <c r="B240" i="4"/>
  <c r="AO239" i="4"/>
  <c r="AH239" i="4"/>
  <c r="AF239" i="4"/>
  <c r="AG239" i="4" s="1"/>
  <c r="B239" i="4"/>
  <c r="AO238" i="4"/>
  <c r="AH238" i="4"/>
  <c r="AF238" i="4"/>
  <c r="AG238" i="4" s="1"/>
  <c r="B238" i="4"/>
  <c r="AO237" i="4"/>
  <c r="AH237" i="4"/>
  <c r="AF237" i="4"/>
  <c r="AG237" i="4" s="1"/>
  <c r="B237" i="4"/>
  <c r="AO236" i="4"/>
  <c r="AH236" i="4"/>
  <c r="AF236" i="4"/>
  <c r="AG236" i="4" s="1"/>
  <c r="B236" i="4"/>
  <c r="AO235" i="4"/>
  <c r="AH235" i="4"/>
  <c r="AF235" i="4"/>
  <c r="AG235" i="4" s="1"/>
  <c r="B235" i="4"/>
  <c r="AO234" i="4"/>
  <c r="AH234" i="4"/>
  <c r="AF234" i="4"/>
  <c r="AG234" i="4" s="1"/>
  <c r="B234" i="4"/>
  <c r="AO233" i="4"/>
  <c r="AH233" i="4"/>
  <c r="AF233" i="4"/>
  <c r="AG233" i="4" s="1"/>
  <c r="B233" i="4"/>
  <c r="AO232" i="4"/>
  <c r="AH232" i="4"/>
  <c r="AF232" i="4"/>
  <c r="AG232" i="4" s="1"/>
  <c r="B232" i="4"/>
  <c r="AO231" i="4"/>
  <c r="AH231" i="4"/>
  <c r="AF231" i="4"/>
  <c r="AG231" i="4" s="1"/>
  <c r="B231" i="4"/>
  <c r="AO230" i="4"/>
  <c r="AH230" i="4"/>
  <c r="AF230" i="4"/>
  <c r="AG230" i="4" s="1"/>
  <c r="B230" i="4"/>
  <c r="AO229" i="4"/>
  <c r="AH229" i="4"/>
  <c r="AF229" i="4"/>
  <c r="AG229" i="4" s="1"/>
  <c r="B229" i="4"/>
  <c r="AO228" i="4"/>
  <c r="AH228" i="4"/>
  <c r="AF228" i="4"/>
  <c r="AG228" i="4" s="1"/>
  <c r="B228" i="4"/>
  <c r="AO227" i="4"/>
  <c r="AH227" i="4"/>
  <c r="AF227" i="4"/>
  <c r="AG227" i="4" s="1"/>
  <c r="B227" i="4"/>
  <c r="AO226" i="4"/>
  <c r="AH226" i="4"/>
  <c r="AF226" i="4"/>
  <c r="AG226" i="4" s="1"/>
  <c r="B226" i="4"/>
  <c r="AO225" i="4"/>
  <c r="AH225" i="4"/>
  <c r="AF225" i="4"/>
  <c r="AG225" i="4" s="1"/>
  <c r="B225" i="4"/>
  <c r="AH224" i="4"/>
  <c r="AF224" i="4"/>
  <c r="B224" i="4"/>
  <c r="AO223" i="4"/>
  <c r="AH223" i="4"/>
  <c r="AF223" i="4"/>
  <c r="AG223" i="4" s="1"/>
  <c r="B223" i="4"/>
  <c r="AO222" i="4"/>
  <c r="AH222" i="4"/>
  <c r="AF222" i="4"/>
  <c r="AG222" i="4" s="1"/>
  <c r="B222" i="4"/>
  <c r="AO221" i="4"/>
  <c r="AH221" i="4"/>
  <c r="AF221" i="4"/>
  <c r="AG221" i="4" s="1"/>
  <c r="B221" i="4"/>
  <c r="AO220" i="4"/>
  <c r="AH220" i="4"/>
  <c r="AF220" i="4"/>
  <c r="AG220" i="4" s="1"/>
  <c r="B220" i="4"/>
  <c r="AO219" i="4"/>
  <c r="AH219" i="4"/>
  <c r="AF219" i="4"/>
  <c r="AG219" i="4" s="1"/>
  <c r="B219" i="4"/>
  <c r="AO218" i="4"/>
  <c r="AH218" i="4"/>
  <c r="AF218" i="4"/>
  <c r="AG218" i="4" s="1"/>
  <c r="B218" i="4"/>
  <c r="AO217" i="4"/>
  <c r="AH217" i="4"/>
  <c r="AF217" i="4"/>
  <c r="AG217" i="4" s="1"/>
  <c r="B217" i="4"/>
  <c r="AO216" i="4"/>
  <c r="AH216" i="4"/>
  <c r="AF216" i="4"/>
  <c r="AG216" i="4" s="1"/>
  <c r="B216" i="4"/>
  <c r="AO215" i="4"/>
  <c r="AH215" i="4"/>
  <c r="AF215" i="4"/>
  <c r="AG215" i="4" s="1"/>
  <c r="B215" i="4"/>
  <c r="AO214" i="4"/>
  <c r="AH214" i="4"/>
  <c r="AF214" i="4"/>
  <c r="AG214" i="4" s="1"/>
  <c r="B214" i="4"/>
  <c r="AO213" i="4"/>
  <c r="AH213" i="4"/>
  <c r="AF213" i="4"/>
  <c r="AG213" i="4" s="1"/>
  <c r="B213" i="4"/>
  <c r="AF212" i="4"/>
  <c r="B212" i="4"/>
  <c r="AO211" i="4"/>
  <c r="AH211" i="4"/>
  <c r="AF211" i="4"/>
  <c r="AG211" i="4" s="1"/>
  <c r="B211" i="4"/>
  <c r="AO210" i="4"/>
  <c r="AH210" i="4"/>
  <c r="AF210" i="4"/>
  <c r="AG210" i="4" s="1"/>
  <c r="B210" i="4"/>
  <c r="AO209" i="4"/>
  <c r="AH209" i="4"/>
  <c r="AF209" i="4"/>
  <c r="AG209" i="4" s="1"/>
  <c r="B209" i="4"/>
  <c r="AF208" i="4"/>
  <c r="B208" i="4"/>
  <c r="AO207" i="4"/>
  <c r="AH207" i="4"/>
  <c r="AF207" i="4"/>
  <c r="AG207" i="4" s="1"/>
  <c r="B207" i="4"/>
  <c r="AO206" i="4"/>
  <c r="AH206" i="4"/>
  <c r="AF206" i="4"/>
  <c r="AG206" i="4" s="1"/>
  <c r="B206" i="4"/>
  <c r="AO205" i="4"/>
  <c r="AH205" i="4"/>
  <c r="AF205" i="4"/>
  <c r="AG205" i="4" s="1"/>
  <c r="B205" i="4"/>
  <c r="AO204" i="4"/>
  <c r="AH204" i="4"/>
  <c r="AF204" i="4"/>
  <c r="AG204" i="4" s="1"/>
  <c r="B204" i="4"/>
  <c r="AO203" i="4"/>
  <c r="AH203" i="4"/>
  <c r="AF203" i="4"/>
  <c r="AG203" i="4" s="1"/>
  <c r="B203" i="4"/>
  <c r="AO202" i="4"/>
  <c r="AH202" i="4"/>
  <c r="AF202" i="4"/>
  <c r="AG202" i="4" s="1"/>
  <c r="B202" i="4"/>
  <c r="AO201" i="4"/>
  <c r="AH201" i="4"/>
  <c r="AF201" i="4"/>
  <c r="AG201" i="4" s="1"/>
  <c r="B201" i="4"/>
  <c r="AO200" i="4"/>
  <c r="AH200" i="4"/>
  <c r="AF200" i="4"/>
  <c r="AG200" i="4" s="1"/>
  <c r="B200" i="4"/>
  <c r="AO199" i="4"/>
  <c r="AH199" i="4"/>
  <c r="AF199" i="4"/>
  <c r="AG199" i="4" s="1"/>
  <c r="B199" i="4"/>
  <c r="AO198" i="4"/>
  <c r="AH198" i="4"/>
  <c r="AF198" i="4"/>
  <c r="AG198" i="4" s="1"/>
  <c r="B198" i="4"/>
  <c r="AO197" i="4"/>
  <c r="AH197" i="4"/>
  <c r="AF197" i="4"/>
  <c r="AG197" i="4" s="1"/>
  <c r="B197" i="4"/>
  <c r="AO196" i="4"/>
  <c r="AH196" i="4"/>
  <c r="AF196" i="4"/>
  <c r="AG196" i="4" s="1"/>
  <c r="B196" i="4"/>
  <c r="AO195" i="4"/>
  <c r="AH195" i="4"/>
  <c r="AF195" i="4"/>
  <c r="AG195" i="4" s="1"/>
  <c r="B195" i="4"/>
  <c r="AF194" i="4"/>
  <c r="AG194" i="4" s="1"/>
  <c r="B194" i="4"/>
  <c r="AO193" i="4"/>
  <c r="AH193" i="4"/>
  <c r="AF193" i="4"/>
  <c r="AG193" i="4" s="1"/>
  <c r="B193" i="4"/>
  <c r="AO192" i="4"/>
  <c r="AH192" i="4"/>
  <c r="AF192" i="4"/>
  <c r="AG192" i="4" s="1"/>
  <c r="B192" i="4"/>
  <c r="AO191" i="4"/>
  <c r="AH191" i="4"/>
  <c r="AF191" i="4"/>
  <c r="AG191" i="4" s="1"/>
  <c r="B191" i="4"/>
  <c r="AO190" i="4"/>
  <c r="AH190" i="4"/>
  <c r="AF190" i="4"/>
  <c r="AG190" i="4" s="1"/>
  <c r="B190" i="4"/>
  <c r="AO189" i="4"/>
  <c r="AH189" i="4"/>
  <c r="AF189" i="4"/>
  <c r="AG189" i="4" s="1"/>
  <c r="B189" i="4"/>
  <c r="AO188" i="4"/>
  <c r="AH188" i="4"/>
  <c r="AF188" i="4"/>
  <c r="AG188" i="4" s="1"/>
  <c r="B188" i="4"/>
  <c r="AO187" i="4"/>
  <c r="AH187" i="4"/>
  <c r="AF187" i="4"/>
  <c r="AG187" i="4" s="1"/>
  <c r="B187" i="4"/>
  <c r="AO186" i="4"/>
  <c r="AH186" i="4"/>
  <c r="AF186" i="4"/>
  <c r="AG186" i="4" s="1"/>
  <c r="B186" i="4"/>
  <c r="AO185" i="4"/>
  <c r="AH185" i="4"/>
  <c r="AF185" i="4"/>
  <c r="AG185" i="4" s="1"/>
  <c r="B185" i="4"/>
  <c r="AH184" i="4"/>
  <c r="AF184" i="4"/>
  <c r="B184" i="4"/>
  <c r="AH183" i="4"/>
  <c r="AF183" i="4"/>
  <c r="AO183" i="4" s="1"/>
  <c r="B183" i="4"/>
  <c r="AO182" i="4"/>
  <c r="AN182" i="4"/>
  <c r="AL182" i="4"/>
  <c r="AH182" i="4"/>
  <c r="AF182" i="4"/>
  <c r="AG182" i="4" s="1"/>
  <c r="B182" i="4"/>
  <c r="AO181" i="4"/>
  <c r="AN181" i="4"/>
  <c r="AL181" i="4"/>
  <c r="AH181" i="4"/>
  <c r="AF181" i="4"/>
  <c r="AG181" i="4" s="1"/>
  <c r="B181" i="4"/>
  <c r="AO180" i="4"/>
  <c r="AN180" i="4"/>
  <c r="AL180" i="4"/>
  <c r="AH180" i="4"/>
  <c r="AF180" i="4"/>
  <c r="AG180" i="4" s="1"/>
  <c r="B180" i="4"/>
  <c r="AO179" i="4"/>
  <c r="AN179" i="4"/>
  <c r="AL179" i="4"/>
  <c r="AH179" i="4"/>
  <c r="AF179" i="4"/>
  <c r="AG179" i="4" s="1"/>
  <c r="M179" i="4"/>
  <c r="B179" i="4"/>
  <c r="AO178" i="4"/>
  <c r="AH178" i="4"/>
  <c r="AF178" i="4"/>
  <c r="AG178" i="4" s="1"/>
  <c r="B178" i="4"/>
  <c r="AO177" i="4"/>
  <c r="AH177" i="4"/>
  <c r="AF177" i="4"/>
  <c r="AG177" i="4" s="1"/>
  <c r="B177" i="4"/>
  <c r="AO176" i="4"/>
  <c r="AH176" i="4"/>
  <c r="AF176" i="4"/>
  <c r="AG176" i="4" s="1"/>
  <c r="B176" i="4"/>
  <c r="AO175" i="4"/>
  <c r="AH175" i="4"/>
  <c r="AF175" i="4"/>
  <c r="AG175" i="4" s="1"/>
  <c r="B175" i="4"/>
  <c r="AO174" i="4"/>
  <c r="AH174" i="4"/>
  <c r="AF174" i="4"/>
  <c r="AG174" i="4" s="1"/>
  <c r="B174" i="4"/>
  <c r="AO173" i="4"/>
  <c r="AH173" i="4"/>
  <c r="AF173" i="4"/>
  <c r="AG173" i="4" s="1"/>
  <c r="B173" i="4"/>
  <c r="AF172" i="4"/>
  <c r="AO172" i="4" s="1"/>
  <c r="B172" i="4"/>
  <c r="AO171" i="4"/>
  <c r="AH171" i="4"/>
  <c r="AF171" i="4"/>
  <c r="AG171" i="4" s="1"/>
  <c r="B171" i="4"/>
  <c r="AF170" i="4"/>
  <c r="AH170" i="4" s="1"/>
  <c r="B170" i="4"/>
  <c r="AF169" i="4"/>
  <c r="B169" i="4"/>
  <c r="AF168" i="4"/>
  <c r="AG168" i="4" s="1"/>
  <c r="B168" i="4"/>
  <c r="AO167" i="4"/>
  <c r="AH167" i="4"/>
  <c r="AF167" i="4"/>
  <c r="AG167" i="4" s="1"/>
  <c r="B167" i="4"/>
  <c r="AO166" i="4"/>
  <c r="AH166" i="4"/>
  <c r="AF166" i="4"/>
  <c r="AG166" i="4" s="1"/>
  <c r="B166" i="4"/>
  <c r="AO165" i="4"/>
  <c r="AH165" i="4"/>
  <c r="AF165" i="4"/>
  <c r="AG165" i="4" s="1"/>
  <c r="B165" i="4"/>
  <c r="AO164" i="4"/>
  <c r="AH164" i="4"/>
  <c r="AF164" i="4"/>
  <c r="AG164" i="4" s="1"/>
  <c r="B164" i="4"/>
  <c r="AO163" i="4"/>
  <c r="AH163" i="4"/>
  <c r="AF163" i="4"/>
  <c r="AG163" i="4" s="1"/>
  <c r="B163" i="4"/>
  <c r="AO162" i="4"/>
  <c r="AH162" i="4"/>
  <c r="AF162" i="4"/>
  <c r="AG162" i="4" s="1"/>
  <c r="B162" i="4"/>
  <c r="AO161" i="4"/>
  <c r="AH161" i="4"/>
  <c r="AF161" i="4"/>
  <c r="AG161" i="4" s="1"/>
  <c r="B161" i="4"/>
  <c r="AO160" i="4"/>
  <c r="AH160" i="4"/>
  <c r="AF160" i="4"/>
  <c r="AG160" i="4" s="1"/>
  <c r="B160" i="4"/>
  <c r="AO159" i="4"/>
  <c r="AH159" i="4"/>
  <c r="AF159" i="4"/>
  <c r="AG159" i="4" s="1"/>
  <c r="B159" i="4"/>
  <c r="AH158" i="4"/>
  <c r="AF158" i="4"/>
  <c r="AG158" i="4" s="1"/>
  <c r="B158" i="4"/>
  <c r="AO157" i="4"/>
  <c r="AH157" i="4"/>
  <c r="AF157" i="4"/>
  <c r="AG157" i="4" s="1"/>
  <c r="B157" i="4"/>
  <c r="AF156" i="4"/>
  <c r="AO156" i="4" s="1"/>
  <c r="B156" i="4"/>
  <c r="AO155" i="4"/>
  <c r="AH155" i="4"/>
  <c r="AF155" i="4"/>
  <c r="AG155" i="4" s="1"/>
  <c r="B155" i="4"/>
  <c r="AF154" i="4"/>
  <c r="B154" i="4"/>
  <c r="AO153" i="4"/>
  <c r="AH153" i="4"/>
  <c r="AF153" i="4"/>
  <c r="AG153" i="4" s="1"/>
  <c r="B153" i="4"/>
  <c r="AO152" i="4"/>
  <c r="AH152" i="4"/>
  <c r="AF152" i="4"/>
  <c r="AG152" i="4" s="1"/>
  <c r="B152" i="4"/>
  <c r="AO151" i="4"/>
  <c r="AH151" i="4"/>
  <c r="AF151" i="4"/>
  <c r="AG151" i="4" s="1"/>
  <c r="B151" i="4"/>
  <c r="AO150" i="4"/>
  <c r="AH150" i="4"/>
  <c r="AF150" i="4"/>
  <c r="AG150" i="4" s="1"/>
  <c r="B150" i="4"/>
  <c r="AO149" i="4"/>
  <c r="AH149" i="4"/>
  <c r="AF149" i="4"/>
  <c r="AG149" i="4" s="1"/>
  <c r="B149" i="4"/>
  <c r="AO148" i="4"/>
  <c r="AH148" i="4"/>
  <c r="AF148" i="4"/>
  <c r="AG148" i="4" s="1"/>
  <c r="B148" i="4"/>
  <c r="AO147" i="4"/>
  <c r="AH147" i="4"/>
  <c r="AF147" i="4"/>
  <c r="AG147" i="4" s="1"/>
  <c r="B147" i="4"/>
  <c r="AO146" i="4"/>
  <c r="AH146" i="4"/>
  <c r="AF146" i="4"/>
  <c r="AG146" i="4" s="1"/>
  <c r="B146" i="4"/>
  <c r="AF145" i="4"/>
  <c r="AG145" i="4" s="1"/>
  <c r="B145" i="4"/>
  <c r="AF144" i="4"/>
  <c r="AO144" i="4" s="1"/>
  <c r="B144" i="4"/>
  <c r="AO143" i="4"/>
  <c r="AH143" i="4"/>
  <c r="AF143" i="4"/>
  <c r="AG143" i="4" s="1"/>
  <c r="B143" i="4"/>
  <c r="AO142" i="4"/>
  <c r="AH142" i="4"/>
  <c r="AF142" i="4"/>
  <c r="AG142" i="4" s="1"/>
  <c r="B142" i="4"/>
  <c r="AO141" i="4"/>
  <c r="AH141" i="4"/>
  <c r="AF141" i="4"/>
  <c r="AG141" i="4" s="1"/>
  <c r="B141" i="4"/>
  <c r="AO140" i="4"/>
  <c r="AH140" i="4"/>
  <c r="AF140" i="4"/>
  <c r="AG140" i="4" s="1"/>
  <c r="B140" i="4"/>
  <c r="AO139" i="4"/>
  <c r="AH139" i="4"/>
  <c r="AF139" i="4"/>
  <c r="AG139" i="4" s="1"/>
  <c r="B139" i="4"/>
  <c r="AO138" i="4"/>
  <c r="AH138" i="4"/>
  <c r="AF138" i="4"/>
  <c r="AG138" i="4" s="1"/>
  <c r="B138" i="4"/>
  <c r="AF137" i="4"/>
  <c r="AG137" i="4" s="1"/>
  <c r="B137" i="4"/>
  <c r="AO136" i="4"/>
  <c r="AH136" i="4"/>
  <c r="AF136" i="4"/>
  <c r="AG136" i="4" s="1"/>
  <c r="B136" i="4"/>
  <c r="AO135" i="4"/>
  <c r="AH135" i="4"/>
  <c r="AF135" i="4"/>
  <c r="AG135" i="4" s="1"/>
  <c r="B135" i="4"/>
  <c r="AO134" i="4"/>
  <c r="AH134" i="4"/>
  <c r="AF134" i="4"/>
  <c r="AG134" i="4" s="1"/>
  <c r="B134" i="4"/>
  <c r="AF133" i="4"/>
  <c r="AG133" i="4" s="1"/>
  <c r="B133" i="4"/>
  <c r="AF132" i="4"/>
  <c r="AH132" i="4" s="1"/>
  <c r="B132" i="4"/>
  <c r="AO131" i="4"/>
  <c r="AH131" i="4"/>
  <c r="AF131" i="4"/>
  <c r="AG131" i="4" s="1"/>
  <c r="B131" i="4"/>
  <c r="AF130" i="4"/>
  <c r="AO130" i="4" s="1"/>
  <c r="B130" i="4"/>
  <c r="AO129" i="4"/>
  <c r="AH129" i="4"/>
  <c r="AF129" i="4"/>
  <c r="AG129" i="4" s="1"/>
  <c r="B129" i="4"/>
  <c r="AO128" i="4"/>
  <c r="AH128" i="4"/>
  <c r="AF128" i="4"/>
  <c r="AG128" i="4" s="1"/>
  <c r="B128" i="4"/>
  <c r="AO127" i="4"/>
  <c r="AH127" i="4"/>
  <c r="AF127" i="4"/>
  <c r="AG127" i="4" s="1"/>
  <c r="B127" i="4"/>
  <c r="AO126" i="4"/>
  <c r="AH126" i="4"/>
  <c r="AF126" i="4"/>
  <c r="AG126" i="4" s="1"/>
  <c r="B126" i="4"/>
  <c r="AO125" i="4"/>
  <c r="AH125" i="4"/>
  <c r="AF125" i="4"/>
  <c r="AG125" i="4" s="1"/>
  <c r="B125" i="4"/>
  <c r="AO124" i="4"/>
  <c r="AH124" i="4"/>
  <c r="AF124" i="4"/>
  <c r="AG124" i="4" s="1"/>
  <c r="B124" i="4"/>
  <c r="AF123" i="4"/>
  <c r="AG123" i="4" s="1"/>
  <c r="B123" i="4"/>
  <c r="AO122" i="4"/>
  <c r="AH122" i="4"/>
  <c r="AF122" i="4"/>
  <c r="AG122" i="4" s="1"/>
  <c r="B122" i="4"/>
  <c r="AO121" i="4"/>
  <c r="AH121" i="4"/>
  <c r="AF121" i="4"/>
  <c r="AG121" i="4" s="1"/>
  <c r="B121" i="4"/>
  <c r="AF120" i="4"/>
  <c r="AO120" i="4" s="1"/>
  <c r="B120" i="4"/>
  <c r="AH119" i="4"/>
  <c r="AF119" i="4"/>
  <c r="AG119" i="4" s="1"/>
  <c r="B119" i="4"/>
  <c r="AO118" i="4"/>
  <c r="AH118" i="4"/>
  <c r="AF118" i="4"/>
  <c r="AG118" i="4" s="1"/>
  <c r="B118" i="4"/>
  <c r="AF117" i="4"/>
  <c r="AG117" i="4" s="1"/>
  <c r="B117" i="4"/>
  <c r="AO116" i="4"/>
  <c r="AH116" i="4"/>
  <c r="AF116" i="4"/>
  <c r="AG116" i="4" s="1"/>
  <c r="B116" i="4"/>
  <c r="AF115" i="4"/>
  <c r="AG115" i="4" s="1"/>
  <c r="B115" i="4"/>
  <c r="AO114" i="4"/>
  <c r="AH114" i="4"/>
  <c r="AF114" i="4"/>
  <c r="AG114" i="4" s="1"/>
  <c r="B114" i="4"/>
  <c r="AF113" i="4"/>
  <c r="AG113" i="4" s="1"/>
  <c r="B113" i="4"/>
  <c r="AO112" i="4"/>
  <c r="AH112" i="4"/>
  <c r="AF112" i="4"/>
  <c r="AG112" i="4" s="1"/>
  <c r="B112" i="4"/>
  <c r="AF111" i="4"/>
  <c r="AG111" i="4" s="1"/>
  <c r="B111" i="4"/>
  <c r="AO110" i="4"/>
  <c r="AH110" i="4"/>
  <c r="AF110" i="4"/>
  <c r="AG110" i="4" s="1"/>
  <c r="B110" i="4"/>
  <c r="AO109" i="4"/>
  <c r="AH109" i="4"/>
  <c r="AF109" i="4"/>
  <c r="AG109" i="4" s="1"/>
  <c r="B109" i="4"/>
  <c r="AO108" i="4"/>
  <c r="AH108" i="4"/>
  <c r="AF108" i="4"/>
  <c r="AG108" i="4" s="1"/>
  <c r="B108" i="4"/>
  <c r="AH107" i="4"/>
  <c r="AF107" i="4"/>
  <c r="AG107" i="4" s="1"/>
  <c r="B107" i="4"/>
  <c r="AF106" i="4"/>
  <c r="B106" i="4"/>
  <c r="AO105" i="4"/>
  <c r="AH105" i="4"/>
  <c r="AF105" i="4"/>
  <c r="AG105" i="4" s="1"/>
  <c r="B105" i="4"/>
  <c r="AO104" i="4"/>
  <c r="AH104" i="4"/>
  <c r="AF104" i="4"/>
  <c r="AG104" i="4" s="1"/>
  <c r="B104" i="4"/>
  <c r="AF103" i="4"/>
  <c r="AG103" i="4" s="1"/>
  <c r="B103" i="4"/>
  <c r="AF102" i="4"/>
  <c r="AO102" i="4" s="1"/>
  <c r="B102" i="4"/>
  <c r="AF101" i="4"/>
  <c r="B101" i="4"/>
  <c r="AF100" i="4"/>
  <c r="AO100" i="4" s="1"/>
  <c r="B100" i="4"/>
  <c r="AO99" i="4"/>
  <c r="AH99" i="4"/>
  <c r="AF99" i="4"/>
  <c r="AG99" i="4" s="1"/>
  <c r="B99" i="4"/>
  <c r="AO98" i="4"/>
  <c r="AH98" i="4"/>
  <c r="AF98" i="4"/>
  <c r="AG98" i="4" s="1"/>
  <c r="B98" i="4"/>
  <c r="AO97" i="4"/>
  <c r="AH97" i="4"/>
  <c r="AF97" i="4"/>
  <c r="AG97" i="4" s="1"/>
  <c r="B97" i="4"/>
  <c r="AF96" i="4"/>
  <c r="AG96" i="4" s="1"/>
  <c r="B96" i="4"/>
  <c r="AO95" i="4"/>
  <c r="AH95" i="4"/>
  <c r="AF95" i="4"/>
  <c r="AG95" i="4" s="1"/>
  <c r="B95" i="4"/>
  <c r="AF94" i="4"/>
  <c r="AH94" i="4" s="1"/>
  <c r="B94" i="4"/>
  <c r="AO93" i="4"/>
  <c r="AH93" i="4"/>
  <c r="AF93" i="4"/>
  <c r="AG93" i="4" s="1"/>
  <c r="B93" i="4"/>
  <c r="AF92" i="4"/>
  <c r="AG92" i="4" s="1"/>
  <c r="B92" i="4"/>
  <c r="AO91" i="4"/>
  <c r="AH91" i="4"/>
  <c r="AF91" i="4"/>
  <c r="AG91" i="4" s="1"/>
  <c r="B91" i="4"/>
  <c r="AO90" i="4"/>
  <c r="AH90" i="4"/>
  <c r="AF90" i="4"/>
  <c r="AG90" i="4" s="1"/>
  <c r="B90" i="4"/>
  <c r="AF89" i="4"/>
  <c r="AO89" i="4" s="1"/>
  <c r="B89" i="4"/>
  <c r="AO88" i="4"/>
  <c r="AH88" i="4"/>
  <c r="AF88" i="4"/>
  <c r="AG88" i="4" s="1"/>
  <c r="B88" i="4"/>
  <c r="AF87" i="4"/>
  <c r="AG87" i="4" s="1"/>
  <c r="B87" i="4"/>
  <c r="AO86" i="4"/>
  <c r="AH86" i="4"/>
  <c r="AF86" i="4"/>
  <c r="AG86" i="4" s="1"/>
  <c r="B86" i="4"/>
  <c r="AO85" i="4"/>
  <c r="AH85" i="4"/>
  <c r="AF85" i="4"/>
  <c r="AG85" i="4" s="1"/>
  <c r="B85" i="4"/>
  <c r="AO84" i="4"/>
  <c r="AH84" i="4"/>
  <c r="AF84" i="4"/>
  <c r="AG84" i="4" s="1"/>
  <c r="B84" i="4"/>
  <c r="AO83" i="4"/>
  <c r="AH83" i="4"/>
  <c r="AF83" i="4"/>
  <c r="AG83" i="4" s="1"/>
  <c r="B83" i="4"/>
  <c r="AO82" i="4"/>
  <c r="AH82" i="4"/>
  <c r="AF82" i="4"/>
  <c r="AG82" i="4" s="1"/>
  <c r="B82" i="4"/>
  <c r="AO81" i="4"/>
  <c r="AH81" i="4"/>
  <c r="AF81" i="4"/>
  <c r="AG81" i="4" s="1"/>
  <c r="B81" i="4"/>
  <c r="AO80" i="4"/>
  <c r="AH80" i="4"/>
  <c r="AF80" i="4"/>
  <c r="AG80" i="4" s="1"/>
  <c r="B80" i="4"/>
  <c r="AO79" i="4"/>
  <c r="AH79" i="4"/>
  <c r="AF79" i="4"/>
  <c r="AG79" i="4" s="1"/>
  <c r="B79" i="4"/>
  <c r="AO78" i="4"/>
  <c r="AH78" i="4"/>
  <c r="AF78" i="4"/>
  <c r="AG78" i="4" s="1"/>
  <c r="B78" i="4"/>
  <c r="AO77" i="4"/>
  <c r="AH77" i="4"/>
  <c r="AF77" i="4"/>
  <c r="AG77" i="4" s="1"/>
  <c r="B77" i="4"/>
  <c r="AO76" i="4"/>
  <c r="AH76" i="4"/>
  <c r="AF76" i="4"/>
  <c r="AG76" i="4" s="1"/>
  <c r="B76" i="4"/>
  <c r="AO75" i="4"/>
  <c r="AH75" i="4"/>
  <c r="AF75" i="4"/>
  <c r="AG75" i="4" s="1"/>
  <c r="B75" i="4"/>
  <c r="AO74" i="4"/>
  <c r="AH74" i="4"/>
  <c r="AF74" i="4"/>
  <c r="AG74" i="4" s="1"/>
  <c r="B74" i="4"/>
  <c r="AO73" i="4"/>
  <c r="AH73" i="4"/>
  <c r="AF73" i="4"/>
  <c r="AG73" i="4" s="1"/>
  <c r="B73" i="4"/>
  <c r="AO72" i="4"/>
  <c r="AH72" i="4"/>
  <c r="AF72" i="4"/>
  <c r="AG72" i="4" s="1"/>
  <c r="B72" i="4"/>
  <c r="AF71" i="4"/>
  <c r="AG71" i="4" s="1"/>
  <c r="B71" i="4"/>
  <c r="AO70" i="4"/>
  <c r="AH70" i="4"/>
  <c r="AF70" i="4"/>
  <c r="AG70" i="4" s="1"/>
  <c r="B70" i="4"/>
  <c r="AO69" i="4"/>
  <c r="AH69" i="4"/>
  <c r="AF69" i="4"/>
  <c r="AG69" i="4" s="1"/>
  <c r="B69" i="4"/>
  <c r="AO68" i="4"/>
  <c r="AH68" i="4"/>
  <c r="AF68" i="4"/>
  <c r="AG68" i="4" s="1"/>
  <c r="B68" i="4"/>
  <c r="AO67" i="4"/>
  <c r="AH67" i="4"/>
  <c r="AF67" i="4"/>
  <c r="AG67" i="4" s="1"/>
  <c r="B67" i="4"/>
  <c r="AO66" i="4"/>
  <c r="AH66" i="4"/>
  <c r="AF66" i="4"/>
  <c r="AG66" i="4" s="1"/>
  <c r="B66" i="4"/>
  <c r="AO65" i="4"/>
  <c r="AH65" i="4"/>
  <c r="AF65" i="4"/>
  <c r="AG65" i="4" s="1"/>
  <c r="B65" i="4"/>
  <c r="AO64" i="4"/>
  <c r="AH64" i="4"/>
  <c r="AF64" i="4"/>
  <c r="AG64" i="4" s="1"/>
  <c r="B64" i="4"/>
  <c r="AO63" i="4"/>
  <c r="AH63" i="4"/>
  <c r="AF63" i="4"/>
  <c r="AG63" i="4" s="1"/>
  <c r="B63" i="4"/>
  <c r="AO62" i="4"/>
  <c r="AH62" i="4"/>
  <c r="AF62" i="4"/>
  <c r="AG62" i="4" s="1"/>
  <c r="B62" i="4"/>
  <c r="AF61" i="4"/>
  <c r="AO61" i="4" s="1"/>
  <c r="B61" i="4"/>
  <c r="AO60" i="4"/>
  <c r="AH60" i="4"/>
  <c r="AF60" i="4"/>
  <c r="AG60" i="4" s="1"/>
  <c r="B60" i="4"/>
  <c r="AO59" i="4"/>
  <c r="AH59" i="4"/>
  <c r="AF59" i="4"/>
  <c r="AG59" i="4" s="1"/>
  <c r="B59" i="4"/>
  <c r="AO58" i="4"/>
  <c r="AH58" i="4"/>
  <c r="AF58" i="4"/>
  <c r="AG58" i="4" s="1"/>
  <c r="B58" i="4"/>
  <c r="AO57" i="4"/>
  <c r="AH57" i="4"/>
  <c r="AF57" i="4"/>
  <c r="AG57" i="4" s="1"/>
  <c r="B57" i="4"/>
  <c r="AF56" i="4"/>
  <c r="AG56" i="4" s="1"/>
  <c r="B56" i="4"/>
  <c r="AO55" i="4"/>
  <c r="AH55" i="4"/>
  <c r="AF55" i="4"/>
  <c r="AG55" i="4" s="1"/>
  <c r="B55" i="4"/>
  <c r="AO54" i="4"/>
  <c r="AH54" i="4"/>
  <c r="AF54" i="4"/>
  <c r="AG54" i="4" s="1"/>
  <c r="B54" i="4"/>
  <c r="AF53" i="4"/>
  <c r="AO53" i="4" s="1"/>
  <c r="B53" i="4"/>
  <c r="AF52" i="4"/>
  <c r="AO52" i="4" s="1"/>
  <c r="B52" i="4"/>
  <c r="AF51" i="4"/>
  <c r="AG51" i="4" s="1"/>
  <c r="B51" i="4"/>
  <c r="AF50" i="4"/>
  <c r="AH50" i="4" s="1"/>
  <c r="B50" i="4"/>
  <c r="AF49" i="4"/>
  <c r="AH49" i="4" s="1"/>
  <c r="B49" i="4"/>
  <c r="AF48" i="4"/>
  <c r="AO48" i="4" s="1"/>
  <c r="B48" i="4"/>
  <c r="AF47" i="4"/>
  <c r="AG47" i="4" s="1"/>
  <c r="B47" i="4"/>
  <c r="AF46" i="4"/>
  <c r="AG46" i="4" s="1"/>
  <c r="B46" i="4"/>
  <c r="AF45" i="4"/>
  <c r="AH45" i="4" s="1"/>
  <c r="B45" i="4"/>
  <c r="AF44" i="4"/>
  <c r="AO44" i="4" s="1"/>
  <c r="B44" i="4"/>
  <c r="AF43" i="4"/>
  <c r="AO43" i="4" s="1"/>
  <c r="B43" i="4"/>
  <c r="AF42" i="4"/>
  <c r="AG42" i="4" s="1"/>
  <c r="B42" i="4"/>
  <c r="AF41" i="4"/>
  <c r="AH41" i="4" s="1"/>
  <c r="B41" i="4"/>
  <c r="AF40" i="4"/>
  <c r="AO40" i="4" s="1"/>
  <c r="N40" i="4"/>
  <c r="C905" i="4" s="1"/>
  <c r="B40" i="4"/>
  <c r="AF39" i="4"/>
  <c r="AG39" i="4" s="1"/>
  <c r="B39" i="4"/>
  <c r="AO38" i="4"/>
  <c r="AH38" i="4"/>
  <c r="AF38" i="4"/>
  <c r="AG38" i="4" s="1"/>
  <c r="B38" i="4"/>
  <c r="AO37" i="4"/>
  <c r="AH37" i="4"/>
  <c r="AF37" i="4"/>
  <c r="AG37" i="4" s="1"/>
  <c r="B37" i="4"/>
  <c r="AO36" i="4"/>
  <c r="AH36" i="4"/>
  <c r="AF36" i="4"/>
  <c r="AG36" i="4" s="1"/>
  <c r="B36" i="4"/>
  <c r="AO35" i="4"/>
  <c r="AH35" i="4"/>
  <c r="AF35" i="4"/>
  <c r="AG35" i="4" s="1"/>
  <c r="B35" i="4"/>
  <c r="AO34" i="4"/>
  <c r="AH34" i="4"/>
  <c r="AF34" i="4"/>
  <c r="AG34" i="4" s="1"/>
  <c r="B34" i="4"/>
  <c r="AO33" i="4"/>
  <c r="AH33" i="4"/>
  <c r="AF33" i="4"/>
  <c r="AG33" i="4" s="1"/>
  <c r="B33" i="4"/>
  <c r="AO32" i="4"/>
  <c r="AH32" i="4"/>
  <c r="AF32" i="4"/>
  <c r="AG32" i="4" s="1"/>
  <c r="B32" i="4"/>
  <c r="AO31" i="4"/>
  <c r="AH31" i="4"/>
  <c r="AF31" i="4"/>
  <c r="AG31" i="4" s="1"/>
  <c r="B31" i="4"/>
  <c r="AO30" i="4"/>
  <c r="AH30" i="4"/>
  <c r="AF30" i="4"/>
  <c r="AG30" i="4" s="1"/>
  <c r="B30" i="4"/>
  <c r="AO29" i="4"/>
  <c r="AH29" i="4"/>
  <c r="AF29" i="4"/>
  <c r="AG29" i="4" s="1"/>
  <c r="B29" i="4"/>
  <c r="AO28" i="4"/>
  <c r="AH28" i="4"/>
  <c r="AF28" i="4"/>
  <c r="AG28" i="4" s="1"/>
  <c r="B28" i="4"/>
  <c r="AF27" i="4"/>
  <c r="AG27" i="4" s="1"/>
  <c r="B27" i="4"/>
  <c r="AF26" i="4"/>
  <c r="AH26" i="4" s="1"/>
  <c r="B26" i="4"/>
  <c r="AF25" i="4"/>
  <c r="AO25" i="4" s="1"/>
  <c r="B25" i="4"/>
  <c r="AF24" i="4"/>
  <c r="AO24" i="4" s="1"/>
  <c r="B24" i="4"/>
  <c r="AF23" i="4"/>
  <c r="AG23" i="4" s="1"/>
  <c r="B23" i="4"/>
  <c r="AF22" i="4"/>
  <c r="AH22" i="4" s="1"/>
  <c r="B22" i="4"/>
  <c r="AF21" i="4"/>
  <c r="AO21" i="4" s="1"/>
  <c r="B21" i="4"/>
  <c r="AF20" i="4"/>
  <c r="AG20" i="4" s="1"/>
  <c r="N20" i="4"/>
  <c r="B20" i="4"/>
  <c r="AF19" i="4"/>
  <c r="AH19" i="4" s="1"/>
  <c r="B19" i="4"/>
  <c r="AF18" i="4"/>
  <c r="AO18" i="4" s="1"/>
  <c r="B18" i="4"/>
  <c r="AF17" i="4"/>
  <c r="AG17" i="4" s="1"/>
  <c r="B17" i="4"/>
  <c r="AF16" i="4"/>
  <c r="AG16" i="4" s="1"/>
  <c r="B16" i="4"/>
  <c r="AF15" i="4"/>
  <c r="AH15" i="4" s="1"/>
  <c r="B15" i="4"/>
  <c r="AF14" i="4"/>
  <c r="AO14" i="4" s="1"/>
  <c r="B14" i="4"/>
  <c r="AF13" i="4"/>
  <c r="AO13" i="4" s="1"/>
  <c r="B13" i="4"/>
  <c r="AF12" i="4"/>
  <c r="AG12" i="4" s="1"/>
  <c r="B12" i="4"/>
  <c r="AO11" i="4"/>
  <c r="AH11" i="4"/>
  <c r="AF11" i="4"/>
  <c r="AG11" i="4" s="1"/>
  <c r="B11" i="4"/>
  <c r="AF10" i="4"/>
  <c r="AO10" i="4" s="1"/>
  <c r="B10" i="4"/>
  <c r="AF9" i="4"/>
  <c r="AO9" i="4" s="1"/>
  <c r="B9" i="4"/>
  <c r="AO8" i="4"/>
  <c r="AH8" i="4"/>
  <c r="AF8" i="4"/>
  <c r="AG8" i="4" s="1"/>
  <c r="B8" i="4"/>
  <c r="AO7" i="4"/>
  <c r="AH7" i="4"/>
  <c r="AF7" i="4"/>
  <c r="AG7" i="4" s="1"/>
  <c r="B7" i="4"/>
  <c r="AH6" i="4"/>
  <c r="AF6" i="4"/>
  <c r="AO6" i="4" s="1"/>
  <c r="B6" i="4"/>
  <c r="AF5" i="4"/>
  <c r="AO5" i="4" s="1"/>
  <c r="B5" i="4"/>
  <c r="B2" i="4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J8" i="2"/>
  <c r="AJ7" i="2"/>
  <c r="AJ6" i="2"/>
  <c r="AJ5" i="2"/>
  <c r="AJ4" i="2"/>
  <c r="AJ3" i="2"/>
  <c r="AJ2" i="2"/>
  <c r="J66" i="1"/>
  <c r="I66" i="1"/>
  <c r="H66" i="1"/>
  <c r="G66" i="1"/>
  <c r="F66" i="1"/>
  <c r="E66" i="1"/>
  <c r="D66" i="1"/>
  <c r="C66" i="1"/>
  <c r="B66" i="1"/>
  <c r="H57" i="1"/>
  <c r="G57" i="1"/>
  <c r="F57" i="1"/>
  <c r="E57" i="1"/>
  <c r="D57" i="1"/>
  <c r="C57" i="1"/>
  <c r="B57" i="1"/>
  <c r="I56" i="1"/>
  <c r="I55" i="1"/>
  <c r="I54" i="1"/>
  <c r="I53" i="1"/>
  <c r="I52" i="1"/>
  <c r="I51" i="1"/>
  <c r="I50" i="1"/>
  <c r="I49" i="1"/>
  <c r="I48" i="1"/>
  <c r="I47" i="1"/>
  <c r="I46" i="1"/>
  <c r="I57" i="1" s="1"/>
  <c r="I39" i="1"/>
  <c r="H39" i="1"/>
  <c r="F39" i="1"/>
  <c r="D39" i="1"/>
  <c r="B39" i="1"/>
  <c r="E38" i="1"/>
  <c r="C38" i="1"/>
  <c r="G36" i="1"/>
  <c r="G39" i="1" s="1"/>
  <c r="E33" i="1"/>
  <c r="C33" i="1"/>
  <c r="C31" i="1"/>
  <c r="C39" i="1" s="1"/>
  <c r="E29" i="1"/>
  <c r="F21" i="1"/>
  <c r="E21" i="1"/>
  <c r="D21" i="1"/>
  <c r="C21" i="1"/>
  <c r="B21" i="1"/>
  <c r="E20" i="1"/>
  <c r="D20" i="1"/>
  <c r="B20" i="1"/>
  <c r="B19" i="1"/>
  <c r="B18" i="1"/>
  <c r="B17" i="1"/>
  <c r="U14" i="8" l="1"/>
  <c r="U26" i="8"/>
  <c r="S12" i="8"/>
  <c r="U29" i="8"/>
  <c r="U88" i="8"/>
  <c r="U70" i="8"/>
  <c r="U18" i="8"/>
  <c r="U8" i="8"/>
  <c r="U27" i="8"/>
  <c r="U71" i="8"/>
  <c r="S15" i="8"/>
  <c r="S93" i="8"/>
  <c r="U28" i="8"/>
  <c r="U17" i="8"/>
  <c r="G343" i="11"/>
  <c r="G352" i="11"/>
  <c r="B180" i="11"/>
  <c r="B42" i="10"/>
  <c r="B160" i="10"/>
  <c r="B145" i="11"/>
  <c r="B158" i="11"/>
  <c r="AO87" i="4"/>
  <c r="AO184" i="5"/>
  <c r="B341" i="10"/>
  <c r="AR4" i="7"/>
  <c r="AK89" i="7"/>
  <c r="B301" i="10"/>
  <c r="B305" i="10"/>
  <c r="B271" i="10"/>
  <c r="B46" i="10"/>
  <c r="B81" i="10"/>
  <c r="AO38" i="6"/>
  <c r="B83" i="10"/>
  <c r="B71" i="10"/>
  <c r="B348" i="10"/>
  <c r="AO165" i="6"/>
  <c r="AO173" i="6"/>
  <c r="AR147" i="7"/>
  <c r="B11" i="10"/>
  <c r="B68" i="10"/>
  <c r="B86" i="11"/>
  <c r="AJ89" i="7"/>
  <c r="AK106" i="7"/>
  <c r="B91" i="10"/>
  <c r="B78" i="11"/>
  <c r="B99" i="11"/>
  <c r="B138" i="11"/>
  <c r="AO74" i="6"/>
  <c r="AR132" i="7"/>
  <c r="B313" i="10"/>
  <c r="AH17" i="4"/>
  <c r="AH46" i="4"/>
  <c r="AL140" i="10"/>
  <c r="B19" i="11"/>
  <c r="B118" i="11"/>
  <c r="AO17" i="4"/>
  <c r="AO177" i="6"/>
  <c r="B107" i="10"/>
  <c r="B82" i="11"/>
  <c r="AO136" i="6"/>
  <c r="AO459" i="4"/>
  <c r="AX123" i="8"/>
  <c r="AS49" i="10"/>
  <c r="AK331" i="10"/>
  <c r="AS172" i="11"/>
  <c r="AL62" i="11"/>
  <c r="AK216" i="10"/>
  <c r="AO107" i="6"/>
  <c r="AJ247" i="7"/>
  <c r="AQ36" i="8"/>
  <c r="AK301" i="10"/>
  <c r="AK163" i="11"/>
  <c r="AO99" i="6"/>
  <c r="AO113" i="6"/>
  <c r="AR236" i="7"/>
  <c r="AJ243" i="7"/>
  <c r="AK247" i="7"/>
  <c r="AJ277" i="7"/>
  <c r="AS146" i="10"/>
  <c r="AS216" i="10"/>
  <c r="AK305" i="10"/>
  <c r="B359" i="10"/>
  <c r="AG262" i="5"/>
  <c r="AX13" i="8"/>
  <c r="AP128" i="8"/>
  <c r="AL70" i="11"/>
  <c r="AK62" i="11"/>
  <c r="AO7" i="6"/>
  <c r="AX47" i="8"/>
  <c r="AQ110" i="8"/>
  <c r="AO67" i="6"/>
  <c r="AJ281" i="7"/>
  <c r="AK28" i="10"/>
  <c r="B70" i="10"/>
  <c r="AS305" i="10"/>
  <c r="B331" i="10"/>
  <c r="B350" i="10"/>
  <c r="B356" i="10"/>
  <c r="AL138" i="11"/>
  <c r="AK180" i="11"/>
  <c r="AJ86" i="7"/>
  <c r="AH262" i="5"/>
  <c r="AO140" i="6"/>
  <c r="AJ183" i="7"/>
  <c r="AR195" i="7"/>
  <c r="AQ128" i="8"/>
  <c r="AG254" i="4"/>
  <c r="AR130" i="7"/>
  <c r="AR199" i="7"/>
  <c r="AJ280" i="7"/>
  <c r="AQ47" i="8"/>
  <c r="AK186" i="10"/>
  <c r="AS108" i="11"/>
  <c r="AR186" i="7"/>
  <c r="AO51" i="6"/>
  <c r="AJ159" i="7"/>
  <c r="AO26" i="6"/>
  <c r="B248" i="10"/>
  <c r="AQ20" i="8"/>
  <c r="AX98" i="8"/>
  <c r="AH87" i="4"/>
  <c r="AO94" i="4"/>
  <c r="AK75" i="7"/>
  <c r="AJ208" i="7"/>
  <c r="AR224" i="7"/>
  <c r="AK273" i="7"/>
  <c r="AK263" i="10"/>
  <c r="AS299" i="10"/>
  <c r="B62" i="11"/>
  <c r="B172" i="11"/>
  <c r="AS180" i="11"/>
  <c r="AG8" i="6"/>
  <c r="AO8" i="6"/>
  <c r="AK71" i="11"/>
  <c r="B71" i="11"/>
  <c r="AS71" i="11"/>
  <c r="B309" i="10"/>
  <c r="AS309" i="10"/>
  <c r="AL309" i="10"/>
  <c r="AK309" i="10"/>
  <c r="AL71" i="11"/>
  <c r="AS360" i="10"/>
  <c r="B360" i="10"/>
  <c r="AP106" i="8"/>
  <c r="AX106" i="8"/>
  <c r="AO86" i="6"/>
  <c r="AG98" i="6"/>
  <c r="AO98" i="6"/>
  <c r="AJ18" i="7"/>
  <c r="AJ116" i="7"/>
  <c r="AR116" i="7"/>
  <c r="AJ258" i="7"/>
  <c r="AQ18" i="8"/>
  <c r="B171" i="10"/>
  <c r="AS171" i="10"/>
  <c r="AK345" i="10"/>
  <c r="B345" i="10"/>
  <c r="AS89" i="11"/>
  <c r="B89" i="11"/>
  <c r="AL89" i="11"/>
  <c r="B94" i="11"/>
  <c r="AS94" i="11"/>
  <c r="AK94" i="11"/>
  <c r="AJ166" i="7"/>
  <c r="AR166" i="7"/>
  <c r="AP43" i="8"/>
  <c r="AX43" i="8"/>
  <c r="AK44" i="10"/>
  <c r="B44" i="10"/>
  <c r="AK99" i="10"/>
  <c r="B99" i="10"/>
  <c r="AH251" i="4"/>
  <c r="AG309" i="5"/>
  <c r="AJ154" i="7"/>
  <c r="AS122" i="11"/>
  <c r="AO123" i="6"/>
  <c r="AG123" i="6"/>
  <c r="AG17" i="6"/>
  <c r="AO23" i="6"/>
  <c r="AG31" i="6"/>
  <c r="AO31" i="6"/>
  <c r="AX61" i="8"/>
  <c r="AQ61" i="8"/>
  <c r="AQ106" i="8"/>
  <c r="AK250" i="10"/>
  <c r="AS374" i="10"/>
  <c r="B374" i="10"/>
  <c r="AO94" i="6"/>
  <c r="AK258" i="7"/>
  <c r="AS345" i="10"/>
  <c r="AK89" i="11"/>
  <c r="AK214" i="10"/>
  <c r="AS214" i="10"/>
  <c r="AK117" i="11"/>
  <c r="B117" i="11"/>
  <c r="AK364" i="10"/>
  <c r="AS364" i="10"/>
  <c r="AL364" i="10"/>
  <c r="AO251" i="4"/>
  <c r="AG33" i="5"/>
  <c r="AO33" i="5"/>
  <c r="AG50" i="6"/>
  <c r="AO50" i="6"/>
  <c r="AR46" i="7"/>
  <c r="AJ46" i="7"/>
  <c r="AK46" i="7"/>
  <c r="AR139" i="7"/>
  <c r="AX41" i="8"/>
  <c r="AQ41" i="8"/>
  <c r="AP41" i="8"/>
  <c r="AP83" i="8"/>
  <c r="AK290" i="10"/>
  <c r="B290" i="10"/>
  <c r="AK349" i="10"/>
  <c r="B349" i="10"/>
  <c r="AK114" i="11"/>
  <c r="B114" i="11"/>
  <c r="AS114" i="11"/>
  <c r="AO47" i="4"/>
  <c r="AO103" i="4"/>
  <c r="AH33" i="5"/>
  <c r="AO46" i="6"/>
  <c r="AJ35" i="7"/>
  <c r="AJ38" i="7"/>
  <c r="AK278" i="7"/>
  <c r="AR278" i="7"/>
  <c r="AJ278" i="7"/>
  <c r="AS76" i="10"/>
  <c r="AK76" i="10"/>
  <c r="AK269" i="10"/>
  <c r="AK187" i="10"/>
  <c r="AS187" i="10"/>
  <c r="AL33" i="10"/>
  <c r="AL187" i="10"/>
  <c r="AP54" i="8"/>
  <c r="AQ54" i="8"/>
  <c r="AX91" i="8"/>
  <c r="AQ91" i="8"/>
  <c r="B7" i="10"/>
  <c r="AK7" i="10"/>
  <c r="B214" i="10"/>
  <c r="AK35" i="7"/>
  <c r="AR70" i="7"/>
  <c r="AK70" i="7"/>
  <c r="AJ70" i="7"/>
  <c r="AJ128" i="7"/>
  <c r="AS37" i="10"/>
  <c r="B37" i="10"/>
  <c r="AL37" i="10"/>
  <c r="AK37" i="10"/>
  <c r="AG71" i="6"/>
  <c r="AO71" i="6"/>
  <c r="AJ50" i="7"/>
  <c r="AR50" i="7"/>
  <c r="AK107" i="7"/>
  <c r="AR107" i="7"/>
  <c r="AJ107" i="7"/>
  <c r="AK147" i="10"/>
  <c r="AS147" i="10"/>
  <c r="AS329" i="10"/>
  <c r="AL367" i="10"/>
  <c r="AR66" i="7"/>
  <c r="AP133" i="8"/>
  <c r="AS205" i="10"/>
  <c r="AK166" i="11"/>
  <c r="AO125" i="6"/>
  <c r="AJ126" i="7"/>
  <c r="AR190" i="7"/>
  <c r="AL58" i="10"/>
  <c r="AS217" i="10"/>
  <c r="AK348" i="10"/>
  <c r="AS361" i="10"/>
  <c r="AL19" i="11"/>
  <c r="AR88" i="7"/>
  <c r="AR143" i="7"/>
  <c r="AX48" i="8"/>
  <c r="AL356" i="10"/>
  <c r="AS372" i="10"/>
  <c r="AS383" i="10"/>
  <c r="AO26" i="4"/>
  <c r="AH261" i="5"/>
  <c r="AG5" i="6"/>
  <c r="AO14" i="6"/>
  <c r="AO22" i="6"/>
  <c r="AO43" i="6"/>
  <c r="AO116" i="6"/>
  <c r="AO178" i="6"/>
  <c r="AJ28" i="7"/>
  <c r="AJ173" i="7"/>
  <c r="AJ176" i="7"/>
  <c r="AR238" i="7"/>
  <c r="AX17" i="8"/>
  <c r="AK68" i="10"/>
  <c r="AK71" i="10"/>
  <c r="AL74" i="10"/>
  <c r="AS138" i="10"/>
  <c r="AS149" i="10"/>
  <c r="AK267" i="10"/>
  <c r="AL78" i="11"/>
  <c r="AL87" i="11"/>
  <c r="AS145" i="11"/>
  <c r="AH156" i="4"/>
  <c r="AK27" i="7"/>
  <c r="AJ62" i="7"/>
  <c r="AJ256" i="7"/>
  <c r="AP32" i="8"/>
  <c r="AP59" i="8"/>
  <c r="AX74" i="8"/>
  <c r="AP89" i="8"/>
  <c r="AK15" i="10"/>
  <c r="AS99" i="11"/>
  <c r="AG26" i="4"/>
  <c r="AO39" i="6"/>
  <c r="AO62" i="6"/>
  <c r="AO83" i="6"/>
  <c r="AJ23" i="7"/>
  <c r="AR62" i="7"/>
  <c r="AR149" i="7"/>
  <c r="AK207" i="7"/>
  <c r="AR214" i="7"/>
  <c r="AK227" i="7"/>
  <c r="AK279" i="7"/>
  <c r="AQ10" i="8"/>
  <c r="AP17" i="8"/>
  <c r="AP19" i="8"/>
  <c r="AP97" i="8"/>
  <c r="AQ129" i="8"/>
  <c r="AK11" i="10"/>
  <c r="AS168" i="10"/>
  <c r="AK252" i="10"/>
  <c r="AO261" i="5"/>
  <c r="AO70" i="6"/>
  <c r="AG105" i="6"/>
  <c r="AO122" i="6"/>
  <c r="AK28" i="7"/>
  <c r="AJ135" i="7"/>
  <c r="AR242" i="7"/>
  <c r="AK276" i="7"/>
  <c r="AP13" i="8"/>
  <c r="AQ115" i="8"/>
  <c r="AL68" i="10"/>
  <c r="AL71" i="10"/>
  <c r="AS74" i="10"/>
  <c r="AK189" i="10"/>
  <c r="AS267" i="10"/>
  <c r="AS17" i="11"/>
  <c r="AL158" i="11"/>
  <c r="AQ14" i="8"/>
  <c r="AP39" i="8"/>
  <c r="AQ52" i="8"/>
  <c r="AK261" i="10"/>
  <c r="AO54" i="6"/>
  <c r="AR42" i="7"/>
  <c r="AK88" i="7"/>
  <c r="AR158" i="7"/>
  <c r="AJ235" i="7"/>
  <c r="AR275" i="7"/>
  <c r="AQ32" i="8"/>
  <c r="AL372" i="10"/>
  <c r="AS189" i="10"/>
  <c r="AS158" i="11"/>
  <c r="AP69" i="8"/>
  <c r="AH294" i="4"/>
  <c r="AK350" i="10"/>
  <c r="AK19" i="11"/>
  <c r="AL166" i="11"/>
  <c r="AO372" i="4"/>
  <c r="AO10" i="6"/>
  <c r="AO79" i="6"/>
  <c r="AG114" i="6"/>
  <c r="AO133" i="6"/>
  <c r="AJ98" i="7"/>
  <c r="AS166" i="11"/>
  <c r="AO132" i="6"/>
  <c r="AJ106" i="7"/>
  <c r="AJ195" i="7"/>
  <c r="AP36" i="8"/>
  <c r="AX85" i="8"/>
  <c r="AP123" i="8"/>
  <c r="AK172" i="11"/>
  <c r="X896" i="4"/>
  <c r="AG13" i="4"/>
  <c r="AO132" i="4"/>
  <c r="Y888" i="4"/>
  <c r="AO276" i="5"/>
  <c r="AO13" i="6"/>
  <c r="AO35" i="6"/>
  <c r="AO63" i="6"/>
  <c r="AO95" i="6"/>
  <c r="AR51" i="7"/>
  <c r="AK51" i="7"/>
  <c r="AJ51" i="7"/>
  <c r="AR113" i="7"/>
  <c r="AJ113" i="7"/>
  <c r="AO250" i="4"/>
  <c r="AH265" i="4"/>
  <c r="D917" i="4"/>
  <c r="K912" i="4"/>
  <c r="K915" i="4"/>
  <c r="AG297" i="5"/>
  <c r="AH297" i="5"/>
  <c r="AO15" i="6"/>
  <c r="AG15" i="6"/>
  <c r="AR151" i="7"/>
  <c r="AJ151" i="7"/>
  <c r="AX37" i="8"/>
  <c r="AQ37" i="8"/>
  <c r="D521" i="10"/>
  <c r="E521" i="10" s="1"/>
  <c r="G896" i="4"/>
  <c r="AO71" i="4"/>
  <c r="AO432" i="4"/>
  <c r="AO41" i="4"/>
  <c r="AH96" i="4"/>
  <c r="AO96" i="4"/>
  <c r="AO265" i="4"/>
  <c r="Z888" i="4"/>
  <c r="R887" i="4"/>
  <c r="R888" i="4" s="1"/>
  <c r="Z896" i="4"/>
  <c r="E39" i="1"/>
  <c r="AH47" i="4"/>
  <c r="AG156" i="4"/>
  <c r="T885" i="4"/>
  <c r="AA885" i="4" s="1"/>
  <c r="V900" i="4"/>
  <c r="AO297" i="5"/>
  <c r="AG58" i="6"/>
  <c r="AO58" i="6"/>
  <c r="AG90" i="6"/>
  <c r="AO90" i="6"/>
  <c r="AG157" i="6"/>
  <c r="AO157" i="6"/>
  <c r="AR67" i="7"/>
  <c r="AJ67" i="7"/>
  <c r="AJ78" i="7"/>
  <c r="AR78" i="7"/>
  <c r="AJ260" i="7"/>
  <c r="AR260" i="7"/>
  <c r="AP37" i="8"/>
  <c r="AK45" i="10"/>
  <c r="B45" i="10"/>
  <c r="AK100" i="10"/>
  <c r="B100" i="10"/>
  <c r="D896" i="4"/>
  <c r="AK93" i="7"/>
  <c r="AJ93" i="7"/>
  <c r="AR212" i="7"/>
  <c r="AJ212" i="7"/>
  <c r="AS25" i="10"/>
  <c r="B25" i="10"/>
  <c r="AL382" i="10"/>
  <c r="AS382" i="10"/>
  <c r="AG100" i="4"/>
  <c r="AG266" i="4"/>
  <c r="AO296" i="4"/>
  <c r="AG325" i="4"/>
  <c r="P884" i="4"/>
  <c r="P888" i="4" s="1"/>
  <c r="V888" i="4"/>
  <c r="P886" i="4"/>
  <c r="K892" i="4"/>
  <c r="V899" i="4"/>
  <c r="AH36" i="5"/>
  <c r="AO298" i="5"/>
  <c r="AG298" i="5"/>
  <c r="AO12" i="6"/>
  <c r="AG12" i="6"/>
  <c r="AO30" i="6"/>
  <c r="AG34" i="6"/>
  <c r="AO34" i="6"/>
  <c r="AO149" i="6"/>
  <c r="AG153" i="6"/>
  <c r="AO153" i="6"/>
  <c r="AR93" i="7"/>
  <c r="AR202" i="7"/>
  <c r="U20" i="8"/>
  <c r="S20" i="8"/>
  <c r="AK25" i="10"/>
  <c r="AL34" i="10"/>
  <c r="B34" i="10"/>
  <c r="AS34" i="10"/>
  <c r="AK34" i="10"/>
  <c r="AK41" i="10"/>
  <c r="B41" i="10"/>
  <c r="AK84" i="10"/>
  <c r="B84" i="10"/>
  <c r="AL184" i="10"/>
  <c r="AS184" i="10"/>
  <c r="AO109" i="6"/>
  <c r="AG109" i="6"/>
  <c r="AK58" i="7"/>
  <c r="AJ58" i="7"/>
  <c r="F885" i="4"/>
  <c r="F896" i="4" s="1"/>
  <c r="Q886" i="4"/>
  <c r="K889" i="4"/>
  <c r="W905" i="4"/>
  <c r="X900" i="4"/>
  <c r="K911" i="4"/>
  <c r="K914" i="4"/>
  <c r="AO36" i="5"/>
  <c r="AO212" i="5"/>
  <c r="AH298" i="5"/>
  <c r="AO19" i="6"/>
  <c r="AO47" i="6"/>
  <c r="AG66" i="6"/>
  <c r="AO66" i="6"/>
  <c r="AO75" i="6"/>
  <c r="AG111" i="6"/>
  <c r="AG120" i="6"/>
  <c r="AG129" i="6"/>
  <c r="AH131" i="6"/>
  <c r="AG131" i="6"/>
  <c r="AR17" i="7"/>
  <c r="AJ108" i="7"/>
  <c r="AR108" i="7"/>
  <c r="AK108" i="7"/>
  <c r="AR261" i="7"/>
  <c r="AK261" i="7"/>
  <c r="AP87" i="8"/>
  <c r="AX87" i="8"/>
  <c r="AS144" i="10"/>
  <c r="AL144" i="10"/>
  <c r="AK154" i="11"/>
  <c r="B154" i="11"/>
  <c r="AR105" i="7"/>
  <c r="AK105" i="7"/>
  <c r="AR175" i="7"/>
  <c r="AJ175" i="7"/>
  <c r="AR225" i="7"/>
  <c r="AJ225" i="7"/>
  <c r="AR234" i="7"/>
  <c r="AJ234" i="7"/>
  <c r="AP4" i="8"/>
  <c r="AX4" i="8"/>
  <c r="AQ4" i="8"/>
  <c r="AH27" i="4"/>
  <c r="AO297" i="4"/>
  <c r="T888" i="4"/>
  <c r="S886" i="4"/>
  <c r="Y897" i="4"/>
  <c r="K904" i="4"/>
  <c r="AO9" i="6"/>
  <c r="AG9" i="6"/>
  <c r="AG42" i="6"/>
  <c r="AO42" i="6"/>
  <c r="AO106" i="6"/>
  <c r="AG106" i="6"/>
  <c r="AO115" i="6"/>
  <c r="AG115" i="6"/>
  <c r="AG137" i="6"/>
  <c r="AO137" i="6"/>
  <c r="AJ105" i="7"/>
  <c r="AK274" i="7"/>
  <c r="AJ274" i="7"/>
  <c r="AQ58" i="8"/>
  <c r="AX58" i="8"/>
  <c r="S888" i="4"/>
  <c r="U888" i="4"/>
  <c r="K891" i="4"/>
  <c r="AH156" i="6"/>
  <c r="AG156" i="6"/>
  <c r="AJ15" i="7"/>
  <c r="AR15" i="7"/>
  <c r="AR83" i="7"/>
  <c r="AJ83" i="7"/>
  <c r="AR241" i="7"/>
  <c r="AK241" i="7"/>
  <c r="AQ34" i="8"/>
  <c r="AP34" i="8"/>
  <c r="AP80" i="8"/>
  <c r="AQ80" i="8"/>
  <c r="AP95" i="8"/>
  <c r="AQ95" i="8"/>
  <c r="AS344" i="10"/>
  <c r="B344" i="10"/>
  <c r="AH289" i="4"/>
  <c r="AG301" i="4"/>
  <c r="AG432" i="4"/>
  <c r="J896" i="4"/>
  <c r="K913" i="4"/>
  <c r="K916" i="4"/>
  <c r="AG285" i="5"/>
  <c r="AO4" i="6"/>
  <c r="AG11" i="6"/>
  <c r="AO16" i="6"/>
  <c r="AO27" i="6"/>
  <c r="AO55" i="6"/>
  <c r="AO87" i="6"/>
  <c r="AG108" i="6"/>
  <c r="AG117" i="6"/>
  <c r="AG126" i="6"/>
  <c r="AO156" i="6"/>
  <c r="AR121" i="7"/>
  <c r="AJ121" i="7"/>
  <c r="AR153" i="7"/>
  <c r="AJ153" i="7"/>
  <c r="AR182" i="7"/>
  <c r="AJ241" i="7"/>
  <c r="AX34" i="8"/>
  <c r="AP66" i="8"/>
  <c r="AQ66" i="8"/>
  <c r="AQ103" i="8"/>
  <c r="AP103" i="8"/>
  <c r="Z901" i="4"/>
  <c r="B67" i="1"/>
  <c r="AH71" i="4"/>
  <c r="AO92" i="4"/>
  <c r="AO289" i="4"/>
  <c r="AH298" i="4"/>
  <c r="K906" i="4"/>
  <c r="K907" i="4"/>
  <c r="K909" i="4"/>
  <c r="AH285" i="5"/>
  <c r="AG321" i="5"/>
  <c r="AO321" i="5"/>
  <c r="AO6" i="6"/>
  <c r="AG6" i="6"/>
  <c r="AH18" i="6"/>
  <c r="AG18" i="6"/>
  <c r="AO59" i="6"/>
  <c r="AG78" i="6"/>
  <c r="AO78" i="6"/>
  <c r="AO91" i="6"/>
  <c r="AH148" i="6"/>
  <c r="AO148" i="6"/>
  <c r="AO158" i="6"/>
  <c r="AG172" i="6"/>
  <c r="AO172" i="6"/>
  <c r="AR150" i="7"/>
  <c r="AR170" i="7"/>
  <c r="AP78" i="8"/>
  <c r="AX78" i="8"/>
  <c r="AQ78" i="8"/>
  <c r="AK165" i="10"/>
  <c r="AL165" i="10"/>
  <c r="K887" i="4"/>
  <c r="Y894" i="4"/>
  <c r="X888" i="4"/>
  <c r="P887" i="4"/>
  <c r="AA887" i="4" s="1"/>
  <c r="AO296" i="5"/>
  <c r="AH321" i="5"/>
  <c r="AO18" i="6"/>
  <c r="AO110" i="6"/>
  <c r="AO112" i="6"/>
  <c r="AG112" i="6"/>
  <c r="AO119" i="6"/>
  <c r="AO128" i="6"/>
  <c r="AO152" i="6"/>
  <c r="AO162" i="6"/>
  <c r="AG166" i="6"/>
  <c r="AO166" i="6"/>
  <c r="AJ165" i="7"/>
  <c r="S19" i="8"/>
  <c r="AP64" i="8"/>
  <c r="AX64" i="8"/>
  <c r="AQ64" i="8"/>
  <c r="AQ101" i="8"/>
  <c r="AX101" i="8"/>
  <c r="AP101" i="8"/>
  <c r="B52" i="10"/>
  <c r="B65" i="10"/>
  <c r="B97" i="11"/>
  <c r="B100" i="11"/>
  <c r="B153" i="11"/>
  <c r="B155" i="11"/>
  <c r="B161" i="11"/>
  <c r="G114" i="12"/>
  <c r="AP61" i="8"/>
  <c r="AL47" i="10"/>
  <c r="B58" i="10"/>
  <c r="B74" i="10"/>
  <c r="AK137" i="10"/>
  <c r="AK140" i="10"/>
  <c r="AL149" i="10"/>
  <c r="AK286" i="10"/>
  <c r="AL302" i="10"/>
  <c r="AK354" i="10"/>
  <c r="AL361" i="10"/>
  <c r="AK367" i="10"/>
  <c r="G539" i="10"/>
  <c r="D571" i="10"/>
  <c r="E571" i="10" s="1"/>
  <c r="AL61" i="11"/>
  <c r="AK108" i="11"/>
  <c r="AL140" i="11"/>
  <c r="G331" i="11"/>
  <c r="D88" i="12"/>
  <c r="E88" i="12" s="1"/>
  <c r="AO169" i="6"/>
  <c r="AK23" i="7"/>
  <c r="AR27" i="7"/>
  <c r="AR207" i="7"/>
  <c r="AK277" i="7"/>
  <c r="AK280" i="7"/>
  <c r="AX14" i="8"/>
  <c r="AX18" i="8"/>
  <c r="AX59" i="8"/>
  <c r="AS15" i="10"/>
  <c r="AK52" i="10"/>
  <c r="AK65" i="10"/>
  <c r="AL76" i="10"/>
  <c r="O141" i="10"/>
  <c r="AS140" i="10"/>
  <c r="B187" i="10"/>
  <c r="AL189" i="10"/>
  <c r="AS219" i="10"/>
  <c r="AK249" i="10"/>
  <c r="AK262" i="10"/>
  <c r="AK281" i="10"/>
  <c r="AL374" i="10"/>
  <c r="D524" i="10"/>
  <c r="E524" i="10" s="1"/>
  <c r="G544" i="10"/>
  <c r="G567" i="10"/>
  <c r="G576" i="10"/>
  <c r="B70" i="11"/>
  <c r="AK97" i="11"/>
  <c r="AK100" i="11"/>
  <c r="AL153" i="11"/>
  <c r="AK155" i="11"/>
  <c r="AK161" i="11"/>
  <c r="G102" i="12"/>
  <c r="D407" i="12"/>
  <c r="E407" i="12" s="1"/>
  <c r="AL52" i="10"/>
  <c r="AL65" i="10"/>
  <c r="AL155" i="11"/>
  <c r="AL161" i="11"/>
  <c r="G333" i="11"/>
  <c r="G110" i="12"/>
  <c r="AR230" i="7"/>
  <c r="AK275" i="7"/>
  <c r="AP20" i="8"/>
  <c r="S30" i="8"/>
  <c r="S62" i="8"/>
  <c r="AP98" i="8"/>
  <c r="B33" i="10"/>
  <c r="AK58" i="10"/>
  <c r="B66" i="10"/>
  <c r="AK121" i="10"/>
  <c r="O150" i="10"/>
  <c r="AS160" i="10"/>
  <c r="B173" i="10"/>
  <c r="O206" i="10"/>
  <c r="O234" i="10"/>
  <c r="B260" i="10"/>
  <c r="B294" i="10"/>
  <c r="D587" i="10"/>
  <c r="E587" i="10" s="1"/>
  <c r="B79" i="11"/>
  <c r="AL82" i="11"/>
  <c r="B87" i="11"/>
  <c r="B107" i="11"/>
  <c r="B139" i="11"/>
  <c r="AL145" i="11"/>
  <c r="B170" i="11"/>
  <c r="D333" i="11"/>
  <c r="E333" i="11" s="1"/>
  <c r="G94" i="12"/>
  <c r="G104" i="12"/>
  <c r="G424" i="12"/>
  <c r="B22" i="10"/>
  <c r="AK133" i="10"/>
  <c r="AK173" i="10"/>
  <c r="AL190" i="10"/>
  <c r="AL294" i="10"/>
  <c r="AK313" i="10"/>
  <c r="B354" i="10"/>
  <c r="AL379" i="10"/>
  <c r="D583" i="10"/>
  <c r="E583" i="10" s="1"/>
  <c r="AL79" i="11"/>
  <c r="AK107" i="11"/>
  <c r="AL142" i="11"/>
  <c r="AL170" i="11"/>
  <c r="G86" i="12"/>
  <c r="D104" i="12"/>
  <c r="E104" i="12" s="1"/>
  <c r="G404" i="12"/>
  <c r="G415" i="12"/>
  <c r="AG118" i="6"/>
  <c r="AG121" i="6"/>
  <c r="AG124" i="6"/>
  <c r="AG127" i="6"/>
  <c r="AG130" i="6"/>
  <c r="AJ72" i="7"/>
  <c r="AJ75" i="7"/>
  <c r="AJ200" i="7"/>
  <c r="AJ273" i="7"/>
  <c r="AJ276" i="7"/>
  <c r="AJ282" i="7"/>
  <c r="AQ74" i="8"/>
  <c r="AQ76" i="8"/>
  <c r="AQ85" i="8"/>
  <c r="AP110" i="8"/>
  <c r="AK30" i="10"/>
  <c r="AK33" i="10"/>
  <c r="AK81" i="10"/>
  <c r="AL173" i="10"/>
  <c r="AL313" i="10"/>
  <c r="AS320" i="10"/>
  <c r="B367" i="10"/>
  <c r="AS379" i="10"/>
  <c r="AS10" i="11"/>
  <c r="AS79" i="11"/>
  <c r="AK87" i="11"/>
  <c r="AK139" i="11"/>
  <c r="B163" i="11"/>
  <c r="AS170" i="11"/>
  <c r="AS178" i="11"/>
  <c r="D399" i="12"/>
  <c r="E399" i="12" s="1"/>
  <c r="B43" i="10"/>
  <c r="B47" i="10"/>
  <c r="B92" i="10"/>
  <c r="B149" i="10"/>
  <c r="B352" i="10"/>
  <c r="G528" i="10"/>
  <c r="B61" i="11"/>
  <c r="AO82" i="6"/>
  <c r="AO161" i="6"/>
  <c r="AR37" i="7"/>
  <c r="AR194" i="7"/>
  <c r="AR206" i="7"/>
  <c r="AR266" i="7"/>
  <c r="AR279" i="7"/>
  <c r="AQ19" i="8"/>
  <c r="AQ48" i="8"/>
  <c r="AQ50" i="8"/>
  <c r="AX52" i="8"/>
  <c r="AP108" i="8"/>
  <c r="AX115" i="8"/>
  <c r="AP129" i="8"/>
  <c r="AQ133" i="8"/>
  <c r="AS22" i="10"/>
  <c r="O77" i="10"/>
  <c r="B76" i="10"/>
  <c r="B146" i="10"/>
  <c r="AL178" i="10"/>
  <c r="AL195" i="10"/>
  <c r="B219" i="10"/>
  <c r="AK243" i="10"/>
  <c r="AS269" i="10"/>
  <c r="AS349" i="10"/>
  <c r="AL383" i="10"/>
  <c r="D528" i="10"/>
  <c r="E528" i="10" s="1"/>
  <c r="G555" i="10"/>
  <c r="G560" i="10"/>
  <c r="D96" i="12"/>
  <c r="E96" i="12" s="1"/>
  <c r="G101" i="12"/>
  <c r="G411" i="12"/>
  <c r="G420" i="12"/>
  <c r="AO301" i="5"/>
  <c r="AH301" i="5"/>
  <c r="AG160" i="6"/>
  <c r="AO160" i="6"/>
  <c r="AG163" i="6"/>
  <c r="AO163" i="6"/>
  <c r="AG168" i="6"/>
  <c r="AO168" i="6"/>
  <c r="AJ10" i="7"/>
  <c r="AR10" i="7"/>
  <c r="AR11" i="7"/>
  <c r="AJ11" i="7"/>
  <c r="AK31" i="7"/>
  <c r="AR31" i="7"/>
  <c r="AR36" i="7"/>
  <c r="AJ36" i="7"/>
  <c r="AR43" i="7"/>
  <c r="AJ43" i="7"/>
  <c r="AR54" i="7"/>
  <c r="AK54" i="7"/>
  <c r="AJ54" i="7"/>
  <c r="AR63" i="7"/>
  <c r="AK63" i="7"/>
  <c r="AJ63" i="7"/>
  <c r="AR71" i="7"/>
  <c r="AJ71" i="7"/>
  <c r="AJ92" i="7"/>
  <c r="AR92" i="7"/>
  <c r="AK92" i="7"/>
  <c r="AR109" i="7"/>
  <c r="AJ109" i="7"/>
  <c r="AR152" i="7"/>
  <c r="AJ152" i="7"/>
  <c r="AR167" i="7"/>
  <c r="AJ167" i="7"/>
  <c r="AJ180" i="7"/>
  <c r="AR180" i="7"/>
  <c r="AR187" i="7"/>
  <c r="AJ187" i="7"/>
  <c r="AR213" i="7"/>
  <c r="AJ213" i="7"/>
  <c r="AK213" i="7"/>
  <c r="AK222" i="7"/>
  <c r="AJ222" i="7"/>
  <c r="AR222" i="7"/>
  <c r="AJ240" i="7"/>
  <c r="AK240" i="7"/>
  <c r="AK249" i="7"/>
  <c r="AR249" i="7"/>
  <c r="AJ249" i="7"/>
  <c r="AR251" i="7"/>
  <c r="AK251" i="7"/>
  <c r="AJ251" i="7"/>
  <c r="AQ11" i="8"/>
  <c r="AP11" i="8"/>
  <c r="AX11" i="8"/>
  <c r="AX33" i="8"/>
  <c r="AP33" i="8"/>
  <c r="AX40" i="8"/>
  <c r="AQ40" i="8"/>
  <c r="AP40" i="8"/>
  <c r="AP67" i="8"/>
  <c r="AQ67" i="8"/>
  <c r="AX67" i="8"/>
  <c r="AQ72" i="8"/>
  <c r="AX72" i="8"/>
  <c r="AP72" i="8"/>
  <c r="AX132" i="8"/>
  <c r="AQ132" i="8"/>
  <c r="AP132" i="8"/>
  <c r="AL38" i="10"/>
  <c r="AS38" i="10"/>
  <c r="AK38" i="10"/>
  <c r="B38" i="10"/>
  <c r="AK103" i="10"/>
  <c r="B103" i="10"/>
  <c r="AG269" i="4"/>
  <c r="AH284" i="4"/>
  <c r="AG285" i="4"/>
  <c r="AO295" i="4"/>
  <c r="AG312" i="4"/>
  <c r="AG341" i="4"/>
  <c r="AG34" i="5"/>
  <c r="AH265" i="5"/>
  <c r="AG265" i="5"/>
  <c r="AO286" i="5"/>
  <c r="AH286" i="5"/>
  <c r="AG301" i="5"/>
  <c r="AO313" i="5"/>
  <c r="AH313" i="5"/>
  <c r="AH100" i="6"/>
  <c r="AO100" i="6"/>
  <c r="AG100" i="6"/>
  <c r="AG103" i="6"/>
  <c r="AR8" i="7"/>
  <c r="AJ8" i="7"/>
  <c r="AJ31" i="7"/>
  <c r="AK43" i="7"/>
  <c r="AJ97" i="7"/>
  <c r="AR97" i="7"/>
  <c r="AK97" i="7"/>
  <c r="AR131" i="7"/>
  <c r="AJ131" i="7"/>
  <c r="AJ179" i="7"/>
  <c r="AR179" i="7"/>
  <c r="AR191" i="7"/>
  <c r="AJ191" i="7"/>
  <c r="AJ201" i="7"/>
  <c r="AR201" i="7"/>
  <c r="AR239" i="7"/>
  <c r="AJ239" i="7"/>
  <c r="AJ255" i="7"/>
  <c r="AR255" i="7"/>
  <c r="AP8" i="8"/>
  <c r="AX8" i="8"/>
  <c r="AQ8" i="8"/>
  <c r="AQ27" i="8"/>
  <c r="AX27" i="8"/>
  <c r="AP27" i="8"/>
  <c r="AQ29" i="8"/>
  <c r="AP29" i="8"/>
  <c r="AX29" i="8"/>
  <c r="AX130" i="8"/>
  <c r="AP130" i="8"/>
  <c r="AQ130" i="8"/>
  <c r="AO342" i="5"/>
  <c r="AH342" i="5"/>
  <c r="AG342" i="5"/>
  <c r="AS57" i="10"/>
  <c r="AK57" i="10"/>
  <c r="B57" i="10"/>
  <c r="AL57" i="10"/>
  <c r="AK87" i="10"/>
  <c r="B87" i="10"/>
  <c r="AG45" i="4"/>
  <c r="AH168" i="4"/>
  <c r="AG172" i="4"/>
  <c r="AG5" i="4"/>
  <c r="AO15" i="4"/>
  <c r="AH111" i="4"/>
  <c r="AG132" i="4"/>
  <c r="AO168" i="4"/>
  <c r="AG183" i="4"/>
  <c r="AO194" i="4"/>
  <c r="AG256" i="4"/>
  <c r="AG261" i="4"/>
  <c r="AH268" i="4"/>
  <c r="AH277" i="4"/>
  <c r="AH282" i="4"/>
  <c r="AO284" i="4"/>
  <c r="AH285" i="4"/>
  <c r="AO302" i="4"/>
  <c r="AO303" i="4"/>
  <c r="AH407" i="4"/>
  <c r="AO265" i="5"/>
  <c r="AO284" i="5"/>
  <c r="AG286" i="5"/>
  <c r="AG313" i="5"/>
  <c r="AO21" i="6"/>
  <c r="AO25" i="6"/>
  <c r="AO29" i="6"/>
  <c r="AO33" i="6"/>
  <c r="AO37" i="6"/>
  <c r="AO41" i="6"/>
  <c r="AO45" i="6"/>
  <c r="AO49" i="6"/>
  <c r="AO53" i="6"/>
  <c r="AO57" i="6"/>
  <c r="AO61" i="6"/>
  <c r="AO65" i="6"/>
  <c r="AO69" i="6"/>
  <c r="AO73" i="6"/>
  <c r="AO77" i="6"/>
  <c r="AO81" i="6"/>
  <c r="AO85" i="6"/>
  <c r="AO89" i="6"/>
  <c r="AO93" i="6"/>
  <c r="AO97" i="6"/>
  <c r="AG102" i="6"/>
  <c r="AO135" i="6"/>
  <c r="AO139" i="6"/>
  <c r="AH141" i="6"/>
  <c r="AO141" i="6"/>
  <c r="AG141" i="6"/>
  <c r="AG159" i="6"/>
  <c r="AO159" i="6"/>
  <c r="AG164" i="6"/>
  <c r="AO164" i="6"/>
  <c r="AG167" i="6"/>
  <c r="AO167" i="6"/>
  <c r="AG171" i="6"/>
  <c r="AO171" i="6"/>
  <c r="AG174" i="6"/>
  <c r="AO174" i="6"/>
  <c r="AG176" i="6"/>
  <c r="AO176" i="6"/>
  <c r="AJ20" i="7"/>
  <c r="AR55" i="7"/>
  <c r="AK55" i="7"/>
  <c r="AJ55" i="7"/>
  <c r="AR101" i="7"/>
  <c r="AK101" i="7"/>
  <c r="AJ101" i="7"/>
  <c r="AR117" i="7"/>
  <c r="AJ117" i="7"/>
  <c r="AR140" i="7"/>
  <c r="AJ140" i="7"/>
  <c r="AR155" i="7"/>
  <c r="AJ155" i="7"/>
  <c r="AJ174" i="7"/>
  <c r="AR174" i="7"/>
  <c r="AR248" i="7"/>
  <c r="AK248" i="7"/>
  <c r="AJ248" i="7"/>
  <c r="AJ250" i="7"/>
  <c r="AR250" i="7"/>
  <c r="AK250" i="7"/>
  <c r="AR252" i="7"/>
  <c r="AK252" i="7"/>
  <c r="AJ252" i="7"/>
  <c r="AJ264" i="7"/>
  <c r="AR264" i="7"/>
  <c r="AK264" i="7"/>
  <c r="AR270" i="7"/>
  <c r="AJ270" i="7"/>
  <c r="AQ6" i="8"/>
  <c r="AX6" i="8"/>
  <c r="AP6" i="8"/>
  <c r="AX127" i="8"/>
  <c r="AQ127" i="8"/>
  <c r="AP127" i="8"/>
  <c r="AO198" i="5"/>
  <c r="AH198" i="5"/>
  <c r="AH314" i="5"/>
  <c r="AG314" i="5"/>
  <c r="AG15" i="4"/>
  <c r="AH16" i="4"/>
  <c r="AH20" i="4"/>
  <c r="AG52" i="4"/>
  <c r="AO115" i="4"/>
  <c r="AO20" i="4"/>
  <c r="AH39" i="4"/>
  <c r="AO49" i="4"/>
  <c r="AH56" i="4"/>
  <c r="AG24" i="4"/>
  <c r="AO56" i="4"/>
  <c r="AH92" i="4"/>
  <c r="AG94" i="4"/>
  <c r="AO107" i="4"/>
  <c r="AO111" i="4"/>
  <c r="AO123" i="4"/>
  <c r="AH250" i="4"/>
  <c r="AG267" i="4"/>
  <c r="AO277" i="4"/>
  <c r="AH297" i="4"/>
  <c r="AG298" i="4"/>
  <c r="AO323" i="4"/>
  <c r="AO324" i="4"/>
  <c r="AO302" i="5"/>
  <c r="AH302" i="5"/>
  <c r="AG302" i="5"/>
  <c r="AH312" i="5"/>
  <c r="AO312" i="5"/>
  <c r="AO20" i="6"/>
  <c r="AO24" i="6"/>
  <c r="AO28" i="6"/>
  <c r="AO32" i="6"/>
  <c r="AO36" i="6"/>
  <c r="AO40" i="6"/>
  <c r="AO44" i="6"/>
  <c r="AO48" i="6"/>
  <c r="AO52" i="6"/>
  <c r="AO56" i="6"/>
  <c r="AO60" i="6"/>
  <c r="AO64" i="6"/>
  <c r="AO68" i="6"/>
  <c r="AO72" i="6"/>
  <c r="AO76" i="6"/>
  <c r="AO80" i="6"/>
  <c r="AO84" i="6"/>
  <c r="AO88" i="6"/>
  <c r="AO92" i="6"/>
  <c r="AO96" i="6"/>
  <c r="AG101" i="6"/>
  <c r="AH104" i="6"/>
  <c r="AO104" i="6"/>
  <c r="AO134" i="6"/>
  <c r="AO138" i="6"/>
  <c r="AH142" i="6"/>
  <c r="AO142" i="6"/>
  <c r="AG151" i="6"/>
  <c r="AO151" i="6"/>
  <c r="AJ13" i="7"/>
  <c r="AR13" i="7"/>
  <c r="AR14" i="7"/>
  <c r="AJ14" i="7"/>
  <c r="AR32" i="7"/>
  <c r="AJ32" i="7"/>
  <c r="AJ40" i="7"/>
  <c r="AR40" i="7"/>
  <c r="AR129" i="7"/>
  <c r="AJ129" i="7"/>
  <c r="AR133" i="7"/>
  <c r="AJ133" i="7"/>
  <c r="AR144" i="7"/>
  <c r="AJ144" i="7"/>
  <c r="AR220" i="7"/>
  <c r="AJ220" i="7"/>
  <c r="AJ233" i="7"/>
  <c r="AK233" i="7"/>
  <c r="AR233" i="7"/>
  <c r="AJ269" i="7"/>
  <c r="AR269" i="7"/>
  <c r="AK269" i="7"/>
  <c r="AP44" i="8"/>
  <c r="AX44" i="8"/>
  <c r="AQ96" i="8"/>
  <c r="AP96" i="8"/>
  <c r="AX96" i="8"/>
  <c r="AJ96" i="7"/>
  <c r="AK96" i="7"/>
  <c r="AJ134" i="7"/>
  <c r="AK134" i="7"/>
  <c r="AR169" i="7"/>
  <c r="AJ169" i="7"/>
  <c r="AJ219" i="7"/>
  <c r="AR219" i="7"/>
  <c r="AR221" i="7"/>
  <c r="AJ221" i="7"/>
  <c r="AK226" i="7"/>
  <c r="AJ226" i="7"/>
  <c r="AK232" i="7"/>
  <c r="AJ232" i="7"/>
  <c r="AK263" i="7"/>
  <c r="AR263" i="7"/>
  <c r="AK268" i="7"/>
  <c r="AR268" i="7"/>
  <c r="AQ7" i="8"/>
  <c r="AX7" i="8"/>
  <c r="AQ15" i="8"/>
  <c r="AP15" i="8"/>
  <c r="AP51" i="8"/>
  <c r="AX51" i="8"/>
  <c r="AP55" i="8"/>
  <c r="AX55" i="8"/>
  <c r="AQ55" i="8"/>
  <c r="AX63" i="8"/>
  <c r="AQ63" i="8"/>
  <c r="AX84" i="8"/>
  <c r="AQ84" i="8"/>
  <c r="AP84" i="8"/>
  <c r="AP93" i="8"/>
  <c r="AX93" i="8"/>
  <c r="AQ93" i="8"/>
  <c r="AX109" i="8"/>
  <c r="AP109" i="8"/>
  <c r="AQ109" i="8"/>
  <c r="AS18" i="10"/>
  <c r="AL18" i="10"/>
  <c r="AK62" i="10"/>
  <c r="B62" i="10"/>
  <c r="AH170" i="6"/>
  <c r="AG170" i="6"/>
  <c r="AJ47" i="7"/>
  <c r="AJ76" i="7"/>
  <c r="AJ77" i="7"/>
  <c r="AR82" i="7"/>
  <c r="AJ82" i="7"/>
  <c r="AK95" i="7"/>
  <c r="AJ95" i="7"/>
  <c r="AR96" i="7"/>
  <c r="AK100" i="7"/>
  <c r="AR134" i="7"/>
  <c r="AJ161" i="7"/>
  <c r="AJ162" i="7"/>
  <c r="AR162" i="7"/>
  <c r="AR163" i="7"/>
  <c r="AJ163" i="7"/>
  <c r="AJ181" i="7"/>
  <c r="AJ184" i="7"/>
  <c r="AR185" i="7"/>
  <c r="AJ185" i="7"/>
  <c r="AJ196" i="7"/>
  <c r="AJ198" i="7"/>
  <c r="AJ203" i="7"/>
  <c r="AK209" i="7"/>
  <c r="AJ209" i="7"/>
  <c r="AJ215" i="7"/>
  <c r="AK218" i="7"/>
  <c r="AR218" i="7"/>
  <c r="AK219" i="7"/>
  <c r="AK221" i="7"/>
  <c r="AR231" i="7"/>
  <c r="AJ231" i="7"/>
  <c r="AR232" i="7"/>
  <c r="AR262" i="7"/>
  <c r="AK262" i="7"/>
  <c r="AJ263" i="7"/>
  <c r="AJ267" i="7"/>
  <c r="AJ268" i="7"/>
  <c r="AP7" i="8"/>
  <c r="AX12" i="8"/>
  <c r="AP12" i="8"/>
  <c r="AX15" i="8"/>
  <c r="AX16" i="8"/>
  <c r="AQ16" i="8"/>
  <c r="AP28" i="8"/>
  <c r="AX28" i="8"/>
  <c r="AQ28" i="8"/>
  <c r="AX35" i="8"/>
  <c r="AP35" i="8"/>
  <c r="AQ51" i="8"/>
  <c r="AP56" i="8"/>
  <c r="AX56" i="8"/>
  <c r="AP60" i="8"/>
  <c r="AP63" i="8"/>
  <c r="AP81" i="8"/>
  <c r="AQ81" i="8"/>
  <c r="AX81" i="8"/>
  <c r="AX86" i="8"/>
  <c r="AQ86" i="8"/>
  <c r="AP88" i="8"/>
  <c r="AQ88" i="8"/>
  <c r="AX88" i="8"/>
  <c r="AX114" i="8"/>
  <c r="AQ114" i="8"/>
  <c r="AS10" i="10"/>
  <c r="AK10" i="10"/>
  <c r="B10" i="10"/>
  <c r="AL10" i="10"/>
  <c r="AS16" i="10"/>
  <c r="B16" i="10"/>
  <c r="B18" i="10"/>
  <c r="AK18" i="10"/>
  <c r="AO288" i="5"/>
  <c r="AG19" i="6"/>
  <c r="AG132" i="6"/>
  <c r="AG148" i="6"/>
  <c r="AG150" i="6"/>
  <c r="AO150" i="6"/>
  <c r="AO170" i="6"/>
  <c r="AG175" i="6"/>
  <c r="AO175" i="6"/>
  <c r="AR24" i="7"/>
  <c r="AK24" i="7"/>
  <c r="AJ41" i="7"/>
  <c r="AK47" i="7"/>
  <c r="AR59" i="7"/>
  <c r="AJ59" i="7"/>
  <c r="AK66" i="7"/>
  <c r="AK76" i="7"/>
  <c r="AR81" i="7"/>
  <c r="AJ81" i="7"/>
  <c r="AR94" i="7"/>
  <c r="AJ94" i="7"/>
  <c r="AR95" i="7"/>
  <c r="AK99" i="7"/>
  <c r="AJ99" i="7"/>
  <c r="AR112" i="7"/>
  <c r="AR120" i="7"/>
  <c r="AR125" i="7"/>
  <c r="AJ137" i="7"/>
  <c r="AJ138" i="7"/>
  <c r="AR141" i="7"/>
  <c r="AJ142" i="7"/>
  <c r="AR145" i="7"/>
  <c r="AJ146" i="7"/>
  <c r="AJ157" i="7"/>
  <c r="AJ171" i="7"/>
  <c r="AR188" i="7"/>
  <c r="AJ189" i="7"/>
  <c r="AK196" i="7"/>
  <c r="AK198" i="7"/>
  <c r="AJ205" i="7"/>
  <c r="AR210" i="7"/>
  <c r="AJ211" i="7"/>
  <c r="AJ217" i="7"/>
  <c r="AJ218" i="7"/>
  <c r="AJ223" i="7"/>
  <c r="AK223" i="7"/>
  <c r="AK224" i="7"/>
  <c r="AJ229" i="7"/>
  <c r="AR229" i="7"/>
  <c r="AJ230" i="7"/>
  <c r="AK231" i="7"/>
  <c r="AJ237" i="7"/>
  <c r="AJ262" i="7"/>
  <c r="AR265" i="7"/>
  <c r="AK265" i="7"/>
  <c r="AK272" i="7"/>
  <c r="AJ272" i="7"/>
  <c r="AP16" i="8"/>
  <c r="AP46" i="8"/>
  <c r="AQ46" i="8"/>
  <c r="AQ70" i="8"/>
  <c r="AX70" i="8"/>
  <c r="AP70" i="8"/>
  <c r="AP73" i="8"/>
  <c r="AX73" i="8"/>
  <c r="AP77" i="8"/>
  <c r="AX77" i="8"/>
  <c r="AQ77" i="8"/>
  <c r="AQ100" i="8"/>
  <c r="AX100" i="8"/>
  <c r="AP100" i="8"/>
  <c r="AP114" i="8"/>
  <c r="AK9" i="10"/>
  <c r="B9" i="10"/>
  <c r="AK16" i="10"/>
  <c r="AQ104" i="8"/>
  <c r="AX104" i="8"/>
  <c r="AP107" i="8"/>
  <c r="AQ107" i="8"/>
  <c r="AX122" i="8"/>
  <c r="AQ122" i="8"/>
  <c r="AX131" i="8"/>
  <c r="AQ131" i="8"/>
  <c r="AS12" i="10"/>
  <c r="B12" i="10"/>
  <c r="AS21" i="10"/>
  <c r="B21" i="10"/>
  <c r="AS26" i="10"/>
  <c r="B26" i="10"/>
  <c r="B29" i="10"/>
  <c r="AK29" i="10"/>
  <c r="AL49" i="10"/>
  <c r="B49" i="10"/>
  <c r="AS60" i="10"/>
  <c r="AL60" i="10"/>
  <c r="AK163" i="10"/>
  <c r="AL163" i="10"/>
  <c r="B163" i="10"/>
  <c r="AS163" i="10"/>
  <c r="AK170" i="10"/>
  <c r="B170" i="10"/>
  <c r="AS230" i="10"/>
  <c r="AK230" i="10"/>
  <c r="B230" i="10"/>
  <c r="AK275" i="10"/>
  <c r="AL275" i="10"/>
  <c r="AS275" i="10"/>
  <c r="AP68" i="8"/>
  <c r="AX68" i="8"/>
  <c r="AQ71" i="8"/>
  <c r="AP71" i="8"/>
  <c r="AP82" i="8"/>
  <c r="AX82" i="8"/>
  <c r="AX90" i="8"/>
  <c r="AQ90" i="8"/>
  <c r="AP92" i="8"/>
  <c r="AQ92" i="8"/>
  <c r="AK60" i="10"/>
  <c r="AL63" i="10"/>
  <c r="B63" i="10"/>
  <c r="AK63" i="10"/>
  <c r="AK88" i="10"/>
  <c r="B88" i="10"/>
  <c r="AK95" i="10"/>
  <c r="B95" i="10"/>
  <c r="AK166" i="10"/>
  <c r="AS166" i="10"/>
  <c r="AL166" i="10"/>
  <c r="AL176" i="10"/>
  <c r="AS176" i="10"/>
  <c r="AK176" i="10"/>
  <c r="B176" i="10"/>
  <c r="B253" i="10"/>
  <c r="AK253" i="10"/>
  <c r="AS274" i="10"/>
  <c r="AK274" i="10"/>
  <c r="B274" i="10"/>
  <c r="AL274" i="10"/>
  <c r="AK32" i="10"/>
  <c r="B32" i="10"/>
  <c r="B40" i="10"/>
  <c r="AK47" i="10"/>
  <c r="AS66" i="10"/>
  <c r="AL66" i="10"/>
  <c r="AS73" i="10"/>
  <c r="AL73" i="10"/>
  <c r="B73" i="10"/>
  <c r="AK108" i="10"/>
  <c r="B108" i="10"/>
  <c r="B96" i="10"/>
  <c r="B104" i="10"/>
  <c r="B165" i="10"/>
  <c r="AS165" i="10"/>
  <c r="AK174" i="10"/>
  <c r="AS174" i="10"/>
  <c r="B178" i="10"/>
  <c r="AS178" i="10"/>
  <c r="AK197" i="10"/>
  <c r="AS197" i="10"/>
  <c r="AK198" i="10"/>
  <c r="AL198" i="10"/>
  <c r="AK203" i="10"/>
  <c r="AL203" i="10"/>
  <c r="AS223" i="10"/>
  <c r="AK227" i="10"/>
  <c r="B227" i="10"/>
  <c r="AS227" i="10"/>
  <c r="B233" i="10"/>
  <c r="AS233" i="10"/>
  <c r="AK144" i="10"/>
  <c r="B144" i="10"/>
  <c r="AL146" i="10"/>
  <c r="AK158" i="10"/>
  <c r="AS158" i="10"/>
  <c r="B158" i="10"/>
  <c r="AL160" i="10"/>
  <c r="B168" i="10"/>
  <c r="AK168" i="10"/>
  <c r="AL174" i="10"/>
  <c r="B184" i="10"/>
  <c r="AK184" i="10"/>
  <c r="AK192" i="10"/>
  <c r="B192" i="10"/>
  <c r="AS192" i="10"/>
  <c r="AL197" i="10"/>
  <c r="AS198" i="10"/>
  <c r="AK202" i="10"/>
  <c r="B202" i="10"/>
  <c r="AS203" i="10"/>
  <c r="AL227" i="10"/>
  <c r="AK271" i="10"/>
  <c r="AS271" i="10"/>
  <c r="AK272" i="10"/>
  <c r="AL272" i="10"/>
  <c r="AK278" i="10"/>
  <c r="B278" i="10"/>
  <c r="AS278" i="10"/>
  <c r="AK279" i="10"/>
  <c r="AL279" i="10"/>
  <c r="AK282" i="10"/>
  <c r="B282" i="10"/>
  <c r="AS282" i="10"/>
  <c r="AK283" i="10"/>
  <c r="AL283" i="10"/>
  <c r="AK285" i="10"/>
  <c r="B285" i="10"/>
  <c r="AL137" i="10"/>
  <c r="B137" i="10"/>
  <c r="AK171" i="10"/>
  <c r="AL171" i="10"/>
  <c r="AS200" i="10"/>
  <c r="AK200" i="10"/>
  <c r="B200" i="10"/>
  <c r="AK205" i="10"/>
  <c r="AL205" i="10"/>
  <c r="B244" i="10"/>
  <c r="AK244" i="10"/>
  <c r="AS295" i="10"/>
  <c r="AS298" i="10"/>
  <c r="AK314" i="10"/>
  <c r="AS314" i="10"/>
  <c r="AL319" i="10"/>
  <c r="AK319" i="10"/>
  <c r="B319" i="10"/>
  <c r="AL324" i="10"/>
  <c r="AK324" i="10"/>
  <c r="B324" i="10"/>
  <c r="AL340" i="10"/>
  <c r="AK340" i="10"/>
  <c r="B340" i="10"/>
  <c r="AK368" i="10"/>
  <c r="AS368" i="10"/>
  <c r="AL368" i="10"/>
  <c r="AS64" i="11"/>
  <c r="AL64" i="11"/>
  <c r="AK64" i="11"/>
  <c r="B64" i="11"/>
  <c r="AS111" i="11"/>
  <c r="B111" i="11"/>
  <c r="AK111" i="11"/>
  <c r="AL147" i="11"/>
  <c r="AK147" i="11"/>
  <c r="B147" i="11"/>
  <c r="AS165" i="11"/>
  <c r="AL165" i="11"/>
  <c r="AK165" i="11"/>
  <c r="AS168" i="11"/>
  <c r="AL168" i="11"/>
  <c r="B168" i="11"/>
  <c r="AK168" i="11"/>
  <c r="B7" i="12"/>
  <c r="C423" i="12" s="1"/>
  <c r="AK7" i="12"/>
  <c r="AK326" i="10"/>
  <c r="B326" i="10"/>
  <c r="AS326" i="10"/>
  <c r="AS335" i="10"/>
  <c r="AK335" i="10"/>
  <c r="B335" i="10"/>
  <c r="AS351" i="10"/>
  <c r="AK351" i="10"/>
  <c r="AL371" i="10"/>
  <c r="AK371" i="10"/>
  <c r="B371" i="10"/>
  <c r="AS14" i="11"/>
  <c r="AL14" i="11"/>
  <c r="B14" i="11"/>
  <c r="AK14" i="11"/>
  <c r="AS20" i="11"/>
  <c r="AK20" i="11"/>
  <c r="AS58" i="11"/>
  <c r="AL58" i="11"/>
  <c r="AK58" i="11"/>
  <c r="AK149" i="11"/>
  <c r="B149" i="11"/>
  <c r="AL149" i="11"/>
  <c r="B295" i="10"/>
  <c r="AK295" i="10"/>
  <c r="B297" i="10"/>
  <c r="AK297" i="10"/>
  <c r="AK298" i="10"/>
  <c r="AL301" i="10"/>
  <c r="AL306" i="10"/>
  <c r="AL310" i="10"/>
  <c r="AK312" i="10"/>
  <c r="B312" i="10"/>
  <c r="AK316" i="10"/>
  <c r="AS316" i="10"/>
  <c r="B316" i="10"/>
  <c r="AS341" i="10"/>
  <c r="AK344" i="10"/>
  <c r="AS363" i="10"/>
  <c r="AL363" i="10"/>
  <c r="AS371" i="10"/>
  <c r="AK375" i="10"/>
  <c r="AS375" i="10"/>
  <c r="AL375" i="10"/>
  <c r="AS103" i="11"/>
  <c r="B103" i="11"/>
  <c r="AK103" i="11"/>
  <c r="AL129" i="11"/>
  <c r="AK129" i="11"/>
  <c r="B129" i="11"/>
  <c r="AS174" i="11"/>
  <c r="B174" i="11"/>
  <c r="AK174" i="11"/>
  <c r="AS190" i="10"/>
  <c r="B195" i="10"/>
  <c r="AS195" i="10"/>
  <c r="B225" i="10"/>
  <c r="AS225" i="10"/>
  <c r="B263" i="10"/>
  <c r="B267" i="10"/>
  <c r="B269" i="10"/>
  <c r="B289" i="10"/>
  <c r="B293" i="10"/>
  <c r="B298" i="10"/>
  <c r="AS306" i="10"/>
  <c r="B308" i="10"/>
  <c r="AS310" i="10"/>
  <c r="AL316" i="10"/>
  <c r="AS327" i="10"/>
  <c r="B327" i="10"/>
  <c r="AK327" i="10"/>
  <c r="B333" i="10"/>
  <c r="AK333" i="10"/>
  <c r="AS337" i="10"/>
  <c r="AK337" i="10"/>
  <c r="B337" i="10"/>
  <c r="AL352" i="10"/>
  <c r="AL355" i="10"/>
  <c r="AK355" i="10"/>
  <c r="AL357" i="10"/>
  <c r="B357" i="10"/>
  <c r="B363" i="10"/>
  <c r="AK363" i="10"/>
  <c r="AL378" i="10"/>
  <c r="AK378" i="10"/>
  <c r="B378" i="10"/>
  <c r="AK381" i="10"/>
  <c r="B381" i="10"/>
  <c r="AK57" i="11"/>
  <c r="AS57" i="11"/>
  <c r="AL57" i="11"/>
  <c r="AK131" i="11"/>
  <c r="AS131" i="11"/>
  <c r="B131" i="11"/>
  <c r="AL131" i="11"/>
  <c r="AL150" i="11"/>
  <c r="B150" i="11"/>
  <c r="AK150" i="11"/>
  <c r="AS176" i="11"/>
  <c r="B176" i="11"/>
  <c r="AK176" i="11"/>
  <c r="B382" i="10"/>
  <c r="AK382" i="10"/>
  <c r="AS9" i="11"/>
  <c r="AK10" i="11"/>
  <c r="AS12" i="11"/>
  <c r="AS16" i="11"/>
  <c r="AK17" i="11"/>
  <c r="AS67" i="11"/>
  <c r="AK68" i="11"/>
  <c r="AL74" i="11"/>
  <c r="AL75" i="11"/>
  <c r="AK91" i="11"/>
  <c r="B93" i="11"/>
  <c r="AK93" i="11"/>
  <c r="AK104" i="11"/>
  <c r="AK112" i="11"/>
  <c r="B125" i="11"/>
  <c r="AK125" i="11"/>
  <c r="B133" i="11"/>
  <c r="AK133" i="11"/>
  <c r="AL135" i="11"/>
  <c r="AK178" i="11"/>
  <c r="AK6" i="12"/>
  <c r="B329" i="10"/>
  <c r="B10" i="11"/>
  <c r="B12" i="11"/>
  <c r="B17" i="11"/>
  <c r="B67" i="11"/>
  <c r="B74" i="11"/>
  <c r="B75" i="11"/>
  <c r="AS75" i="11"/>
  <c r="B91" i="11"/>
  <c r="B104" i="11"/>
  <c r="B112" i="11"/>
  <c r="B178" i="11"/>
  <c r="AK22" i="7"/>
  <c r="AJ22" i="7"/>
  <c r="AR25" i="7"/>
  <c r="AK25" i="7"/>
  <c r="AR60" i="7"/>
  <c r="AK60" i="7"/>
  <c r="AR119" i="7"/>
  <c r="AJ119" i="7"/>
  <c r="AJ156" i="7"/>
  <c r="AR156" i="7"/>
  <c r="AK156" i="7"/>
  <c r="AJ168" i="7"/>
  <c r="AR168" i="7"/>
  <c r="AR178" i="7"/>
  <c r="AJ178" i="7"/>
  <c r="AS59" i="10"/>
  <c r="AL59" i="10"/>
  <c r="B59" i="10"/>
  <c r="AK59" i="10"/>
  <c r="AK65" i="11"/>
  <c r="AS65" i="11"/>
  <c r="B65" i="11"/>
  <c r="AL65" i="11"/>
  <c r="B84" i="11"/>
  <c r="AK84" i="11"/>
  <c r="AK119" i="11"/>
  <c r="B119" i="11"/>
  <c r="B121" i="11"/>
  <c r="AK121" i="11"/>
  <c r="AH13" i="4"/>
  <c r="AG22" i="4"/>
  <c r="AH52" i="4"/>
  <c r="AH100" i="4"/>
  <c r="AG144" i="4"/>
  <c r="AO158" i="4"/>
  <c r="AH172" i="4"/>
  <c r="AH254" i="4"/>
  <c r="AO256" i="4"/>
  <c r="AG257" i="4"/>
  <c r="AH261" i="4"/>
  <c r="AO267" i="4"/>
  <c r="AG270" i="4"/>
  <c r="AG345" i="4"/>
  <c r="AO355" i="4"/>
  <c r="AO407" i="4"/>
  <c r="AG31" i="5"/>
  <c r="AG199" i="5"/>
  <c r="AG207" i="5"/>
  <c r="AG263" i="5"/>
  <c r="AG279" i="5"/>
  <c r="AG287" i="5"/>
  <c r="AG295" i="5"/>
  <c r="AG299" i="5"/>
  <c r="AG315" i="5"/>
  <c r="AG144" i="6"/>
  <c r="AG145" i="6"/>
  <c r="AG146" i="6"/>
  <c r="AG147" i="6"/>
  <c r="AG155" i="6"/>
  <c r="AJ5" i="7"/>
  <c r="AJ6" i="7"/>
  <c r="AJ19" i="7"/>
  <c r="AJ21" i="7"/>
  <c r="AR22" i="7"/>
  <c r="AJ25" i="7"/>
  <c r="AK34" i="7"/>
  <c r="AJ34" i="7"/>
  <c r="AK53" i="7"/>
  <c r="AJ53" i="7"/>
  <c r="AR56" i="7"/>
  <c r="AK56" i="7"/>
  <c r="AJ60" i="7"/>
  <c r="AK69" i="7"/>
  <c r="AJ69" i="7"/>
  <c r="AK85" i="7"/>
  <c r="AJ85" i="7"/>
  <c r="AR91" i="7"/>
  <c r="AK91" i="7"/>
  <c r="AJ91" i="7"/>
  <c r="AK103" i="7"/>
  <c r="AR103" i="7"/>
  <c r="AJ103" i="7"/>
  <c r="AR124" i="7"/>
  <c r="AJ124" i="7"/>
  <c r="AR148" i="7"/>
  <c r="AK148" i="7"/>
  <c r="AJ148" i="7"/>
  <c r="AJ164" i="7"/>
  <c r="AR164" i="7"/>
  <c r="AR193" i="7"/>
  <c r="AJ193" i="7"/>
  <c r="AK245" i="7"/>
  <c r="AR245" i="7"/>
  <c r="AJ245" i="7"/>
  <c r="AJ271" i="7"/>
  <c r="AR271" i="7"/>
  <c r="AX42" i="8"/>
  <c r="AQ42" i="8"/>
  <c r="AP42" i="8"/>
  <c r="AP53" i="8"/>
  <c r="AX53" i="8"/>
  <c r="AQ53" i="8"/>
  <c r="AP65" i="8"/>
  <c r="AX65" i="8"/>
  <c r="AQ65" i="8"/>
  <c r="AP79" i="8"/>
  <c r="AX79" i="8"/>
  <c r="AQ79" i="8"/>
  <c r="U86" i="8"/>
  <c r="S86" i="8"/>
  <c r="AX105" i="8"/>
  <c r="AQ105" i="8"/>
  <c r="AP105" i="8"/>
  <c r="AX125" i="8"/>
  <c r="AQ125" i="8"/>
  <c r="AP125" i="8"/>
  <c r="AS20" i="10"/>
  <c r="AL20" i="10"/>
  <c r="AK20" i="10"/>
  <c r="B20" i="10"/>
  <c r="AS50" i="10"/>
  <c r="B50" i="10"/>
  <c r="AK50" i="10"/>
  <c r="AL139" i="10"/>
  <c r="AS139" i="10"/>
  <c r="AK139" i="10"/>
  <c r="B139" i="10"/>
  <c r="AS148" i="10"/>
  <c r="AL148" i="10"/>
  <c r="B148" i="10"/>
  <c r="AK148" i="10"/>
  <c r="AL188" i="10"/>
  <c r="AK188" i="10"/>
  <c r="B188" i="10"/>
  <c r="AS188" i="10"/>
  <c r="AS199" i="10"/>
  <c r="AL199" i="10"/>
  <c r="B199" i="10"/>
  <c r="AK199" i="10"/>
  <c r="B255" i="10"/>
  <c r="AK255" i="10"/>
  <c r="B257" i="10"/>
  <c r="AK257" i="10"/>
  <c r="AS273" i="10"/>
  <c r="AL273" i="10"/>
  <c r="B273" i="10"/>
  <c r="AK273" i="10"/>
  <c r="AR39" i="7"/>
  <c r="AK39" i="7"/>
  <c r="AR44" i="7"/>
  <c r="AK44" i="7"/>
  <c r="AR254" i="7"/>
  <c r="AJ254" i="7"/>
  <c r="AP49" i="8"/>
  <c r="AX49" i="8"/>
  <c r="AQ49" i="8"/>
  <c r="AP75" i="8"/>
  <c r="AX75" i="8"/>
  <c r="AQ75" i="8"/>
  <c r="AQ102" i="8"/>
  <c r="AX102" i="8"/>
  <c r="AP102" i="8"/>
  <c r="AL8" i="10"/>
  <c r="AK8" i="10"/>
  <c r="B8" i="10"/>
  <c r="AS8" i="10"/>
  <c r="AS24" i="10"/>
  <c r="B24" i="10"/>
  <c r="AK24" i="10"/>
  <c r="B27" i="10"/>
  <c r="AK27" i="10"/>
  <c r="O187" i="11"/>
  <c r="O182" i="11"/>
  <c r="O188" i="11" s="1"/>
  <c r="AH5" i="4"/>
  <c r="AG9" i="4"/>
  <c r="AH12" i="4"/>
  <c r="AG19" i="4"/>
  <c r="AH23" i="4"/>
  <c r="AH24" i="4"/>
  <c r="AG43" i="4"/>
  <c r="AO45" i="4"/>
  <c r="AO51" i="4"/>
  <c r="AG53" i="4"/>
  <c r="AG120" i="4"/>
  <c r="AO170" i="4"/>
  <c r="AH266" i="4"/>
  <c r="AO268" i="4"/>
  <c r="AH269" i="4"/>
  <c r="AG271" i="4"/>
  <c r="AG273" i="4"/>
  <c r="AG281" i="4"/>
  <c r="AO354" i="4"/>
  <c r="AH34" i="5"/>
  <c r="AH9" i="4"/>
  <c r="AO19" i="4"/>
  <c r="AO22" i="4"/>
  <c r="AG41" i="4"/>
  <c r="AH42" i="4"/>
  <c r="AH43" i="4"/>
  <c r="AG49" i="4"/>
  <c r="AO50" i="4"/>
  <c r="AH53" i="4"/>
  <c r="AH103" i="4"/>
  <c r="AH115" i="4"/>
  <c r="AO119" i="4"/>
  <c r="AH120" i="4"/>
  <c r="AH123" i="4"/>
  <c r="AH144" i="4"/>
  <c r="AH194" i="4"/>
  <c r="AH257" i="4"/>
  <c r="AH270" i="4"/>
  <c r="AO271" i="4"/>
  <c r="AH273" i="4"/>
  <c r="AH281" i="4"/>
  <c r="AG282" i="4"/>
  <c r="AG294" i="4"/>
  <c r="AG295" i="4"/>
  <c r="AH296" i="4"/>
  <c r="AH323" i="4"/>
  <c r="AH459" i="4"/>
  <c r="AH31" i="5"/>
  <c r="AG184" i="5"/>
  <c r="AH199" i="5"/>
  <c r="AH207" i="5"/>
  <c r="AG212" i="5"/>
  <c r="AH263" i="5"/>
  <c r="AG276" i="5"/>
  <c r="AH279" i="5"/>
  <c r="AG284" i="5"/>
  <c r="AH287" i="5"/>
  <c r="AG288" i="5"/>
  <c r="AH295" i="5"/>
  <c r="AG296" i="5"/>
  <c r="AH299" i="5"/>
  <c r="AG300" i="5"/>
  <c r="AG312" i="5"/>
  <c r="AH315" i="5"/>
  <c r="AG143" i="6"/>
  <c r="AO147" i="6"/>
  <c r="AG154" i="6"/>
  <c r="AO155" i="6"/>
  <c r="AR6" i="7"/>
  <c r="AR7" i="7"/>
  <c r="AJ9" i="7"/>
  <c r="AR12" i="7"/>
  <c r="AJ16" i="7"/>
  <c r="AK30" i="7"/>
  <c r="AJ30" i="7"/>
  <c r="AR33" i="7"/>
  <c r="AK33" i="7"/>
  <c r="AR34" i="7"/>
  <c r="AK49" i="7"/>
  <c r="AJ49" i="7"/>
  <c r="AR52" i="7"/>
  <c r="AK52" i="7"/>
  <c r="AR53" i="7"/>
  <c r="AJ56" i="7"/>
  <c r="AK65" i="7"/>
  <c r="AJ65" i="7"/>
  <c r="AR68" i="7"/>
  <c r="AK68" i="7"/>
  <c r="AR69" i="7"/>
  <c r="AJ73" i="7"/>
  <c r="AJ79" i="7"/>
  <c r="AJ84" i="7"/>
  <c r="AR85" i="7"/>
  <c r="AK87" i="7"/>
  <c r="AJ87" i="7"/>
  <c r="AR90" i="7"/>
  <c r="AK90" i="7"/>
  <c r="AR115" i="7"/>
  <c r="AJ115" i="7"/>
  <c r="AR123" i="7"/>
  <c r="AJ123" i="7"/>
  <c r="AJ136" i="7"/>
  <c r="AR136" i="7"/>
  <c r="AJ160" i="7"/>
  <c r="AR160" i="7"/>
  <c r="AR244" i="7"/>
  <c r="AJ244" i="7"/>
  <c r="AR259" i="7"/>
  <c r="AJ259" i="7"/>
  <c r="AP9" i="8"/>
  <c r="AX9" i="8"/>
  <c r="AQ9" i="8"/>
  <c r="U16" i="8"/>
  <c r="S16" i="8"/>
  <c r="AP57" i="8"/>
  <c r="AX57" i="8"/>
  <c r="AQ57" i="8"/>
  <c r="AP94" i="8"/>
  <c r="AX94" i="8"/>
  <c r="AQ94" i="8"/>
  <c r="AP99" i="8"/>
  <c r="AX99" i="8"/>
  <c r="AQ99" i="8"/>
  <c r="AQ118" i="8"/>
  <c r="AP118" i="8"/>
  <c r="AX118" i="8"/>
  <c r="AS36" i="10"/>
  <c r="AL36" i="10"/>
  <c r="AK36" i="10"/>
  <c r="B36" i="10"/>
  <c r="AL69" i="10"/>
  <c r="B69" i="10"/>
  <c r="AK69" i="10"/>
  <c r="AS69" i="10"/>
  <c r="AK57" i="7"/>
  <c r="AJ57" i="7"/>
  <c r="AR111" i="7"/>
  <c r="AJ111" i="7"/>
  <c r="AP5" i="8"/>
  <c r="AX5" i="8"/>
  <c r="AQ5" i="8"/>
  <c r="S13" i="8"/>
  <c r="U13" i="8"/>
  <c r="U25" i="8"/>
  <c r="S25" i="8"/>
  <c r="AX38" i="8"/>
  <c r="AQ38" i="8"/>
  <c r="AP38" i="8"/>
  <c r="AO143" i="6"/>
  <c r="AG149" i="6"/>
  <c r="AO154" i="6"/>
  <c r="AK26" i="7"/>
  <c r="AJ26" i="7"/>
  <c r="AR29" i="7"/>
  <c r="AK29" i="7"/>
  <c r="AK45" i="7"/>
  <c r="AJ45" i="7"/>
  <c r="AR48" i="7"/>
  <c r="AK48" i="7"/>
  <c r="AK61" i="7"/>
  <c r="AJ61" i="7"/>
  <c r="AR64" i="7"/>
  <c r="AK64" i="7"/>
  <c r="AR74" i="7"/>
  <c r="AR80" i="7"/>
  <c r="AR102" i="7"/>
  <c r="AK102" i="7"/>
  <c r="AJ102" i="7"/>
  <c r="AJ104" i="7"/>
  <c r="AR104" i="7"/>
  <c r="AK104" i="7"/>
  <c r="AJ172" i="7"/>
  <c r="AR172" i="7"/>
  <c r="AJ204" i="7"/>
  <c r="AR204" i="7"/>
  <c r="AJ216" i="7"/>
  <c r="AR216" i="7"/>
  <c r="AR228" i="7"/>
  <c r="AJ228" i="7"/>
  <c r="AJ246" i="7"/>
  <c r="AR246" i="7"/>
  <c r="AK246" i="7"/>
  <c r="U11" i="8"/>
  <c r="S11" i="8"/>
  <c r="U33" i="8"/>
  <c r="S33" i="8"/>
  <c r="AP45" i="8"/>
  <c r="AX45" i="8"/>
  <c r="AQ45" i="8"/>
  <c r="AX62" i="8"/>
  <c r="AQ62" i="8"/>
  <c r="AP62" i="8"/>
  <c r="AQ116" i="8"/>
  <c r="AP116" i="8"/>
  <c r="AX116" i="8"/>
  <c r="AS14" i="10"/>
  <c r="B14" i="10"/>
  <c r="AK14" i="10"/>
  <c r="AS17" i="10"/>
  <c r="B17" i="10"/>
  <c r="AK17" i="10"/>
  <c r="AL64" i="10"/>
  <c r="AK64" i="10"/>
  <c r="B64" i="10"/>
  <c r="AS64" i="10"/>
  <c r="AK98" i="7"/>
  <c r="AR99" i="7"/>
  <c r="AR100" i="7"/>
  <c r="AR110" i="7"/>
  <c r="AR114" i="7"/>
  <c r="AR118" i="7"/>
  <c r="AR122" i="7"/>
  <c r="AR127" i="7"/>
  <c r="AR176" i="7"/>
  <c r="AR177" i="7"/>
  <c r="AR192" i="7"/>
  <c r="AR197" i="7"/>
  <c r="AK208" i="7"/>
  <c r="AR209" i="7"/>
  <c r="AK225" i="7"/>
  <c r="AR226" i="7"/>
  <c r="AR227" i="7"/>
  <c r="AR235" i="7"/>
  <c r="AR240" i="7"/>
  <c r="AR253" i="7"/>
  <c r="AR257" i="7"/>
  <c r="AK281" i="7"/>
  <c r="AR282" i="7"/>
  <c r="AR283" i="7"/>
  <c r="AX10" i="8"/>
  <c r="AQ12" i="8"/>
  <c r="AQ35" i="8"/>
  <c r="AQ39" i="8"/>
  <c r="AX46" i="8"/>
  <c r="AX50" i="8"/>
  <c r="AX54" i="8"/>
  <c r="AQ60" i="8"/>
  <c r="AX66" i="8"/>
  <c r="AX69" i="8"/>
  <c r="AX71" i="8"/>
  <c r="AX76" i="8"/>
  <c r="AX80" i="8"/>
  <c r="AX83" i="8"/>
  <c r="AX89" i="8"/>
  <c r="AX95" i="8"/>
  <c r="AQ97" i="8"/>
  <c r="AX103" i="8"/>
  <c r="AX119" i="8"/>
  <c r="AQ119" i="8"/>
  <c r="AX121" i="8"/>
  <c r="AQ121" i="8"/>
  <c r="AS9" i="10"/>
  <c r="AL9" i="10"/>
  <c r="AS13" i="10"/>
  <c r="B13" i="10"/>
  <c r="AS23" i="10"/>
  <c r="B23" i="10"/>
  <c r="AL31" i="10"/>
  <c r="AK31" i="10"/>
  <c r="B31" i="10"/>
  <c r="AL39" i="10"/>
  <c r="AK39" i="10"/>
  <c r="B39" i="10"/>
  <c r="AL61" i="10"/>
  <c r="B61" i="10"/>
  <c r="AK61" i="10"/>
  <c r="AS70" i="10"/>
  <c r="AL70" i="10"/>
  <c r="AK86" i="10"/>
  <c r="B86" i="10"/>
  <c r="AK89" i="10"/>
  <c r="B89" i="10"/>
  <c r="AK94" i="10"/>
  <c r="B94" i="10"/>
  <c r="AK97" i="10"/>
  <c r="B97" i="10"/>
  <c r="AK102" i="10"/>
  <c r="B102" i="10"/>
  <c r="AK110" i="10"/>
  <c r="B110" i="10"/>
  <c r="O180" i="10"/>
  <c r="AS183" i="10"/>
  <c r="AL183" i="10"/>
  <c r="B183" i="10"/>
  <c r="AK183" i="10"/>
  <c r="AS226" i="10"/>
  <c r="B226" i="10"/>
  <c r="AK226" i="10"/>
  <c r="AK251" i="10"/>
  <c r="B251" i="10"/>
  <c r="O385" i="10"/>
  <c r="AQ111" i="8"/>
  <c r="AP111" i="8"/>
  <c r="AQ117" i="8"/>
  <c r="AP117" i="8"/>
  <c r="AX126" i="8"/>
  <c r="AQ126" i="8"/>
  <c r="AS32" i="10"/>
  <c r="AL32" i="10"/>
  <c r="AS40" i="10"/>
  <c r="AL40" i="10"/>
  <c r="AS62" i="10"/>
  <c r="AL62" i="10"/>
  <c r="AS75" i="10"/>
  <c r="AL75" i="10"/>
  <c r="B75" i="10"/>
  <c r="AL266" i="10"/>
  <c r="AK266" i="10"/>
  <c r="B266" i="10"/>
  <c r="AS266" i="10"/>
  <c r="AX120" i="8"/>
  <c r="AQ120" i="8"/>
  <c r="AQ124" i="8"/>
  <c r="AP124" i="8"/>
  <c r="AL19" i="10"/>
  <c r="AK19" i="10"/>
  <c r="B19" i="10"/>
  <c r="AL35" i="10"/>
  <c r="AK35" i="10"/>
  <c r="B35" i="10"/>
  <c r="AS48" i="10"/>
  <c r="AL48" i="10"/>
  <c r="B48" i="10"/>
  <c r="AS51" i="10"/>
  <c r="B51" i="10"/>
  <c r="AK51" i="10"/>
  <c r="AS53" i="10"/>
  <c r="B53" i="10"/>
  <c r="AS67" i="10"/>
  <c r="AL67" i="10"/>
  <c r="B67" i="10"/>
  <c r="AL72" i="10"/>
  <c r="AK72" i="10"/>
  <c r="B72" i="10"/>
  <c r="AL80" i="10"/>
  <c r="B80" i="10"/>
  <c r="AK80" i="10"/>
  <c r="AK82" i="10"/>
  <c r="B82" i="10"/>
  <c r="AK85" i="10"/>
  <c r="B85" i="10"/>
  <c r="AK90" i="10"/>
  <c r="B90" i="10"/>
  <c r="AK93" i="10"/>
  <c r="B93" i="10"/>
  <c r="AK98" i="10"/>
  <c r="B98" i="10"/>
  <c r="AK106" i="10"/>
  <c r="B106" i="10"/>
  <c r="AL156" i="10"/>
  <c r="B156" i="10"/>
  <c r="AK156" i="10"/>
  <c r="AS156" i="10"/>
  <c r="AS162" i="10"/>
  <c r="AL162" i="10"/>
  <c r="AK162" i="10"/>
  <c r="B162" i="10"/>
  <c r="AL179" i="10"/>
  <c r="B179" i="10"/>
  <c r="AK179" i="10"/>
  <c r="AS179" i="10"/>
  <c r="AL193" i="10"/>
  <c r="B193" i="10"/>
  <c r="AK193" i="10"/>
  <c r="AS193" i="10"/>
  <c r="AS213" i="10"/>
  <c r="B213" i="10"/>
  <c r="AK213" i="10"/>
  <c r="AS229" i="10"/>
  <c r="AK229" i="10"/>
  <c r="B229" i="10"/>
  <c r="B246" i="10"/>
  <c r="AK246" i="10"/>
  <c r="B265" i="10"/>
  <c r="AK265" i="10"/>
  <c r="AL276" i="10"/>
  <c r="AK276" i="10"/>
  <c r="B276" i="10"/>
  <c r="AS276" i="10"/>
  <c r="AS318" i="10"/>
  <c r="AL318" i="10"/>
  <c r="AK318" i="10"/>
  <c r="B318" i="10"/>
  <c r="AS323" i="10"/>
  <c r="AL323" i="10"/>
  <c r="AK323" i="10"/>
  <c r="B323" i="10"/>
  <c r="AL358" i="10"/>
  <c r="AK358" i="10"/>
  <c r="B358" i="10"/>
  <c r="AS358" i="10"/>
  <c r="AL145" i="10"/>
  <c r="B145" i="10"/>
  <c r="AS157" i="10"/>
  <c r="AL157" i="10"/>
  <c r="AL164" i="10"/>
  <c r="AK164" i="10"/>
  <c r="B164" i="10"/>
  <c r="AL169" i="10"/>
  <c r="B169" i="10"/>
  <c r="AK169" i="10"/>
  <c r="AS175" i="10"/>
  <c r="AL175" i="10"/>
  <c r="B175" i="10"/>
  <c r="AS194" i="10"/>
  <c r="AL194" i="10"/>
  <c r="O220" i="10"/>
  <c r="AS218" i="10"/>
  <c r="B218" i="10"/>
  <c r="AL268" i="10"/>
  <c r="B268" i="10"/>
  <c r="AK268" i="10"/>
  <c r="AS277" i="10"/>
  <c r="AL277" i="10"/>
  <c r="AL280" i="10"/>
  <c r="AK280" i="10"/>
  <c r="B280" i="10"/>
  <c r="AK288" i="10"/>
  <c r="B288" i="10"/>
  <c r="AK292" i="10"/>
  <c r="B292" i="10"/>
  <c r="AL300" i="10"/>
  <c r="AS300" i="10"/>
  <c r="AK300" i="10"/>
  <c r="B300" i="10"/>
  <c r="AL303" i="10"/>
  <c r="AK303" i="10"/>
  <c r="B303" i="10"/>
  <c r="AS303" i="10"/>
  <c r="AS347" i="10"/>
  <c r="AK347" i="10"/>
  <c r="AL369" i="10"/>
  <c r="AK369" i="10"/>
  <c r="B369" i="10"/>
  <c r="AS369" i="10"/>
  <c r="AL376" i="10"/>
  <c r="AK376" i="10"/>
  <c r="B376" i="10"/>
  <c r="AS376" i="10"/>
  <c r="AK138" i="10"/>
  <c r="B138" i="10"/>
  <c r="AK145" i="10"/>
  <c r="B157" i="10"/>
  <c r="AK157" i="10"/>
  <c r="AL159" i="10"/>
  <c r="AK159" i="10"/>
  <c r="B159" i="10"/>
  <c r="AS164" i="10"/>
  <c r="AS169" i="10"/>
  <c r="AS170" i="10"/>
  <c r="AL170" i="10"/>
  <c r="AK175" i="10"/>
  <c r="AL185" i="10"/>
  <c r="B185" i="10"/>
  <c r="AK185" i="10"/>
  <c r="AS191" i="10"/>
  <c r="AL191" i="10"/>
  <c r="B191" i="10"/>
  <c r="B194" i="10"/>
  <c r="AK194" i="10"/>
  <c r="AL196" i="10"/>
  <c r="AK196" i="10"/>
  <c r="B196" i="10"/>
  <c r="AL201" i="10"/>
  <c r="B201" i="10"/>
  <c r="AK201" i="10"/>
  <c r="AK215" i="10"/>
  <c r="B215" i="10"/>
  <c r="AK218" i="10"/>
  <c r="B232" i="10"/>
  <c r="AK232" i="10"/>
  <c r="B237" i="10"/>
  <c r="AK237" i="10"/>
  <c r="AK245" i="10"/>
  <c r="AK254" i="10"/>
  <c r="B254" i="10"/>
  <c r="B256" i="10"/>
  <c r="AK256" i="10"/>
  <c r="B258" i="10"/>
  <c r="AK258" i="10"/>
  <c r="AK264" i="10"/>
  <c r="AS268" i="10"/>
  <c r="AL270" i="10"/>
  <c r="B270" i="10"/>
  <c r="AK270" i="10"/>
  <c r="B277" i="10"/>
  <c r="AK277" i="10"/>
  <c r="AS280" i="10"/>
  <c r="AS281" i="10"/>
  <c r="AL281" i="10"/>
  <c r="AL284" i="10"/>
  <c r="AK284" i="10"/>
  <c r="B284" i="10"/>
  <c r="AS321" i="10"/>
  <c r="AK321" i="10"/>
  <c r="B321" i="10"/>
  <c r="AS343" i="10"/>
  <c r="AK343" i="10"/>
  <c r="AS366" i="10"/>
  <c r="AL366" i="10"/>
  <c r="AK366" i="10"/>
  <c r="B366" i="10"/>
  <c r="AS373" i="10"/>
  <c r="AL373" i="10"/>
  <c r="B373" i="10"/>
  <c r="AK373" i="10"/>
  <c r="B101" i="10"/>
  <c r="B105" i="10"/>
  <c r="B109" i="10"/>
  <c r="AS145" i="10"/>
  <c r="AL161" i="10"/>
  <c r="B161" i="10"/>
  <c r="AK161" i="10"/>
  <c r="AS167" i="10"/>
  <c r="AL167" i="10"/>
  <c r="B167" i="10"/>
  <c r="AL172" i="10"/>
  <c r="AK172" i="10"/>
  <c r="B172" i="10"/>
  <c r="AL177" i="10"/>
  <c r="B177" i="10"/>
  <c r="AK177" i="10"/>
  <c r="AS186" i="10"/>
  <c r="AL186" i="10"/>
  <c r="AS202" i="10"/>
  <c r="AL202" i="10"/>
  <c r="AS204" i="10"/>
  <c r="AL204" i="10"/>
  <c r="B204" i="10"/>
  <c r="B209" i="10"/>
  <c r="AK209" i="10"/>
  <c r="AS224" i="10"/>
  <c r="B224" i="10"/>
  <c r="AL228" i="10"/>
  <c r="B228" i="10"/>
  <c r="AK228" i="10"/>
  <c r="B231" i="10"/>
  <c r="AK231" i="10"/>
  <c r="AS332" i="10"/>
  <c r="AK332" i="10"/>
  <c r="B332" i="10"/>
  <c r="G532" i="10"/>
  <c r="D556" i="10"/>
  <c r="E556" i="10" s="1"/>
  <c r="D568" i="10"/>
  <c r="E568" i="10" s="1"/>
  <c r="D584" i="10"/>
  <c r="E584" i="10" s="1"/>
  <c r="AK296" i="10"/>
  <c r="B296" i="10"/>
  <c r="AS297" i="10"/>
  <c r="B302" i="10"/>
  <c r="AS302" i="10"/>
  <c r="AS304" i="10"/>
  <c r="AL304" i="10"/>
  <c r="AL307" i="10"/>
  <c r="AK307" i="10"/>
  <c r="B307" i="10"/>
  <c r="AL334" i="10"/>
  <c r="AK334" i="10"/>
  <c r="B334" i="10"/>
  <c r="AL353" i="10"/>
  <c r="AK353" i="10"/>
  <c r="AS370" i="10"/>
  <c r="AL370" i="10"/>
  <c r="AS377" i="10"/>
  <c r="AL377" i="10"/>
  <c r="AL380" i="10"/>
  <c r="AK380" i="10"/>
  <c r="B380" i="10"/>
  <c r="G525" i="10"/>
  <c r="G529" i="10"/>
  <c r="G531" i="10"/>
  <c r="G540" i="10"/>
  <c r="G548" i="10"/>
  <c r="AS59" i="11"/>
  <c r="AL59" i="11"/>
  <c r="AK59" i="11"/>
  <c r="AS76" i="11"/>
  <c r="AL76" i="11"/>
  <c r="B76" i="11"/>
  <c r="AK76" i="11"/>
  <c r="AS92" i="11"/>
  <c r="B92" i="11"/>
  <c r="AK92" i="11"/>
  <c r="AL148" i="11"/>
  <c r="AK148" i="11"/>
  <c r="B148" i="11"/>
  <c r="B169" i="11"/>
  <c r="AK169" i="11"/>
  <c r="AL175" i="11"/>
  <c r="B175" i="11"/>
  <c r="AK175" i="11"/>
  <c r="AS175" i="11"/>
  <c r="B147" i="10"/>
  <c r="B166" i="10"/>
  <c r="B174" i="10"/>
  <c r="B190" i="10"/>
  <c r="B198" i="10"/>
  <c r="B217" i="10"/>
  <c r="B223" i="10"/>
  <c r="B259" i="10"/>
  <c r="B272" i="10"/>
  <c r="B275" i="10"/>
  <c r="B279" i="10"/>
  <c r="B283" i="10"/>
  <c r="B287" i="10"/>
  <c r="B291" i="10"/>
  <c r="AK294" i="10"/>
  <c r="AK299" i="10"/>
  <c r="B299" i="10"/>
  <c r="B304" i="10"/>
  <c r="AK304" i="10"/>
  <c r="AS307" i="10"/>
  <c r="AS308" i="10"/>
  <c r="AL308" i="10"/>
  <c r="AL311" i="10"/>
  <c r="AK311" i="10"/>
  <c r="B311" i="10"/>
  <c r="AS315" i="10"/>
  <c r="AL315" i="10"/>
  <c r="B315" i="10"/>
  <c r="AS325" i="10"/>
  <c r="B325" i="10"/>
  <c r="AK325" i="10"/>
  <c r="AS328" i="10"/>
  <c r="AK328" i="10"/>
  <c r="B328" i="10"/>
  <c r="AS334" i="10"/>
  <c r="B370" i="10"/>
  <c r="AK370" i="10"/>
  <c r="B377" i="10"/>
  <c r="AK377" i="10"/>
  <c r="AS380" i="10"/>
  <c r="AS381" i="10"/>
  <c r="AL381" i="10"/>
  <c r="AL384" i="10"/>
  <c r="AK384" i="10"/>
  <c r="B384" i="10"/>
  <c r="D520" i="10"/>
  <c r="G535" i="10"/>
  <c r="G563" i="10"/>
  <c r="G579" i="10"/>
  <c r="AK15" i="11"/>
  <c r="B15" i="11"/>
  <c r="AS15" i="11"/>
  <c r="AL15" i="11"/>
  <c r="B18" i="11"/>
  <c r="AK18" i="11"/>
  <c r="AS80" i="11"/>
  <c r="AL80" i="11"/>
  <c r="B80" i="11"/>
  <c r="AK80" i="11"/>
  <c r="AL90" i="11"/>
  <c r="B90" i="11"/>
  <c r="AK90" i="11"/>
  <c r="AS90" i="11"/>
  <c r="AS312" i="10"/>
  <c r="AL312" i="10"/>
  <c r="AL317" i="10"/>
  <c r="AK317" i="10"/>
  <c r="B317" i="10"/>
  <c r="AL322" i="10"/>
  <c r="B322" i="10"/>
  <c r="AK322" i="10"/>
  <c r="AS330" i="10"/>
  <c r="AK330" i="10"/>
  <c r="B330" i="10"/>
  <c r="AK338" i="10"/>
  <c r="B338" i="10"/>
  <c r="AS342" i="10"/>
  <c r="AK342" i="10"/>
  <c r="AS346" i="10"/>
  <c r="AK346" i="10"/>
  <c r="AS362" i="10"/>
  <c r="AL362" i="10"/>
  <c r="B362" i="10"/>
  <c r="AL365" i="10"/>
  <c r="AK365" i="10"/>
  <c r="B365" i="10"/>
  <c r="G523" i="10"/>
  <c r="G543" i="10"/>
  <c r="G551" i="10"/>
  <c r="G559" i="10"/>
  <c r="G564" i="10"/>
  <c r="G575" i="10"/>
  <c r="G580" i="10"/>
  <c r="AS72" i="11"/>
  <c r="AL72" i="11"/>
  <c r="B72" i="11"/>
  <c r="AK72" i="11"/>
  <c r="AL88" i="11"/>
  <c r="B88" i="11"/>
  <c r="AK88" i="11"/>
  <c r="AS88" i="11"/>
  <c r="AS106" i="11"/>
  <c r="B106" i="11"/>
  <c r="AK106" i="11"/>
  <c r="AS109" i="11"/>
  <c r="B109" i="11"/>
  <c r="AK109" i="11"/>
  <c r="G533" i="10"/>
  <c r="G541" i="10"/>
  <c r="G545" i="10"/>
  <c r="G549" i="10"/>
  <c r="G553" i="10"/>
  <c r="G561" i="10"/>
  <c r="G565" i="10"/>
  <c r="G569" i="10"/>
  <c r="G573" i="10"/>
  <c r="G577" i="10"/>
  <c r="G581" i="10"/>
  <c r="G585" i="10"/>
  <c r="G589" i="10"/>
  <c r="AL63" i="11"/>
  <c r="B63" i="11"/>
  <c r="AL96" i="11"/>
  <c r="B96" i="11"/>
  <c r="AK96" i="11"/>
  <c r="AS98" i="11"/>
  <c r="AL98" i="11"/>
  <c r="B98" i="11"/>
  <c r="AS102" i="11"/>
  <c r="B102" i="11"/>
  <c r="AK102" i="11"/>
  <c r="AS105" i="11"/>
  <c r="B105" i="11"/>
  <c r="AL124" i="11"/>
  <c r="B124" i="11"/>
  <c r="AK124" i="11"/>
  <c r="AL126" i="11"/>
  <c r="B126" i="11"/>
  <c r="AL134" i="11"/>
  <c r="AK134" i="11"/>
  <c r="B134" i="11"/>
  <c r="AL143" i="11"/>
  <c r="AK143" i="11"/>
  <c r="B143" i="11"/>
  <c r="B160" i="11"/>
  <c r="AK160" i="11"/>
  <c r="AS160" i="11"/>
  <c r="E330" i="11"/>
  <c r="G522" i="10"/>
  <c r="G526" i="10"/>
  <c r="G530" i="10"/>
  <c r="G534" i="10"/>
  <c r="G538" i="10"/>
  <c r="G542" i="10"/>
  <c r="G546" i="10"/>
  <c r="G550" i="10"/>
  <c r="G554" i="10"/>
  <c r="G558" i="10"/>
  <c r="G562" i="10"/>
  <c r="G566" i="10"/>
  <c r="G570" i="10"/>
  <c r="G574" i="10"/>
  <c r="G578" i="10"/>
  <c r="G582" i="10"/>
  <c r="G586" i="10"/>
  <c r="B9" i="11"/>
  <c r="AK9" i="11"/>
  <c r="AK11" i="11"/>
  <c r="AL60" i="11"/>
  <c r="AK63" i="11"/>
  <c r="AK66" i="11"/>
  <c r="AL77" i="11"/>
  <c r="AL81" i="11"/>
  <c r="B83" i="11"/>
  <c r="AK83" i="11"/>
  <c r="AL85" i="11"/>
  <c r="B85" i="11"/>
  <c r="AK85" i="11"/>
  <c r="AS95" i="11"/>
  <c r="B95" i="11"/>
  <c r="AS96" i="11"/>
  <c r="AK98" i="11"/>
  <c r="AS101" i="11"/>
  <c r="B101" i="11"/>
  <c r="AK105" i="11"/>
  <c r="AK116" i="11"/>
  <c r="B116" i="11"/>
  <c r="AK126" i="11"/>
  <c r="B128" i="11"/>
  <c r="B136" i="11"/>
  <c r="AK136" i="11"/>
  <c r="B141" i="11"/>
  <c r="AK141" i="11"/>
  <c r="B159" i="11"/>
  <c r="AK159" i="11"/>
  <c r="AL181" i="11"/>
  <c r="B181" i="11"/>
  <c r="AK181" i="11"/>
  <c r="D97" i="12"/>
  <c r="E97" i="12" s="1"/>
  <c r="D106" i="12"/>
  <c r="E106" i="12" s="1"/>
  <c r="G106" i="12"/>
  <c r="B306" i="10"/>
  <c r="B310" i="10"/>
  <c r="B314" i="10"/>
  <c r="B320" i="10"/>
  <c r="B336" i="10"/>
  <c r="B339" i="10"/>
  <c r="B361" i="10"/>
  <c r="B364" i="10"/>
  <c r="B368" i="10"/>
  <c r="B372" i="10"/>
  <c r="B375" i="10"/>
  <c r="B379" i="10"/>
  <c r="B383" i="10"/>
  <c r="B11" i="11"/>
  <c r="AL11" i="11"/>
  <c r="AL12" i="11"/>
  <c r="B16" i="11"/>
  <c r="AK16" i="11"/>
  <c r="AL20" i="11"/>
  <c r="B20" i="11"/>
  <c r="B60" i="11"/>
  <c r="AS60" i="11"/>
  <c r="AK61" i="11"/>
  <c r="AS63" i="11"/>
  <c r="B66" i="11"/>
  <c r="AL66" i="11"/>
  <c r="AL67" i="11"/>
  <c r="B69" i="11"/>
  <c r="AK70" i="11"/>
  <c r="B73" i="11"/>
  <c r="AS73" i="11"/>
  <c r="AK74" i="11"/>
  <c r="B77" i="11"/>
  <c r="AS77" i="11"/>
  <c r="AK78" i="11"/>
  <c r="B81" i="11"/>
  <c r="AS81" i="11"/>
  <c r="AK82" i="11"/>
  <c r="AS85" i="11"/>
  <c r="AS86" i="11"/>
  <c r="AL86" i="11"/>
  <c r="AK95" i="11"/>
  <c r="AK101" i="11"/>
  <c r="AS110" i="11"/>
  <c r="B110" i="11"/>
  <c r="AK110" i="11"/>
  <c r="AS113" i="11"/>
  <c r="B113" i="11"/>
  <c r="B115" i="11"/>
  <c r="AL123" i="11"/>
  <c r="AK123" i="11"/>
  <c r="B123" i="11"/>
  <c r="AL144" i="11"/>
  <c r="B144" i="11"/>
  <c r="AK144" i="11"/>
  <c r="AL146" i="11"/>
  <c r="AK146" i="11"/>
  <c r="B146" i="11"/>
  <c r="AL151" i="11"/>
  <c r="B151" i="11"/>
  <c r="AS157" i="11"/>
  <c r="AL157" i="11"/>
  <c r="AK157" i="11"/>
  <c r="B157" i="11"/>
  <c r="AL167" i="11"/>
  <c r="B167" i="11"/>
  <c r="AK167" i="11"/>
  <c r="AL173" i="11"/>
  <c r="B173" i="11"/>
  <c r="AK173" i="11"/>
  <c r="AS181" i="11"/>
  <c r="D334" i="11"/>
  <c r="E334" i="11" s="1"/>
  <c r="G334" i="11" s="1"/>
  <c r="AL177" i="11"/>
  <c r="B177" i="11"/>
  <c r="AK177" i="11"/>
  <c r="G339" i="11"/>
  <c r="G345" i="11"/>
  <c r="E355" i="11"/>
  <c r="G355" i="11" s="1"/>
  <c r="AS8" i="12"/>
  <c r="AL8" i="12"/>
  <c r="B8" i="12"/>
  <c r="AK8" i="12"/>
  <c r="G89" i="12"/>
  <c r="G109" i="12"/>
  <c r="B120" i="11"/>
  <c r="AK120" i="11"/>
  <c r="AL127" i="11"/>
  <c r="B127" i="11"/>
  <c r="AK127" i="11"/>
  <c r="AL130" i="11"/>
  <c r="AK130" i="11"/>
  <c r="B130" i="11"/>
  <c r="AL132" i="11"/>
  <c r="AK132" i="11"/>
  <c r="B132" i="11"/>
  <c r="AL137" i="11"/>
  <c r="B137" i="11"/>
  <c r="AK137" i="11"/>
  <c r="AL152" i="11"/>
  <c r="B152" i="11"/>
  <c r="AK152" i="11"/>
  <c r="B156" i="11"/>
  <c r="AK156" i="11"/>
  <c r="AL162" i="11"/>
  <c r="B162" i="11"/>
  <c r="AK162" i="11"/>
  <c r="B164" i="11"/>
  <c r="AK164" i="11"/>
  <c r="AL171" i="11"/>
  <c r="B171" i="11"/>
  <c r="AK171" i="11"/>
  <c r="AL179" i="11"/>
  <c r="B179" i="11"/>
  <c r="AK179" i="11"/>
  <c r="D340" i="11"/>
  <c r="E340" i="11" s="1"/>
  <c r="G342" i="11"/>
  <c r="G346" i="11"/>
  <c r="G85" i="12"/>
  <c r="D90" i="12"/>
  <c r="E90" i="12" s="1"/>
  <c r="D412" i="12"/>
  <c r="E412" i="12" s="1"/>
  <c r="G412" i="12"/>
  <c r="G337" i="11"/>
  <c r="G351" i="11"/>
  <c r="G358" i="11"/>
  <c r="D360" i="11"/>
  <c r="E360" i="11" s="1"/>
  <c r="G360" i="11"/>
  <c r="AS9" i="12"/>
  <c r="AK9" i="12"/>
  <c r="AS11" i="12"/>
  <c r="AK11" i="12"/>
  <c r="G93" i="12"/>
  <c r="D98" i="12"/>
  <c r="E98" i="12" s="1"/>
  <c r="G98" i="12"/>
  <c r="E113" i="12"/>
  <c r="G113" i="12" s="1"/>
  <c r="D397" i="12"/>
  <c r="G332" i="11"/>
  <c r="G336" i="11"/>
  <c r="G362" i="11"/>
  <c r="AS10" i="12"/>
  <c r="AK10" i="12"/>
  <c r="AS12" i="12"/>
  <c r="AK12" i="12"/>
  <c r="B122" i="11"/>
  <c r="B140" i="11"/>
  <c r="B142" i="11"/>
  <c r="G338" i="11"/>
  <c r="G354" i="11"/>
  <c r="G84" i="12"/>
  <c r="G92" i="12"/>
  <c r="G100" i="12"/>
  <c r="G108" i="12"/>
  <c r="G400" i="12"/>
  <c r="G403" i="12"/>
  <c r="G408" i="12"/>
  <c r="G419" i="12"/>
  <c r="G401" i="12"/>
  <c r="G405" i="12"/>
  <c r="G409" i="12"/>
  <c r="G413" i="12"/>
  <c r="G417" i="12"/>
  <c r="G421" i="12"/>
  <c r="G425" i="12"/>
  <c r="G349" i="11"/>
  <c r="G357" i="11"/>
  <c r="G361" i="11"/>
  <c r="G87" i="12"/>
  <c r="G91" i="12"/>
  <c r="G95" i="12"/>
  <c r="G99" i="12"/>
  <c r="G103" i="12"/>
  <c r="G107" i="12"/>
  <c r="G111" i="12"/>
  <c r="G115" i="12"/>
  <c r="G398" i="12"/>
  <c r="G406" i="12"/>
  <c r="G410" i="12"/>
  <c r="G414" i="12"/>
  <c r="G418" i="12"/>
  <c r="G422" i="12"/>
  <c r="G426" i="12"/>
  <c r="D83" i="12"/>
  <c r="AO212" i="4"/>
  <c r="AH212" i="4"/>
  <c r="AG212" i="4"/>
  <c r="AO184" i="4"/>
  <c r="AG184" i="4"/>
  <c r="AO357" i="4"/>
  <c r="AH357" i="4"/>
  <c r="AG357" i="4"/>
  <c r="AG6" i="4"/>
  <c r="AG10" i="4"/>
  <c r="AO12" i="4"/>
  <c r="AG14" i="4"/>
  <c r="AO16" i="4"/>
  <c r="AG18" i="4"/>
  <c r="AG21" i="4"/>
  <c r="AO23" i="4"/>
  <c r="AG25" i="4"/>
  <c r="AO27" i="4"/>
  <c r="AO39" i="4"/>
  <c r="AG40" i="4"/>
  <c r="AO42" i="4"/>
  <c r="AG44" i="4"/>
  <c r="AO46" i="4"/>
  <c r="AG48" i="4"/>
  <c r="AG61" i="4"/>
  <c r="AG89" i="4"/>
  <c r="AH102" i="4"/>
  <c r="AG102" i="4"/>
  <c r="AH130" i="4"/>
  <c r="AG130" i="4"/>
  <c r="AO133" i="4"/>
  <c r="AH133" i="4"/>
  <c r="AO137" i="4"/>
  <c r="AH137" i="4"/>
  <c r="AO208" i="4"/>
  <c r="AH208" i="4"/>
  <c r="AG208" i="4"/>
  <c r="AO224" i="4"/>
  <c r="AG224" i="4"/>
  <c r="AO258" i="4"/>
  <c r="AH258" i="4"/>
  <c r="AG258" i="4"/>
  <c r="AG260" i="4"/>
  <c r="AO260" i="4"/>
  <c r="AH260" i="4"/>
  <c r="AO274" i="4"/>
  <c r="AH274" i="4"/>
  <c r="AG274" i="4"/>
  <c r="AH287" i="4"/>
  <c r="AO287" i="4"/>
  <c r="AG287" i="4"/>
  <c r="AO113" i="4"/>
  <c r="AH113" i="4"/>
  <c r="AO117" i="4"/>
  <c r="AH117" i="4"/>
  <c r="AH14" i="4"/>
  <c r="AH21" i="4"/>
  <c r="AH44" i="4"/>
  <c r="AH89" i="4"/>
  <c r="AO101" i="4"/>
  <c r="AH101" i="4"/>
  <c r="AH154" i="4"/>
  <c r="AG154" i="4"/>
  <c r="AO169" i="4"/>
  <c r="AH169" i="4"/>
  <c r="AG169" i="4"/>
  <c r="AH10" i="4"/>
  <c r="AH18" i="4"/>
  <c r="H903" i="4"/>
  <c r="H886" i="4" s="1"/>
  <c r="K886" i="4" s="1"/>
  <c r="N760" i="4"/>
  <c r="AH25" i="4"/>
  <c r="AH40" i="4"/>
  <c r="AH48" i="4"/>
  <c r="AH61" i="4"/>
  <c r="AH106" i="4"/>
  <c r="AG106" i="4"/>
  <c r="K905" i="4"/>
  <c r="C888" i="4"/>
  <c r="AG50" i="4"/>
  <c r="AH51" i="4"/>
  <c r="AG101" i="4"/>
  <c r="AO106" i="4"/>
  <c r="AO145" i="4"/>
  <c r="AH145" i="4"/>
  <c r="AO154" i="4"/>
  <c r="AO252" i="4"/>
  <c r="AH252" i="4"/>
  <c r="AG252" i="4"/>
  <c r="AH259" i="4"/>
  <c r="AO259" i="4"/>
  <c r="AG259" i="4"/>
  <c r="AH275" i="4"/>
  <c r="AO275" i="4"/>
  <c r="AG275" i="4"/>
  <c r="AO286" i="4"/>
  <c r="AH286" i="4"/>
  <c r="AG286" i="4"/>
  <c r="AG288" i="4"/>
  <c r="AO288" i="4"/>
  <c r="AH288" i="4"/>
  <c r="AG170" i="4"/>
  <c r="AH253" i="4"/>
  <c r="C910" i="4"/>
  <c r="C917" i="4" s="1"/>
  <c r="AG262" i="4"/>
  <c r="AG263" i="4"/>
  <c r="AH264" i="4"/>
  <c r="AG278" i="4"/>
  <c r="AG279" i="4"/>
  <c r="AH280" i="4"/>
  <c r="AG290" i="4"/>
  <c r="AG291" i="4"/>
  <c r="AH292" i="4"/>
  <c r="AH311" i="4"/>
  <c r="AO253" i="4"/>
  <c r="AG255" i="4"/>
  <c r="AH262" i="4"/>
  <c r="AO263" i="4"/>
  <c r="AO264" i="4"/>
  <c r="AH278" i="4"/>
  <c r="AO279" i="4"/>
  <c r="AO280" i="4"/>
  <c r="AH290" i="4"/>
  <c r="AO291" i="4"/>
  <c r="AO292" i="4"/>
  <c r="AO311" i="4"/>
  <c r="AH366" i="4"/>
  <c r="AG366" i="4"/>
  <c r="K885" i="4"/>
  <c r="AA886" i="4"/>
  <c r="K893" i="4"/>
  <c r="K894" i="4"/>
  <c r="K895" i="4"/>
  <c r="P910" i="4"/>
  <c r="E896" i="4"/>
  <c r="I896" i="4"/>
  <c r="V895" i="4"/>
  <c r="Z895" i="4" s="1"/>
  <c r="Q884" i="4"/>
  <c r="Z898" i="4"/>
  <c r="Q910" i="4"/>
  <c r="Z903" i="4"/>
  <c r="Z904" i="4"/>
  <c r="R910" i="4"/>
  <c r="V897" i="4"/>
  <c r="Z897" i="4" s="1"/>
  <c r="X899" i="4"/>
  <c r="E917" i="4"/>
  <c r="I917" i="4"/>
  <c r="K908" i="4"/>
  <c r="G917" i="4"/>
  <c r="K902" i="4"/>
  <c r="Y900" i="4"/>
  <c r="B40" i="1"/>
  <c r="C356" i="11" l="1"/>
  <c r="D356" i="11" s="1"/>
  <c r="E356" i="11" s="1"/>
  <c r="C527" i="10"/>
  <c r="D527" i="10" s="1"/>
  <c r="E527" i="10" s="1"/>
  <c r="C359" i="11"/>
  <c r="D359" i="11" s="1"/>
  <c r="E359" i="11" s="1"/>
  <c r="F527" i="10"/>
  <c r="F344" i="11"/>
  <c r="F112" i="12"/>
  <c r="F116" i="12" s="1"/>
  <c r="F423" i="12"/>
  <c r="F335" i="11"/>
  <c r="C112" i="12"/>
  <c r="C116" i="12" s="1"/>
  <c r="K903" i="4"/>
  <c r="G97" i="12"/>
  <c r="G524" i="10"/>
  <c r="O388" i="10"/>
  <c r="G583" i="10"/>
  <c r="Z900" i="4"/>
  <c r="G96" i="12"/>
  <c r="G571" i="10"/>
  <c r="G521" i="10"/>
  <c r="H917" i="4"/>
  <c r="H896" i="4"/>
  <c r="G399" i="12"/>
  <c r="G90" i="12"/>
  <c r="G587" i="10"/>
  <c r="G88" i="12"/>
  <c r="Z899" i="4"/>
  <c r="G407" i="12"/>
  <c r="F356" i="11"/>
  <c r="F341" i="11"/>
  <c r="C341" i="11"/>
  <c r="F347" i="11"/>
  <c r="E595" i="10"/>
  <c r="F552" i="10"/>
  <c r="C347" i="11"/>
  <c r="D347" i="11" s="1"/>
  <c r="E347" i="11" s="1"/>
  <c r="C402" i="12"/>
  <c r="F402" i="12"/>
  <c r="C547" i="10"/>
  <c r="F547" i="10"/>
  <c r="C344" i="11"/>
  <c r="G568" i="10"/>
  <c r="C552" i="10"/>
  <c r="C537" i="10"/>
  <c r="F537" i="10"/>
  <c r="C335" i="11"/>
  <c r="F359" i="11"/>
  <c r="C350" i="11"/>
  <c r="F350" i="11"/>
  <c r="D423" i="12"/>
  <c r="E423" i="12" s="1"/>
  <c r="E83" i="12"/>
  <c r="G83" i="12"/>
  <c r="G340" i="11"/>
  <c r="G330" i="11"/>
  <c r="E520" i="10"/>
  <c r="G520" i="10"/>
  <c r="O389" i="10"/>
  <c r="E121" i="12"/>
  <c r="E397" i="12"/>
  <c r="F348" i="11"/>
  <c r="C348" i="11"/>
  <c r="C353" i="11"/>
  <c r="F353" i="11"/>
  <c r="G584" i="10"/>
  <c r="G556" i="10"/>
  <c r="C557" i="10"/>
  <c r="F557" i="10"/>
  <c r="X905" i="4"/>
  <c r="Y905" i="4"/>
  <c r="V905" i="4"/>
  <c r="Q888" i="4"/>
  <c r="AA884" i="4"/>
  <c r="K910" i="4"/>
  <c r="K917" i="4" s="1"/>
  <c r="C890" i="4"/>
  <c r="K888" i="4"/>
  <c r="F427" i="12" l="1"/>
  <c r="D112" i="12"/>
  <c r="E112" i="12" s="1"/>
  <c r="E116" i="12" s="1"/>
  <c r="D341" i="11"/>
  <c r="E341" i="11" s="1"/>
  <c r="F363" i="11"/>
  <c r="G423" i="12"/>
  <c r="D557" i="10"/>
  <c r="E557" i="10" s="1"/>
  <c r="D335" i="11"/>
  <c r="C363" i="11"/>
  <c r="F590" i="10"/>
  <c r="D344" i="11"/>
  <c r="E344" i="11" s="1"/>
  <c r="G359" i="11"/>
  <c r="G527" i="10"/>
  <c r="D353" i="11"/>
  <c r="E353" i="11" s="1"/>
  <c r="G397" i="12"/>
  <c r="D350" i="11"/>
  <c r="E350" i="11" s="1"/>
  <c r="D537" i="10"/>
  <c r="E537" i="10" s="1"/>
  <c r="C590" i="10"/>
  <c r="D402" i="12"/>
  <c r="C427" i="12"/>
  <c r="G356" i="11"/>
  <c r="D547" i="10"/>
  <c r="E547" i="10" s="1"/>
  <c r="D348" i="11"/>
  <c r="E348" i="11" s="1"/>
  <c r="G348" i="11" s="1"/>
  <c r="D552" i="10"/>
  <c r="E552" i="10" s="1"/>
  <c r="G347" i="11"/>
  <c r="Z905" i="4"/>
  <c r="K890" i="4"/>
  <c r="K896" i="4" s="1"/>
  <c r="AH888" i="4"/>
  <c r="AE891" i="4"/>
  <c r="AE917" i="4"/>
  <c r="C896" i="4"/>
  <c r="AL893" i="4" s="1"/>
  <c r="AL897" i="4"/>
  <c r="AE894" i="4"/>
  <c r="AH893" i="4"/>
  <c r="AO893" i="4"/>
  <c r="G112" i="12" l="1"/>
  <c r="D116" i="12"/>
  <c r="G116" i="12" s="1"/>
  <c r="G341" i="11"/>
  <c r="E590" i="10"/>
  <c r="G552" i="10"/>
  <c r="G547" i="10"/>
  <c r="E402" i="12"/>
  <c r="D427" i="12"/>
  <c r="E335" i="11"/>
  <c r="D363" i="11"/>
  <c r="D590" i="10"/>
  <c r="G350" i="11"/>
  <c r="G557" i="10"/>
  <c r="G537" i="10"/>
  <c r="G353" i="11"/>
  <c r="G344" i="11"/>
  <c r="AM893" i="4"/>
  <c r="AN893" i="4" s="1"/>
  <c r="AF891" i="4"/>
  <c r="AG891" i="4" s="1"/>
  <c r="AH890" i="4"/>
  <c r="AH909" i="4"/>
  <c r="AE892" i="4"/>
  <c r="AE890" i="4"/>
  <c r="AO906" i="4"/>
  <c r="AH919" i="4"/>
  <c r="AL914" i="4"/>
  <c r="AH915" i="4"/>
  <c r="AE915" i="4"/>
  <c r="AL886" i="4"/>
  <c r="AH901" i="4"/>
  <c r="AE922" i="4"/>
  <c r="AH916" i="4"/>
  <c r="AE916" i="4"/>
  <c r="AO915" i="4"/>
  <c r="AL892" i="4"/>
  <c r="AL889" i="4"/>
  <c r="AH904" i="4"/>
  <c r="AE923" i="4"/>
  <c r="AE901" i="4"/>
  <c r="AH921" i="4"/>
  <c r="AE886" i="4"/>
  <c r="AO897" i="4"/>
  <c r="AL888" i="4"/>
  <c r="AH894" i="4"/>
  <c r="AH913" i="4"/>
  <c r="AO909" i="4"/>
  <c r="AO908" i="4"/>
  <c r="AL908" i="4"/>
  <c r="AO886" i="4"/>
  <c r="AO896" i="4"/>
  <c r="AE900" i="4"/>
  <c r="AE898" i="4"/>
  <c r="AE919" i="4"/>
  <c r="AH918" i="4"/>
  <c r="AE921" i="4"/>
  <c r="AO890" i="4"/>
  <c r="AE906" i="4"/>
  <c r="AO898" i="4"/>
  <c r="AH920" i="4"/>
  <c r="AE920" i="4"/>
  <c r="AH922" i="4"/>
  <c r="AE918" i="4"/>
  <c r="AE908" i="4"/>
  <c r="AF894" i="4"/>
  <c r="AG894" i="4" s="1"/>
  <c r="AM897" i="4"/>
  <c r="AN897" i="4" s="1"/>
  <c r="AH923" i="4"/>
  <c r="AH887" i="4"/>
  <c r="AE893" i="4"/>
  <c r="AH896" i="4"/>
  <c r="AO889" i="4"/>
  <c r="AO916" i="4"/>
  <c r="AH903" i="4"/>
  <c r="AE888" i="4"/>
  <c r="AL907" i="4"/>
  <c r="AH924" i="4"/>
  <c r="AH902" i="4"/>
  <c r="AE899" i="4"/>
  <c r="AH914" i="4"/>
  <c r="AO895" i="4"/>
  <c r="AL911" i="4"/>
  <c r="AE909" i="4"/>
  <c r="AH907" i="4"/>
  <c r="AO907" i="4"/>
  <c r="AE887" i="4"/>
  <c r="AO887" i="4"/>
  <c r="AL894" i="4"/>
  <c r="AH889" i="4"/>
  <c r="AH900" i="4"/>
  <c r="AH917" i="4"/>
  <c r="AO913" i="4"/>
  <c r="AL913" i="4"/>
  <c r="AH895" i="4"/>
  <c r="AL887" i="4"/>
  <c r="AE889" i="4"/>
  <c r="AE910" i="4"/>
  <c r="AO905" i="4"/>
  <c r="AE904" i="4"/>
  <c r="AH906" i="4"/>
  <c r="AH905" i="4"/>
  <c r="AL890" i="4"/>
  <c r="AO910" i="4"/>
  <c r="AL906" i="4"/>
  <c r="AL905" i="4"/>
  <c r="AE907" i="4"/>
  <c r="AE905" i="4"/>
  <c r="AE911" i="4"/>
  <c r="AH899" i="4"/>
  <c r="AF917" i="4"/>
  <c r="AG917" i="4" s="1"/>
  <c r="AL916" i="4"/>
  <c r="AH892" i="4"/>
  <c r="AE924" i="4"/>
  <c r="AO891" i="4"/>
  <c r="AO892" i="4"/>
  <c r="AE896" i="4"/>
  <c r="AL891" i="4"/>
  <c r="AE903" i="4"/>
  <c r="AL915" i="4"/>
  <c r="AE913" i="4"/>
  <c r="AO912" i="4"/>
  <c r="AL912" i="4"/>
  <c r="AL898" i="4"/>
  <c r="AE895" i="4"/>
  <c r="AL896" i="4"/>
  <c r="AL895" i="4"/>
  <c r="AH898" i="4"/>
  <c r="AH897" i="4"/>
  <c r="AO917" i="4"/>
  <c r="AL917" i="4"/>
  <c r="AO888" i="4"/>
  <c r="AH886" i="4"/>
  <c r="AO894" i="4"/>
  <c r="AE914" i="4"/>
  <c r="AL910" i="4"/>
  <c r="AL909" i="4"/>
  <c r="AH910" i="4"/>
  <c r="AH891" i="4"/>
  <c r="AE897" i="4"/>
  <c r="AO914" i="4"/>
  <c r="AH912" i="4"/>
  <c r="AE912" i="4"/>
  <c r="AO911" i="4"/>
  <c r="AE902" i="4"/>
  <c r="AH908" i="4"/>
  <c r="AH911" i="4"/>
  <c r="G590" i="10" l="1"/>
  <c r="AI894" i="4"/>
  <c r="E363" i="11"/>
  <c r="G363" i="11" s="1"/>
  <c r="G335" i="11"/>
  <c r="G402" i="12"/>
  <c r="E427" i="12"/>
  <c r="G427" i="12" s="1"/>
  <c r="AF912" i="4"/>
  <c r="AG912" i="4" s="1"/>
  <c r="AI912" i="4" s="1"/>
  <c r="AF914" i="4"/>
  <c r="AG914" i="4" s="1"/>
  <c r="AM917" i="4"/>
  <c r="AN917" i="4" s="1"/>
  <c r="AM895" i="4"/>
  <c r="AN895" i="4" s="1"/>
  <c r="AM912" i="4"/>
  <c r="AN912" i="4" s="1"/>
  <c r="AF903" i="4"/>
  <c r="AG903" i="4" s="1"/>
  <c r="AI917" i="4"/>
  <c r="AF905" i="4"/>
  <c r="AG905" i="4" s="1"/>
  <c r="AF904" i="4"/>
  <c r="AG904" i="4" s="1"/>
  <c r="AM887" i="4"/>
  <c r="AN887" i="4" s="1"/>
  <c r="AF909" i="4"/>
  <c r="AG909" i="4" s="1"/>
  <c r="AF899" i="4"/>
  <c r="AG899" i="4" s="1"/>
  <c r="AF888" i="4"/>
  <c r="AG888" i="4" s="1"/>
  <c r="AF908" i="4"/>
  <c r="AG908" i="4" s="1"/>
  <c r="AF921" i="4"/>
  <c r="AG921" i="4" s="1"/>
  <c r="AF900" i="4"/>
  <c r="AG900" i="4" s="1"/>
  <c r="AM888" i="4"/>
  <c r="AN888" i="4" s="1"/>
  <c r="AP888" i="4"/>
  <c r="AF901" i="4"/>
  <c r="AG901" i="4" s="1"/>
  <c r="AM892" i="4"/>
  <c r="AN892" i="4" s="1"/>
  <c r="AF922" i="4"/>
  <c r="AG922" i="4" s="1"/>
  <c r="AF890" i="4"/>
  <c r="AG890" i="4" s="1"/>
  <c r="AI890" i="4" s="1"/>
  <c r="AI891" i="4"/>
  <c r="AF897" i="4"/>
  <c r="AG897" i="4" s="1"/>
  <c r="AM910" i="4"/>
  <c r="AN910" i="4" s="1"/>
  <c r="AM898" i="4"/>
  <c r="AN898" i="4" s="1"/>
  <c r="AM915" i="4"/>
  <c r="AN915" i="4" s="1"/>
  <c r="AM896" i="4"/>
  <c r="AN896" i="4" s="1"/>
  <c r="AP896" i="4"/>
  <c r="AM891" i="4"/>
  <c r="AN891" i="4" s="1"/>
  <c r="AF924" i="4"/>
  <c r="AG924" i="4" s="1"/>
  <c r="AF907" i="4"/>
  <c r="AG907" i="4" s="1"/>
  <c r="AM890" i="4"/>
  <c r="AN890" i="4" s="1"/>
  <c r="AO918" i="4"/>
  <c r="AI887" i="4"/>
  <c r="AF887" i="4"/>
  <c r="AG887" i="4" s="1"/>
  <c r="AM911" i="4"/>
  <c r="AN911" i="4" s="1"/>
  <c r="AF893" i="4"/>
  <c r="AG893" i="4" s="1"/>
  <c r="AP897" i="4"/>
  <c r="AF918" i="4"/>
  <c r="AG918" i="4" s="1"/>
  <c r="AF923" i="4"/>
  <c r="AG923" i="4" s="1"/>
  <c r="AM914" i="4"/>
  <c r="AN914" i="4" s="1"/>
  <c r="AF892" i="4"/>
  <c r="AG892" i="4" s="1"/>
  <c r="AF902" i="4"/>
  <c r="AG902" i="4" s="1"/>
  <c r="AM909" i="4"/>
  <c r="AN909" i="4" s="1"/>
  <c r="AH925" i="4"/>
  <c r="AF895" i="4"/>
  <c r="AG895" i="4" s="1"/>
  <c r="AF913" i="4"/>
  <c r="AG913" i="4" s="1"/>
  <c r="AF896" i="4"/>
  <c r="AG896" i="4" s="1"/>
  <c r="AL918" i="4"/>
  <c r="AM905" i="4"/>
  <c r="AF910" i="4"/>
  <c r="AG910" i="4" s="1"/>
  <c r="AM913" i="4"/>
  <c r="AN913" i="4" s="1"/>
  <c r="AF906" i="4"/>
  <c r="AG906" i="4" s="1"/>
  <c r="AF919" i="4"/>
  <c r="AG919" i="4" s="1"/>
  <c r="AO899" i="4"/>
  <c r="AE925" i="4"/>
  <c r="AF886" i="4"/>
  <c r="AF916" i="4"/>
  <c r="AG916" i="4" s="1"/>
  <c r="AL899" i="4"/>
  <c r="AM886" i="4"/>
  <c r="AP893" i="4"/>
  <c r="AM916" i="4"/>
  <c r="AN916" i="4" s="1"/>
  <c r="AF911" i="4"/>
  <c r="AG911" i="4" s="1"/>
  <c r="AI911" i="4" s="1"/>
  <c r="AM906" i="4"/>
  <c r="AN906" i="4" s="1"/>
  <c r="AP906" i="4" s="1"/>
  <c r="AF889" i="4"/>
  <c r="AG889" i="4" s="1"/>
  <c r="AM894" i="4"/>
  <c r="AN894" i="4" s="1"/>
  <c r="AP894" i="4"/>
  <c r="AM907" i="4"/>
  <c r="AN907" i="4" s="1"/>
  <c r="AF920" i="4"/>
  <c r="AG920" i="4" s="1"/>
  <c r="AI920" i="4" s="1"/>
  <c r="AF898" i="4"/>
  <c r="AG898" i="4" s="1"/>
  <c r="AM908" i="4"/>
  <c r="AN908" i="4" s="1"/>
  <c r="AM889" i="4"/>
  <c r="AN889" i="4" s="1"/>
  <c r="AF915" i="4"/>
  <c r="AG915" i="4" s="1"/>
  <c r="AP892" i="4" l="1"/>
  <c r="AI892" i="4"/>
  <c r="AP917" i="4"/>
  <c r="AP914" i="4"/>
  <c r="AI924" i="4"/>
  <c r="AI889" i="4"/>
  <c r="AI909" i="4"/>
  <c r="AI913" i="4"/>
  <c r="AP887" i="4"/>
  <c r="AP915" i="4"/>
  <c r="AI901" i="4"/>
  <c r="AI898" i="4"/>
  <c r="AI919" i="4"/>
  <c r="AI895" i="4"/>
  <c r="AI893" i="4"/>
  <c r="AP911" i="4"/>
  <c r="AP910" i="4"/>
  <c r="AP889" i="4"/>
  <c r="AP913" i="4"/>
  <c r="AI902" i="4"/>
  <c r="AP891" i="4"/>
  <c r="AP916" i="4"/>
  <c r="AP907" i="4"/>
  <c r="AI916" i="4"/>
  <c r="AI906" i="4"/>
  <c r="AI910" i="4"/>
  <c r="AP909" i="4"/>
  <c r="AI923" i="4"/>
  <c r="AI921" i="4"/>
  <c r="AI888" i="4"/>
  <c r="AI904" i="4"/>
  <c r="AP895" i="4"/>
  <c r="AI914" i="4"/>
  <c r="AM899" i="4"/>
  <c r="AN886" i="4"/>
  <c r="AN899" i="4" s="1"/>
  <c r="AI896" i="4"/>
  <c r="AP890" i="4"/>
  <c r="AP898" i="4"/>
  <c r="AI897" i="4"/>
  <c r="AI922" i="4"/>
  <c r="AI900" i="4"/>
  <c r="AI908" i="4"/>
  <c r="AI899" i="4"/>
  <c r="AI905" i="4"/>
  <c r="AI903" i="4"/>
  <c r="AF925" i="4"/>
  <c r="AG886" i="4"/>
  <c r="AG925" i="4" s="1"/>
  <c r="AM918" i="4"/>
  <c r="AN905" i="4"/>
  <c r="AN918" i="4" s="1"/>
  <c r="AI915" i="4"/>
  <c r="AP908" i="4"/>
  <c r="AI918" i="4"/>
  <c r="AI907" i="4"/>
  <c r="AP912" i="4"/>
  <c r="AI925" i="4" l="1"/>
  <c r="AP886" i="4"/>
  <c r="AP899" i="4" s="1"/>
  <c r="AP905" i="4"/>
  <c r="AP918" i="4" s="1"/>
  <c r="AI88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F62" authorId="0" shapeId="0" xr:uid="{33AF4C6E-02E4-40A0-90C6-92BB476D330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1987.715 + 2549.770 - AT WAREHOUSE SBY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E21" authorId="0" shapeId="0" xr:uid="{122CF327-24E0-46FC-B66C-4162CCC3C4C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2847.125 + 2549.770 - AT WAREHOUSE SBY</t>
        </r>
      </text>
    </comment>
    <comment ref="F21" authorId="0" shapeId="0" xr:uid="{DAF2CA4E-7D71-4D0A-A309-43DBF2D50D2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2847.125 + 2549.770 - AT WAREHOUSE SBY</t>
        </r>
      </text>
    </comment>
    <comment ref="G21" authorId="0" shapeId="0" xr:uid="{AECD9145-7D32-4EE7-85FC-4B2C3A8251C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2847.125 + 2549.770 - AT WAREHOUSE SBY</t>
        </r>
      </text>
    </comment>
    <comment ref="H21" authorId="0" shapeId="0" xr:uid="{7E818EA9-37FA-47B3-9830-05B328B5639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2847.125 + 2549.770 - AT WAREHOUSE SBY</t>
        </r>
      </text>
    </comment>
    <comment ref="I21" authorId="0" shapeId="0" xr:uid="{2C7FE050-3348-4DC4-AD33-6F3F8651F13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2847.125 + 2549.770 - AT WAREHOUSE SBY</t>
        </r>
      </text>
    </comment>
    <comment ref="J21" authorId="0" shapeId="0" xr:uid="{746DC1A0-E824-4E32-B5C7-6C5B8D6632F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2847.125 + 2549.770 - AT WAREHOUSE SBY</t>
        </r>
      </text>
    </comment>
    <comment ref="K21" authorId="0" shapeId="0" xr:uid="{EF4479D7-64BB-4081-A4C5-49BCC88A255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2847.125 + 2549.770 - AT WAREHOUSE SBY</t>
        </r>
      </text>
    </comment>
    <comment ref="L21" authorId="0" shapeId="0" xr:uid="{8A8A6FEB-FD4E-4F96-8D4C-45E1F836688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M21" authorId="0" shapeId="0" xr:uid="{DE66D9C9-92E1-416F-8BB7-FD31F0E218E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N21" authorId="0" shapeId="0" xr:uid="{B60C3765-9FC9-4530-B252-A46CFC7E8F7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O21" authorId="0" shapeId="0" xr:uid="{133033EC-06FA-438C-BEB2-332408258F2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P21" authorId="0" shapeId="0" xr:uid="{376765E3-CA05-4722-8690-7EDF983E431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Q21" authorId="0" shapeId="0" xr:uid="{01EDC50B-BE15-4FC1-9760-189665C8E15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R21" authorId="0" shapeId="0" xr:uid="{212AA8CD-62F8-4F66-BD4C-884CC64D3AF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S21" authorId="0" shapeId="0" xr:uid="{374A82C6-1960-406D-B505-942A290D39E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T21" authorId="0" shapeId="0" xr:uid="{602CAE81-744A-4733-B201-D11C3662BB9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U21" authorId="0" shapeId="0" xr:uid="{E1E904D8-5F1F-4781-838B-791F44160FA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V21" authorId="0" shapeId="0" xr:uid="{95065E04-5535-4C04-AC0A-1196D5AD008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W21" authorId="0" shapeId="0" xr:uid="{0B2EEF89-50F6-4D3C-B3C8-7BE868EC66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X21" authorId="0" shapeId="0" xr:uid="{8226FF6F-178B-47A8-A64E-5C8257EF134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Y21" authorId="0" shapeId="0" xr:uid="{943FC7B5-3E18-448C-BF74-1E68A7E8050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Z21" authorId="0" shapeId="0" xr:uid="{F9C17F8E-89DD-4EF1-831D-BDB00E7571F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AA21" authorId="0" shapeId="0" xr:uid="{078E55AC-6B7D-4B3F-AAF9-FCBEB9FDD37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2311.780 + 2549.770 - AT WAREHOUSE SBY</t>
        </r>
      </text>
    </comment>
    <comment ref="AB21" authorId="0" shapeId="0" xr:uid="{F9609FA0-9AC0-415F-8E9C-B43061B345D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1987.715 + 2549.770 - AT WAREHOUSE SBY</t>
        </r>
      </text>
    </comment>
    <comment ref="AC21" authorId="0" shapeId="0" xr:uid="{1834B7BE-674E-4DD6-A9EC-0741E238B2A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1987.715 + 2549.770 - AT WAREHOUSE SBY</t>
        </r>
      </text>
    </comment>
    <comment ref="AD21" authorId="0" shapeId="0" xr:uid="{F23DFC62-441D-4AC3-8206-7DD8ADAB0CB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1987.715 + 2549.770 - AT WAREHOUSE SBY</t>
        </r>
      </text>
    </comment>
    <comment ref="AE21" authorId="0" shapeId="0" xr:uid="{8E2142F7-7278-4358-A44E-3F2E608912A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1987.715 + 2549.770 - AT WAREHOUSE SBY</t>
        </r>
      </text>
    </comment>
    <comment ref="AF21" authorId="0" shapeId="0" xr:uid="{D2577E4B-4014-4ED2-9ECB-36950364577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1987.715 + 2549.770 - AT WAREHOUSE SBY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N13" authorId="0" shapeId="0" xr:uid="{5CB17F10-6910-47CC-A9DB-9172DA24A24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PACK 15.04.2021
2.860
</t>
        </r>
      </text>
    </comment>
    <comment ref="N253" authorId="0" shapeId="0" xr:uid="{E3731893-D56A-4C08-B415-3F9A33839657}">
      <text>
        <r>
          <rPr>
            <b/>
            <sz val="9"/>
            <color indexed="81"/>
            <rFont val="Tahoma"/>
            <family val="2"/>
          </rPr>
          <t>DIKURANGI POTONG SAMPLE 8 PCS 15.01.2022
BERAT AWAL 2.210 JADI 2.175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N54" authorId="0" shapeId="0" xr:uid="{C78B8AC0-05E1-4FC1-A6AD-10427FDB886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+SPOOL
</t>
        </r>
      </text>
    </comment>
    <comment ref="P80" authorId="0" shapeId="0" xr:uid="{D7684641-639A-4BF1-88C7-D010EFEA01C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21" authorId="0" shapeId="0" xr:uid="{B9FD0C2A-1E70-4F91-851D-0C7C3D633E1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55" authorId="0" shapeId="0" xr:uid="{A25AF29E-B8F6-40CA-9535-67C545E01BA9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87" authorId="0" shapeId="0" xr:uid="{D1AB508F-8DD0-4609-9ACC-FDA71C744E8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93" authorId="0" shapeId="0" xr:uid="{5BD35BF2-32EA-4F17-A86C-22F77769AA8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  <comment ref="P198" authorId="0" shapeId="0" xr:uid="{3CD4B11A-98AA-49CD-9CBF-762136149529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06" authorId="0" shapeId="0" xr:uid="{D364C0E4-1112-4A50-8830-C000C2821AB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18" authorId="0" shapeId="0" xr:uid="{9586B337-7913-4055-AAC7-769FD54FF1F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34" authorId="0" shapeId="0" xr:uid="{8B6875FE-EBD5-448F-9EA7-1A9CA5F8E14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P242" authorId="0" shapeId="0" xr:uid="{7CEE5E90-61B6-46A2-BFB6-BABED9D9C6F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Q4" authorId="0" shapeId="0" xr:uid="{4926C550-1BE3-40CF-B6F6-65A2DBDE653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-E
</t>
        </r>
      </text>
    </comment>
    <comment ref="Q8" authorId="0" shapeId="0" xr:uid="{5995E3C6-F1D3-44AF-AEBC-7BFFDA617AF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-E
</t>
        </r>
      </text>
    </comment>
    <comment ref="Q9" authorId="0" shapeId="0" xr:uid="{E02501B5-8054-4087-8E00-82D28440029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-E
</t>
        </r>
      </text>
    </comment>
    <comment ref="Q10" authorId="0" shapeId="0" xr:uid="{670D0841-F2E1-4445-8B14-0011D7101F0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F21" authorId="0" shapeId="0" xr:uid="{696FA1DE-FC2A-4AD3-AF60-BB9DC628F65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-HOLD QC - RUST
</t>
        </r>
      </text>
    </comment>
    <comment ref="Q34" authorId="0" shapeId="0" xr:uid="{DC20571B-1242-405A-909D-5568BB808F1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36" authorId="0" shapeId="0" xr:uid="{CCE55024-7C9B-44B6-9E59-CD4B73B7B8D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38" authorId="0" shapeId="0" xr:uid="{2065914F-DA18-4D6E-84AF-E1E8E89977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3" authorId="0" shapeId="0" xr:uid="{36D5479C-F6F0-4658-BDE4-8F3D16D9A44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-A3
</t>
        </r>
      </text>
    </comment>
    <comment ref="Q45" authorId="0" shapeId="0" xr:uid="{BD0EB780-4C6E-4499-8E42-685CFE43291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7" authorId="0" shapeId="0" xr:uid="{774AFCA8-CC6D-45A5-B29F-F12ED216F06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48" authorId="0" shapeId="0" xr:uid="{417C1566-9266-4D87-BE3F-889050161C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0" authorId="0" shapeId="0" xr:uid="{F09A8076-9A69-4AE8-95F2-393716772946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2" authorId="0" shapeId="0" xr:uid="{D0F60377-B7AA-4822-8023-61AAC482952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6" authorId="0" shapeId="0" xr:uid="{4B42F72C-B38B-47D8-9436-A0935DC15F69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7" authorId="0" shapeId="0" xr:uid="{924B6F50-32D0-401D-A64D-1F522C9120F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58" authorId="0" shapeId="0" xr:uid="{74047587-2E46-416D-8EAD-CDDD6E15EFA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-A
</t>
        </r>
      </text>
    </comment>
    <comment ref="Q59" authorId="0" shapeId="0" xr:uid="{D8E819DB-927A-4EFB-9CDA-AADA9CEA717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60" authorId="0" shapeId="0" xr:uid="{B7BFE287-5541-41E4-8335-68A09102FA0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  <comment ref="Q67" authorId="0" shapeId="0" xr:uid="{D55E02E4-211C-464E-9A9A-4C809854452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68" authorId="0" shapeId="0" xr:uid="{11280E56-6D3D-4E83-BF29-15027B507D0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0" authorId="0" shapeId="0" xr:uid="{B28CC04D-2B71-42A6-950B-E6FA74071D2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2" authorId="0" shapeId="0" xr:uid="{7B6CBF3D-0E7E-4E29-BC76-A088C5A9A61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3" authorId="0" shapeId="0" xr:uid="{E9098AE1-27A7-4B92-8B1D-A3441F212D7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-A1-5+D
</t>
        </r>
      </text>
    </comment>
    <comment ref="Q74" authorId="0" shapeId="0" xr:uid="{71A86A19-D200-43F0-BE56-14E1361000DF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6" authorId="0" shapeId="0" xr:uid="{488E0C53-2FFA-4CF3-A260-CB880CFCC9A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7" authorId="0" shapeId="0" xr:uid="{F8666E16-FF40-4BB9-A1A6-27E0C34F083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78" authorId="0" shapeId="0" xr:uid="{3B8BEDB2-DC05-488D-AEE0-B6A2734ADBD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90" authorId="0" shapeId="0" xr:uid="{79E8BC58-CCBE-46EA-9621-C2361E9F2513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95" authorId="0" shapeId="0" xr:uid="{E0E34007-CD99-4535-87F0-CF6A8EB55B0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96" authorId="0" shapeId="0" xr:uid="{89907818-C2C3-419D-98B1-E4CAAAD3B85E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01" authorId="0" shapeId="0" xr:uid="{604253BF-CD05-4537-BFC1-ABD1CE9EA867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02" authorId="0" shapeId="0" xr:uid="{6438EE33-BB95-4C5B-B93B-95797885724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04" authorId="0" shapeId="0" xr:uid="{5375A18C-614B-4F07-8FB0-31A9077192E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4" authorId="0" shapeId="0" xr:uid="{1E2EFE36-C14F-46ED-AE0B-9D839B655731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5" authorId="0" shapeId="0" xr:uid="{16851D72-8AAD-4988-B981-35AEF938546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6" authorId="0" shapeId="0" xr:uid="{6F8A5A33-3B35-43D7-91CB-54494AB44E3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7" authorId="0" shapeId="0" xr:uid="{23D971F4-D4F9-4237-B2DE-B780FCAE3FD5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18" authorId="0" shapeId="0" xr:uid="{78F54465-1BA9-4B59-9788-6D26B690851A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0" authorId="0" shapeId="0" xr:uid="{A44C9329-7DE4-4CB7-B1E6-2EDB282A249D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1" authorId="0" shapeId="0" xr:uid="{FAA10D3D-705A-44ED-B3FD-FC11B02BA237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7" authorId="0" shapeId="0" xr:uid="{18B22C5A-A1AD-4EEE-BE66-C76F4CDD088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28" authorId="0" shapeId="0" xr:uid="{63FA40FE-31B5-49A9-BFCC-B9EB39C4A62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30" authorId="0" shapeId="0" xr:uid="{A8F6D88D-1FE5-4AEA-8039-EA6DA2519BCB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-C
</t>
        </r>
      </text>
    </comment>
    <comment ref="Q131" authorId="0" shapeId="0" xr:uid="{676B8F66-813A-4011-9B29-B8141BCBD41C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  <comment ref="Q133" authorId="0" shapeId="0" xr:uid="{E48BDC54-D2F1-436C-8419-C672D1739FC7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G41" authorId="0" shapeId="0" xr:uid="{87ED824F-F482-46B3-A3C8-70F849DB18E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-HOLD QC - RUST
</t>
        </r>
      </text>
    </comment>
    <comment ref="G357" authorId="0" shapeId="0" xr:uid="{1B62416A-EDB3-4BB5-B9A9-DC0802DF1A4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-B HOLD M 2400 - 3020 - BELANG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G119" authorId="0" shapeId="0" xr:uid="{3F784B47-1107-47D6-9AB9-6028448372E4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DIKERJAKAN LAGI 23.09.2021 - JDI STRIP B 675 KG</t>
        </r>
      </text>
    </comment>
    <comment ref="G160" authorId="0" shapeId="0" xr:uid="{C6ECD11F-1216-4DA0-A243-8B7A4C1B35B8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TI-GI304831B</t>
        </r>
      </text>
    </comment>
  </commentList>
</comments>
</file>

<file path=xl/sharedStrings.xml><?xml version="1.0" encoding="utf-8"?>
<sst xmlns="http://schemas.openxmlformats.org/spreadsheetml/2006/main" count="30208" uniqueCount="5392">
  <si>
    <t>DAILY PRODUCTION REPORT</t>
  </si>
  <si>
    <t>For Date</t>
  </si>
  <si>
    <t>UNIT = MT</t>
  </si>
  <si>
    <t>DAILY MACHINE PRODUCTION</t>
  </si>
  <si>
    <t>MACHINE</t>
  </si>
  <si>
    <t>Prime</t>
  </si>
  <si>
    <t>Second</t>
  </si>
  <si>
    <t>Baby Coil</t>
  </si>
  <si>
    <t>SCRAP SHEET</t>
  </si>
  <si>
    <t>SCRAP SS/TRIM'</t>
  </si>
  <si>
    <t>CPL</t>
  </si>
  <si>
    <t>MILL</t>
  </si>
  <si>
    <t>REROLLING</t>
  </si>
  <si>
    <t>BAL</t>
  </si>
  <si>
    <t>SLT</t>
  </si>
  <si>
    <t>OFF</t>
  </si>
  <si>
    <t>CTL</t>
  </si>
  <si>
    <t>ACCUMULATION FOR THIS MONTH</t>
  </si>
  <si>
    <t>TOTAL</t>
  </si>
  <si>
    <t>REPORT FINISH GOOD</t>
  </si>
  <si>
    <t>GRADE</t>
  </si>
  <si>
    <t>FG COIL</t>
  </si>
  <si>
    <t>KW2 COIL</t>
  </si>
  <si>
    <t>FG SHEET (PRIME)</t>
  </si>
  <si>
    <t>FG SHEET (KW 2)</t>
  </si>
  <si>
    <t>PREV Cumulative</t>
  </si>
  <si>
    <t>prev Cumulative</t>
  </si>
  <si>
    <t>J1</t>
  </si>
  <si>
    <t>J2</t>
  </si>
  <si>
    <t>J3</t>
  </si>
  <si>
    <t>J4</t>
  </si>
  <si>
    <t>304/L</t>
  </si>
  <si>
    <t>316/L</t>
  </si>
  <si>
    <t>409L</t>
  </si>
  <si>
    <t>Total</t>
  </si>
  <si>
    <t xml:space="preserve">WIP </t>
  </si>
  <si>
    <t>Wait Multi</t>
  </si>
  <si>
    <t>Hold QC</t>
  </si>
  <si>
    <t>RR
(with allocated)</t>
  </si>
  <si>
    <t>Stock RR</t>
  </si>
  <si>
    <t>Stock Without Customer</t>
  </si>
  <si>
    <t/>
  </si>
  <si>
    <t>RAW MATERIAL ON PLANT</t>
  </si>
  <si>
    <t>RM</t>
  </si>
  <si>
    <t>HRAP (1D)</t>
  </si>
  <si>
    <t>CRAP (FH)</t>
  </si>
  <si>
    <t>2B+BA+2D</t>
  </si>
  <si>
    <t>2B (RUST/DENT)</t>
  </si>
  <si>
    <t>Subtotal</t>
  </si>
  <si>
    <t>DATE</t>
  </si>
  <si>
    <t>PREV</t>
  </si>
  <si>
    <t>SHUT DOWN</t>
  </si>
  <si>
    <t>ROLLING</t>
  </si>
  <si>
    <t>RE-ROLLING</t>
  </si>
  <si>
    <t>BA LINE</t>
  </si>
  <si>
    <t>STOP - NEW PROJECT</t>
  </si>
  <si>
    <t xml:space="preserve">BABY COIL </t>
  </si>
  <si>
    <t>Total BBY</t>
  </si>
  <si>
    <t>FG</t>
  </si>
  <si>
    <t>PRIME</t>
  </si>
  <si>
    <t>KW2 SHEET</t>
  </si>
  <si>
    <t>TARGET</t>
  </si>
  <si>
    <t>WIP</t>
  </si>
  <si>
    <t>HOLD SLT</t>
  </si>
  <si>
    <t>1D</t>
  </si>
  <si>
    <t>FH</t>
  </si>
  <si>
    <t>2B+BA</t>
  </si>
  <si>
    <t>DATA RM + WIP</t>
  </si>
  <si>
    <t>LOT</t>
  </si>
  <si>
    <t>ITEM CODE</t>
  </si>
  <si>
    <t>POSITION</t>
  </si>
  <si>
    <t>Supplier Coil No.</t>
  </si>
  <si>
    <t>IMR Coil No.</t>
  </si>
  <si>
    <t>Grade</t>
  </si>
  <si>
    <t>Finish</t>
  </si>
  <si>
    <t>From Thick 
(mm)</t>
  </si>
  <si>
    <t>To Thick</t>
  </si>
  <si>
    <t>ACT THICK MIN</t>
  </si>
  <si>
    <t>ACT THICK MAX</t>
  </si>
  <si>
    <t>Width
(mm)</t>
  </si>
  <si>
    <t>Weight 
(MT)</t>
  </si>
  <si>
    <t>ACT Finish</t>
  </si>
  <si>
    <t>SC</t>
  </si>
  <si>
    <t>CUSTOMER NAME</t>
  </si>
  <si>
    <t>first customer</t>
  </si>
  <si>
    <t>REMARK QC</t>
  </si>
  <si>
    <t>REMARK PPC</t>
  </si>
  <si>
    <t>FH / 1D</t>
  </si>
  <si>
    <t>Supplier</t>
  </si>
  <si>
    <t>Invoice</t>
  </si>
  <si>
    <t>Date Invoice</t>
  </si>
  <si>
    <t>Date Incoming</t>
  </si>
  <si>
    <t xml:space="preserve">TODAY </t>
  </si>
  <si>
    <t>RM Aging</t>
  </si>
  <si>
    <t>BAL Aging</t>
  </si>
  <si>
    <t>Container No.</t>
  </si>
  <si>
    <t>Heat No.</t>
  </si>
  <si>
    <t>Net Weight Incoming
(MT)</t>
  </si>
  <si>
    <t>Gross Weight Incoming
(MT)</t>
  </si>
  <si>
    <t>NETT WEIGHT IMR</t>
  </si>
  <si>
    <t>GROSS WEIGHT IMR</t>
  </si>
  <si>
    <t>FH Aging</t>
  </si>
  <si>
    <t>BOX NUMBER</t>
  </si>
  <si>
    <t>REMARKKK INCOMING</t>
  </si>
  <si>
    <t>Stockan 05.04.17</t>
  </si>
  <si>
    <t>STOCKAN 19.06.2017</t>
  </si>
  <si>
    <t>STOCKAN 04.10.2017</t>
  </si>
  <si>
    <t>STOCKAN 01.02.2018</t>
  </si>
  <si>
    <t>STOCKAN 04.10.2018</t>
  </si>
  <si>
    <t>BAL/STOCK RR/HOLDSLT/STOCK PRIME/STOCK KW2 - transfer to FG 18.07.19</t>
  </si>
  <si>
    <t>20.11.2019</t>
  </si>
  <si>
    <t>COMPARE 02.02.20</t>
  </si>
  <si>
    <t>24.11.2021</t>
  </si>
  <si>
    <t>STOCK NO CUST</t>
  </si>
  <si>
    <t>180322N07-6</t>
  </si>
  <si>
    <t>GU301186C</t>
  </si>
  <si>
    <t>2B</t>
  </si>
  <si>
    <t>STOCK</t>
  </si>
  <si>
    <t>ex syarikat- 2B</t>
  </si>
  <si>
    <r>
      <t xml:space="preserve">Over Heat 30-54m, </t>
    </r>
    <r>
      <rPr>
        <sz val="9"/>
        <color rgb="FFFF0000"/>
        <rFont val="Arial Narrow"/>
        <family val="2"/>
      </rPr>
      <t xml:space="preserve"> DS  Dent Pitting/70 Cm 2 Dots</t>
    </r>
    <r>
      <rPr>
        <sz val="9"/>
        <color rgb="FF000000"/>
        <rFont val="Arial Narrow"/>
        <family val="2"/>
      </rPr>
      <t xml:space="preserve">, Ripple, Heringbone, Scale CR  (Random) , SCR acth Kilap (Velvet) </t>
    </r>
  </si>
  <si>
    <t>6/11/2018, 29.09.2020</t>
  </si>
  <si>
    <t>6/11/2018, 03.10.2020</t>
  </si>
  <si>
    <t>GUANGDONG GUANGXIN CO. LTD.</t>
  </si>
  <si>
    <t>GXGJ-IMR-1803</t>
  </si>
  <si>
    <t>NET PL - BERAT ACUAN</t>
  </si>
  <si>
    <t>OK</t>
  </si>
  <si>
    <t>D08</t>
  </si>
  <si>
    <t>L190810A066-5</t>
  </si>
  <si>
    <t>GU302960A</t>
  </si>
  <si>
    <t>COIL DENT</t>
  </si>
  <si>
    <t>Dent Pitting (Random) 4-5 Dots</t>
  </si>
  <si>
    <t>5/4/2020, 19.07.2020, 30.09.2020</t>
  </si>
  <si>
    <t>GUANGDONG GUANGXIN GOLDTEC HOLDINGS CO, LTD</t>
  </si>
  <si>
    <t>GXGJ-IMR-1912-PL</t>
  </si>
  <si>
    <t>EITU0098185/EMCUXR9278</t>
  </si>
  <si>
    <t>190731L13-5</t>
  </si>
  <si>
    <t>NET PL</t>
  </si>
  <si>
    <t>C09</t>
  </si>
  <si>
    <t>ZG400025</t>
  </si>
  <si>
    <t>NO.1</t>
  </si>
  <si>
    <t>GULUNG ULANG</t>
  </si>
  <si>
    <t>ARS TECHNOLOGIES</t>
  </si>
  <si>
    <t>ZGSHFTZ-SB/EX160701</t>
  </si>
  <si>
    <t>CAIU2985269</t>
  </si>
  <si>
    <t>RM - B16</t>
  </si>
  <si>
    <t>ZG400026</t>
  </si>
  <si>
    <t>N1806010209-2</t>
  </si>
  <si>
    <t>GI360020D</t>
  </si>
  <si>
    <t>316L</t>
  </si>
  <si>
    <t>DAI ICHI</t>
  </si>
  <si>
    <t>2/24/2020, 03.03.2020</t>
  </si>
  <si>
    <t>2/24/2020, 01.03.2020, 03.03.2020</t>
  </si>
  <si>
    <t>2/29/2020, 02.03.2020</t>
  </si>
  <si>
    <t>3/2/2020, 04.03.2020</t>
  </si>
  <si>
    <t>PT INDONESIA GUANG CHING NICKEL AND STAINLESS STEEL INDUSTRY</t>
  </si>
  <si>
    <t>GCNS18/12001-ARC</t>
  </si>
  <si>
    <t>Y180206A03-4</t>
  </si>
  <si>
    <t>C10</t>
  </si>
  <si>
    <t>K1906252410B</t>
  </si>
  <si>
    <t>GU250017</t>
  </si>
  <si>
    <t>METALUTAMA</t>
  </si>
  <si>
    <t>12/12/2019, 05.02.2020</t>
  </si>
  <si>
    <t>GXGJ-IMR-1908-PL</t>
  </si>
  <si>
    <t>EGHU3573945</t>
  </si>
  <si>
    <t>N190624AQ082-03</t>
  </si>
  <si>
    <t>A04</t>
  </si>
  <si>
    <t>RM SLT</t>
  </si>
  <si>
    <t>SF19071173</t>
  </si>
  <si>
    <t>HJ202815</t>
  </si>
  <si>
    <t>BA</t>
  </si>
  <si>
    <t>CHECK INCOMING COIL 24.03.2021 - OK BA, FULL WIDTH COIL ORDER</t>
  </si>
  <si>
    <t>HENAN JINHUI INTERNATIONAL TRADE Co. Ltd</t>
  </si>
  <si>
    <t>JHJ19-0059</t>
  </si>
  <si>
    <t>H19-07B236-1</t>
  </si>
  <si>
    <t>C01</t>
  </si>
  <si>
    <t xml:space="preserve">FA61118260N02 </t>
  </si>
  <si>
    <t>TS300449A1</t>
  </si>
  <si>
    <t>ex - shelving trading</t>
  </si>
  <si>
    <t>3/17/2017,31.03.17</t>
  </si>
  <si>
    <t>17-03-2017, 02.04.2017</t>
  </si>
  <si>
    <t>3/29/2017, 13.07.2017</t>
  </si>
  <si>
    <t>FG 20.01.20 - Transfer WIP</t>
  </si>
  <si>
    <t xml:space="preserve">TISCO </t>
  </si>
  <si>
    <t>1701/INDO08A</t>
  </si>
  <si>
    <t>MRSU0115562</t>
  </si>
  <si>
    <t xml:space="preserve">A1604844 </t>
  </si>
  <si>
    <t>STOCK PRIME - transfer to FG 19.07.2019</t>
  </si>
  <si>
    <t>B11</t>
  </si>
  <si>
    <t>B3</t>
  </si>
  <si>
    <t>87S076535-2</t>
  </si>
  <si>
    <t>GU400077D</t>
  </si>
  <si>
    <t>ex cahaya citra</t>
  </si>
  <si>
    <t>GXGJ-IMR-1818-PL</t>
  </si>
  <si>
    <t>TCLU3869655</t>
  </si>
  <si>
    <t>LZ147600</t>
  </si>
  <si>
    <t>WHITE FINISH, UNANNEALED FINISH, NET PL</t>
  </si>
  <si>
    <t>N1806220612-1</t>
  </si>
  <si>
    <t>TI-TS301450A</t>
  </si>
  <si>
    <t>ex leo metal</t>
  </si>
  <si>
    <t>10/22/2018, 25.10.2018, 29.10.2018</t>
  </si>
  <si>
    <t>10/22/2018, 02.11.2018</t>
  </si>
  <si>
    <t>10/23/2018, 13.06.2019</t>
  </si>
  <si>
    <t>10/24/2018, 26.10.2018, 16.11.2018</t>
  </si>
  <si>
    <t>PT. INDONESIA TSINGSHAN STAINLESS STEEL</t>
  </si>
  <si>
    <t>ITSS18/06010-ARC</t>
  </si>
  <si>
    <t>Y180503A07-2</t>
  </si>
  <si>
    <t>88S086001B-2</t>
  </si>
  <si>
    <t>HK400085</t>
  </si>
  <si>
    <t>2BB</t>
  </si>
  <si>
    <t>HAINAN KONKA MATERIAL TECHNOLOGY CO, .LTD</t>
  </si>
  <si>
    <t>HK-TN20180801</t>
  </si>
  <si>
    <t>OOLU1158636</t>
  </si>
  <si>
    <t>177-C</t>
  </si>
  <si>
    <t>N1901050448-2</t>
  </si>
  <si>
    <t>TI-TS302236B</t>
  </si>
  <si>
    <t>ex ramani</t>
  </si>
  <si>
    <t>4/26/2019, 08.05.2019, 23.05.2019</t>
  </si>
  <si>
    <t>4/27/2019, 24.05.2019</t>
  </si>
  <si>
    <t>4/27/2019, 25.05.2019</t>
  </si>
  <si>
    <t>ITSS18/12003-ARC</t>
  </si>
  <si>
    <t>Y181110E02-5</t>
  </si>
  <si>
    <t>C11</t>
  </si>
  <si>
    <t>N1908280215-2</t>
  </si>
  <si>
    <t>TI-TS303835A</t>
  </si>
  <si>
    <t>JINDAL SAW LIMITED</t>
  </si>
  <si>
    <t>ITSS19/10001-ARC</t>
  </si>
  <si>
    <t>Y190726C07-4</t>
  </si>
  <si>
    <t>BARU</t>
  </si>
  <si>
    <t>N1912030225-1</t>
  </si>
  <si>
    <t>LTI-TS303872A</t>
  </si>
  <si>
    <t>304L</t>
  </si>
  <si>
    <t>STOCK MULTI</t>
  </si>
  <si>
    <t>MELI</t>
  </si>
  <si>
    <t>BUTEK KUSAM,,,SCRACTH SLIP ACAK SEBAR    (QC 31.10.2020) NOT OKE MELI 23.08.2021</t>
  </si>
  <si>
    <t>6/10/2020, 28.07.2020</t>
  </si>
  <si>
    <t>6/10/2020, 30.07.2020</t>
  </si>
  <si>
    <t>6/15/2020, 29.09.2020</t>
  </si>
  <si>
    <t>7/22/2020, 23.08.2021</t>
  </si>
  <si>
    <t>ITSS19/12001-ARC</t>
  </si>
  <si>
    <t>Y190819D11-2</t>
  </si>
  <si>
    <t>COMPARE QC 17.07.2020</t>
  </si>
  <si>
    <t>N1909300316-2</t>
  </si>
  <si>
    <t>LTI-TS303710A3</t>
  </si>
  <si>
    <t>BNM</t>
  </si>
  <si>
    <t>Y190915D24-5</t>
  </si>
  <si>
    <t>N2001140237-1</t>
  </si>
  <si>
    <t>TI-TS203366A2</t>
  </si>
  <si>
    <t>HOME ZONE</t>
  </si>
  <si>
    <t>8/9/2020, 11.08.2020, 21.12.2020</t>
  </si>
  <si>
    <t>8/9/2020, 11.08.2020, , 21.12.2020</t>
  </si>
  <si>
    <t>8/9/2020, 28.09.2020, 22.12.2020</t>
  </si>
  <si>
    <t>8/10/2020, 18.02.2021</t>
  </si>
  <si>
    <t>ITSS19/12003-ARC</t>
  </si>
  <si>
    <t>Y191019D09-4</t>
  </si>
  <si>
    <t>K2006133103A</t>
  </si>
  <si>
    <t>XG203415D</t>
  </si>
  <si>
    <t>PRATAMA</t>
  </si>
  <si>
    <t>LEPAS SPOOL BESI</t>
  </si>
  <si>
    <t>3/24/2021, 29.03.2021</t>
  </si>
  <si>
    <t>3/28/2021, 29.03.2021</t>
  </si>
  <si>
    <t>3/29/2021, 26.10.2021</t>
  </si>
  <si>
    <t>XIAMEN GREAT CORPORATION</t>
  </si>
  <si>
    <t>XGC-IMR20200707-1</t>
  </si>
  <si>
    <t>CSNU1949476</t>
  </si>
  <si>
    <t>N200612AY051-04</t>
  </si>
  <si>
    <t>N2009090205-1</t>
  </si>
  <si>
    <t>TI-GI304319C</t>
  </si>
  <si>
    <t>RIDDHI SIDDHI</t>
  </si>
  <si>
    <t>HOLD - DENT PITTING - OK RR BY QC 31.10.2020</t>
  </si>
  <si>
    <t>10/21/2020, 01.03.2021</t>
  </si>
  <si>
    <t>10/22/2020, 01.03.2021</t>
  </si>
  <si>
    <t>GCNS20/WC07007-ARC</t>
  </si>
  <si>
    <t>Y200120F09-6</t>
  </si>
  <si>
    <t>C17</t>
  </si>
  <si>
    <t>K2009073612B</t>
  </si>
  <si>
    <t>XG203585C</t>
  </si>
  <si>
    <t>M/S VAISHNAV EXPORTS</t>
  </si>
  <si>
    <t>6/17/2021, 19.10.2021</t>
  </si>
  <si>
    <t>XGC-IMR20200707-3</t>
  </si>
  <si>
    <t>CMAU3066650</t>
  </si>
  <si>
    <t>N200906AR071-01</t>
  </si>
  <si>
    <t>C08</t>
  </si>
  <si>
    <t>K201032205B</t>
  </si>
  <si>
    <t>XG203758C</t>
  </si>
  <si>
    <t>KALIBESAR</t>
  </si>
  <si>
    <t>OVER THICK</t>
  </si>
  <si>
    <t>XGC-IMR20201026-1</t>
  </si>
  <si>
    <t>EGHU3451269</t>
  </si>
  <si>
    <t>N201021PA04</t>
  </si>
  <si>
    <t>K2012050114B</t>
  </si>
  <si>
    <t>XG203903A</t>
  </si>
  <si>
    <t>STOCK DOMESTIK</t>
  </si>
  <si>
    <t>KUNAL HOUSEWARES</t>
  </si>
  <si>
    <t>GOSONG</t>
  </si>
  <si>
    <t>2/27/2021, 15.03.2021</t>
  </si>
  <si>
    <t>2/28/2021, 20.03.2021</t>
  </si>
  <si>
    <t>3/2/2021, 25.030.2021</t>
  </si>
  <si>
    <t>3/15/2021, 26.03.2021</t>
  </si>
  <si>
    <t>XGC-IMR20201116-2</t>
  </si>
  <si>
    <t>EITU0116843</t>
  </si>
  <si>
    <t>N201201AR14</t>
  </si>
  <si>
    <t>C16</t>
  </si>
  <si>
    <t>K2012050149B</t>
  </si>
  <si>
    <t>XG203936B</t>
  </si>
  <si>
    <t>KIMFU</t>
  </si>
  <si>
    <t>RR ORDER PPIC</t>
  </si>
  <si>
    <t>2/7/2021, 19.02.2021, 22.02.2021, 04.03.2021, 27.03.2021</t>
  </si>
  <si>
    <t>2/7/2021, 19.02.2021, 28.03.2021</t>
  </si>
  <si>
    <t>2/11/2021, 20.02.2021</t>
  </si>
  <si>
    <t>2/20/2021, 02.11.2021</t>
  </si>
  <si>
    <t>TEMU3927527</t>
  </si>
  <si>
    <t>N201201AQ08</t>
  </si>
  <si>
    <t>K2012040408B</t>
  </si>
  <si>
    <t>XG203968B</t>
  </si>
  <si>
    <t>ACT MINUS</t>
  </si>
  <si>
    <t>2/24/2021, 25.03.2021</t>
  </si>
  <si>
    <t>2/25/2021, 27.03.2021</t>
  </si>
  <si>
    <t>3/24/2021, 02.11.2021</t>
  </si>
  <si>
    <t>EITU0036120</t>
  </si>
  <si>
    <t>N201202PA01</t>
  </si>
  <si>
    <t>K2012221022B</t>
  </si>
  <si>
    <t>EM240048</t>
  </si>
  <si>
    <t>ENRICHMENT METALS &amp; INDUSTRIAL LTD</t>
  </si>
  <si>
    <t>INV-IMR20201224</t>
  </si>
  <si>
    <t>TEMU0655359</t>
  </si>
  <si>
    <t>N201201220AQ15</t>
  </si>
  <si>
    <t>K2012221012A</t>
  </si>
  <si>
    <t>EM240049</t>
  </si>
  <si>
    <t>N201201221AQ08</t>
  </si>
  <si>
    <t>K2012250334A</t>
  </si>
  <si>
    <t>EM240050</t>
  </si>
  <si>
    <t>EITU0361183</t>
  </si>
  <si>
    <t>N201201221AR07</t>
  </si>
  <si>
    <t>K2012221012B</t>
  </si>
  <si>
    <t>EM240051</t>
  </si>
  <si>
    <t>K2012250334B</t>
  </si>
  <si>
    <t>EM240052</t>
  </si>
  <si>
    <t>K2012203617B</t>
  </si>
  <si>
    <t>EM250021</t>
  </si>
  <si>
    <t>INV-IMR20210112</t>
  </si>
  <si>
    <t>BMOU2861329</t>
  </si>
  <si>
    <t>N201220AT10</t>
  </si>
  <si>
    <t>K2012203609B</t>
  </si>
  <si>
    <t>EM250022</t>
  </si>
  <si>
    <t>N201220AT03</t>
  </si>
  <si>
    <t>K2012203616B</t>
  </si>
  <si>
    <t>EM250023</t>
  </si>
  <si>
    <t>N201220AT05</t>
  </si>
  <si>
    <t>K2012181647B</t>
  </si>
  <si>
    <t>EM250024</t>
  </si>
  <si>
    <t>GLDU5744182</t>
  </si>
  <si>
    <t>N201218AQ06</t>
  </si>
  <si>
    <t>K2012203547B</t>
  </si>
  <si>
    <t>EM250025</t>
  </si>
  <si>
    <t>N201220AQ01</t>
  </si>
  <si>
    <t>K2012203601B</t>
  </si>
  <si>
    <t>EM250026</t>
  </si>
  <si>
    <t>N201220AT01</t>
  </si>
  <si>
    <t>WAIT MULTI</t>
  </si>
  <si>
    <t>GJ21001</t>
  </si>
  <si>
    <t>GU304646</t>
  </si>
  <si>
    <t>STOCK OK RR</t>
  </si>
  <si>
    <t>CHECK COIL QC, MANAGEMENT+MR LIN (NOT OK)</t>
  </si>
  <si>
    <t>6/18/2021, 27.02.2022</t>
  </si>
  <si>
    <t>4/8/2021, 25.02.2022</t>
  </si>
  <si>
    <t>GXGJ-IMR-2102-PL</t>
  </si>
  <si>
    <t>OOLU2845452</t>
  </si>
  <si>
    <t>XFHR210130</t>
  </si>
  <si>
    <t>K2012050127B</t>
  </si>
  <si>
    <t>EM204052B</t>
  </si>
  <si>
    <t>3/25/2021, 27.03.2021</t>
  </si>
  <si>
    <t>ERM-IMR20201211-2</t>
  </si>
  <si>
    <t>EGHU3281178</t>
  </si>
  <si>
    <t>N201201AQ10</t>
  </si>
  <si>
    <t>C15</t>
  </si>
  <si>
    <t>N2012100216-1</t>
  </si>
  <si>
    <t>TI-GI304663C</t>
  </si>
  <si>
    <t>304/304L</t>
  </si>
  <si>
    <t>RAHUL FERROMET</t>
  </si>
  <si>
    <t>MINUS WIDTH 764</t>
  </si>
  <si>
    <t>GCNS20/WC11018-ARC</t>
  </si>
  <si>
    <t>Y201108C45-6</t>
  </si>
  <si>
    <t>304/304 L</t>
  </si>
  <si>
    <t>N1909120154-A-2</t>
  </si>
  <si>
    <t>TI-GI304722B</t>
  </si>
  <si>
    <t>TRIAL - GLOSS RENDAH 50</t>
  </si>
  <si>
    <t>Y190830D12-6</t>
  </si>
  <si>
    <t>N2102070107-2</t>
  </si>
  <si>
    <t>TI-GI304776B</t>
  </si>
  <si>
    <t>STOCK MULTISLIT</t>
  </si>
  <si>
    <t>PRISTINE</t>
  </si>
  <si>
    <t>HOLD - SCRATH SLIP - OK MULTI</t>
  </si>
  <si>
    <t>4/5/2021, 07.04.2021</t>
  </si>
  <si>
    <t>4/6/2021, 08.04.2021</t>
  </si>
  <si>
    <t>GCNS20/WC12006-ARC</t>
  </si>
  <si>
    <t>Y201213A30-5</t>
  </si>
  <si>
    <t>STOCK RR</t>
  </si>
  <si>
    <t>K2103030737A</t>
  </si>
  <si>
    <t>GU204119</t>
  </si>
  <si>
    <t>RUST</t>
  </si>
  <si>
    <t>N210301AR02</t>
  </si>
  <si>
    <t>D13</t>
  </si>
  <si>
    <t>RR</t>
  </si>
  <si>
    <t>RR ALLOCATED</t>
  </si>
  <si>
    <t>K2103030717A</t>
  </si>
  <si>
    <t>EM204215</t>
  </si>
  <si>
    <t>STOCK METALUTAMA</t>
  </si>
  <si>
    <t>CSNU1072005</t>
  </si>
  <si>
    <t>N210301AR09</t>
  </si>
  <si>
    <t>D10</t>
  </si>
  <si>
    <t>K2103030704A</t>
  </si>
  <si>
    <t>EM204220B</t>
  </si>
  <si>
    <t>CITRA MASINDO</t>
  </si>
  <si>
    <t>SCRATCH SLIP</t>
  </si>
  <si>
    <t>TEMU0200088</t>
  </si>
  <si>
    <t>N210228AT08</t>
  </si>
  <si>
    <t>D14</t>
  </si>
  <si>
    <t>K2103040118B</t>
  </si>
  <si>
    <t>EM204239B</t>
  </si>
  <si>
    <t>KEYUR KITCHENWARE</t>
  </si>
  <si>
    <t>HOLD DENT CEKLEK</t>
  </si>
  <si>
    <t>6/19/2021, 25.06.2021, 13.12.2021</t>
  </si>
  <si>
    <t>6/19/2021, 25.10.2021, 14.12.2021</t>
  </si>
  <si>
    <t>6/25/2021, 10.12.2021, 16.12.2021</t>
  </si>
  <si>
    <t>10/23/2021, 16.12.2021</t>
  </si>
  <si>
    <t>SEGU2887573</t>
  </si>
  <si>
    <t>N210301AR03</t>
  </si>
  <si>
    <t>B09</t>
  </si>
  <si>
    <t>K2103105138A</t>
  </si>
  <si>
    <t>GU204245</t>
  </si>
  <si>
    <t>GXGJ-IMR-2103-PL-1</t>
  </si>
  <si>
    <t>N210308AR09</t>
  </si>
  <si>
    <t>B05</t>
  </si>
  <si>
    <t>K2103093020A</t>
  </si>
  <si>
    <t>EM204275</t>
  </si>
  <si>
    <t>OK RR-PROBLEM ROLL TEMBUS</t>
  </si>
  <si>
    <t>EGHU3910882</t>
  </si>
  <si>
    <t>N210228AQ12</t>
  </si>
  <si>
    <t>K2103153501A</t>
  </si>
  <si>
    <t>EM204277</t>
  </si>
  <si>
    <t>N210308AR18</t>
  </si>
  <si>
    <t>K2103153501B</t>
  </si>
  <si>
    <t>EM204278</t>
  </si>
  <si>
    <t>EITU0191934</t>
  </si>
  <si>
    <t>K2103153511A</t>
  </si>
  <si>
    <t>EM204285</t>
  </si>
  <si>
    <t>TRIYUDA</t>
  </si>
  <si>
    <t>HOLD - OVER THICK ACTO.T 115-117MM</t>
  </si>
  <si>
    <t>EGHU3902228</t>
  </si>
  <si>
    <t>N210308AQ11</t>
  </si>
  <si>
    <t>K2103030709A</t>
  </si>
  <si>
    <t>EM204301</t>
  </si>
  <si>
    <t>GLDU5789274</t>
  </si>
  <si>
    <t>K2103105122A</t>
  </si>
  <si>
    <t>EM204309</t>
  </si>
  <si>
    <t>BMOU1078387</t>
  </si>
  <si>
    <t>N210308AR15</t>
  </si>
  <si>
    <t>K2103105123B</t>
  </si>
  <si>
    <t>EM204312</t>
  </si>
  <si>
    <t>BEAU2110339</t>
  </si>
  <si>
    <t>K2103105149B</t>
  </si>
  <si>
    <t>EM204316B</t>
  </si>
  <si>
    <t>SANTOSH STEEL</t>
  </si>
  <si>
    <t>DRYU2782370</t>
  </si>
  <si>
    <t>N210308AQ06</t>
  </si>
  <si>
    <t>A06</t>
  </si>
  <si>
    <t>K2104044611B</t>
  </si>
  <si>
    <t>HK204332</t>
  </si>
  <si>
    <t>HAINAN KONKA MATERIAL TECHNOLOGY</t>
  </si>
  <si>
    <t>EISU2183723</t>
  </si>
  <si>
    <t>N210404AQ04</t>
  </si>
  <si>
    <t>K2104093413A</t>
  </si>
  <si>
    <t>HK204337</t>
  </si>
  <si>
    <t>EITU0507112</t>
  </si>
  <si>
    <t>N210403AT12</t>
  </si>
  <si>
    <t>K2104093413B</t>
  </si>
  <si>
    <t>HK204338</t>
  </si>
  <si>
    <t>DRYU2706200</t>
  </si>
  <si>
    <t>K2104062301A</t>
  </si>
  <si>
    <t>HK204339</t>
  </si>
  <si>
    <t>N210404AR04</t>
  </si>
  <si>
    <t>K2104093411A</t>
  </si>
  <si>
    <t>HK204341</t>
  </si>
  <si>
    <t>GLDU5744310</t>
  </si>
  <si>
    <t>K2104093411B</t>
  </si>
  <si>
    <t>HK204342</t>
  </si>
  <si>
    <t>K2104062318A</t>
  </si>
  <si>
    <t>HK204343</t>
  </si>
  <si>
    <t>N210403AQ10</t>
  </si>
  <si>
    <t>K2104044610B</t>
  </si>
  <si>
    <t>HK204348</t>
  </si>
  <si>
    <t>EGHU3893738</t>
  </si>
  <si>
    <t>N210404AQ06</t>
  </si>
  <si>
    <t>K2104062304A</t>
  </si>
  <si>
    <t>HK204349</t>
  </si>
  <si>
    <t>N210404AR05</t>
  </si>
  <si>
    <t>K2104053605A</t>
  </si>
  <si>
    <t>HK204357</t>
  </si>
  <si>
    <t>DRYU2384510</t>
  </si>
  <si>
    <t>N210403AQ13</t>
  </si>
  <si>
    <t>K2104053605B</t>
  </si>
  <si>
    <t>HK204358</t>
  </si>
  <si>
    <t>K2104053606A</t>
  </si>
  <si>
    <t>HK204363</t>
  </si>
  <si>
    <t>EISU2200409</t>
  </si>
  <si>
    <t>N210403AT10</t>
  </si>
  <si>
    <t>K2104053603A</t>
  </si>
  <si>
    <t>HK204367</t>
  </si>
  <si>
    <t>EITU0185269</t>
  </si>
  <si>
    <t>N210403AQ14</t>
  </si>
  <si>
    <t>K2104044615B</t>
  </si>
  <si>
    <t>HK204370</t>
  </si>
  <si>
    <t>EISU2235935</t>
  </si>
  <si>
    <t>N210404AQ03</t>
  </si>
  <si>
    <t>K2103153512A</t>
  </si>
  <si>
    <t>HK204373</t>
  </si>
  <si>
    <t>EGHU3052084</t>
  </si>
  <si>
    <t>N210308AQ10</t>
  </si>
  <si>
    <t>K2104093403B</t>
  </si>
  <si>
    <t>HK204382</t>
  </si>
  <si>
    <t>EISU2064220</t>
  </si>
  <si>
    <t>K2104093405B</t>
  </si>
  <si>
    <t>HK204384</t>
  </si>
  <si>
    <t>EITU3004169</t>
  </si>
  <si>
    <t>N210403AR08</t>
  </si>
  <si>
    <t>K2104093414A</t>
  </si>
  <si>
    <t>HK204385</t>
  </si>
  <si>
    <t>K2104093414B</t>
  </si>
  <si>
    <t>HK204386</t>
  </si>
  <si>
    <t>K2104093412A</t>
  </si>
  <si>
    <t>HK204389</t>
  </si>
  <si>
    <t>EITU0312152</t>
  </si>
  <si>
    <t>RM 1D</t>
  </si>
  <si>
    <t>K2104093423A</t>
  </si>
  <si>
    <t>HK204397</t>
  </si>
  <si>
    <t>EMCU3924941</t>
  </si>
  <si>
    <t>N210403AQ12</t>
  </si>
  <si>
    <t>K2104093423B</t>
  </si>
  <si>
    <t>HK204398</t>
  </si>
  <si>
    <t>K2104044633A</t>
  </si>
  <si>
    <t>HK204399</t>
  </si>
  <si>
    <t>HMCU3023252</t>
  </si>
  <si>
    <t>N210403AR12</t>
  </si>
  <si>
    <t>K2104093418B</t>
  </si>
  <si>
    <t>HK204402</t>
  </si>
  <si>
    <t>DFSU2805610</t>
  </si>
  <si>
    <t>N210403AR11</t>
  </si>
  <si>
    <t>K2104053550A</t>
  </si>
  <si>
    <t>HK204403</t>
  </si>
  <si>
    <t>K2103221704B</t>
  </si>
  <si>
    <t>GU310015</t>
  </si>
  <si>
    <t>GXGJ-IMR-2106/2107-PL</t>
  </si>
  <si>
    <t>EGSU3039770</t>
  </si>
  <si>
    <t>N210317AY05</t>
  </si>
  <si>
    <t>K2102163609A</t>
  </si>
  <si>
    <t>GU310016</t>
  </si>
  <si>
    <t>N210209AY10</t>
  </si>
  <si>
    <t>K2102163609B</t>
  </si>
  <si>
    <t>GU310017</t>
  </si>
  <si>
    <t>EGHU3436198</t>
  </si>
  <si>
    <t>K2102152404A</t>
  </si>
  <si>
    <t>GU310018</t>
  </si>
  <si>
    <t>EITU0105221</t>
  </si>
  <si>
    <t>N210210AX15</t>
  </si>
  <si>
    <t>K2102152404B</t>
  </si>
  <si>
    <t>GU310019</t>
  </si>
  <si>
    <t>K2104053518A</t>
  </si>
  <si>
    <t>GU204404</t>
  </si>
  <si>
    <t>STOCK CITRA MASINDO</t>
  </si>
  <si>
    <t>6/29/2021, 25.10.2021</t>
  </si>
  <si>
    <t>6/30/2021, 08.11.2021</t>
  </si>
  <si>
    <t>GXGJ-IMR-2103-PL-2</t>
  </si>
  <si>
    <t>N210403AT13</t>
  </si>
  <si>
    <t>B08</t>
  </si>
  <si>
    <t>K2104053502B</t>
  </si>
  <si>
    <t>GU204423</t>
  </si>
  <si>
    <t>N210404AQ18</t>
  </si>
  <si>
    <t>K2104053540A</t>
  </si>
  <si>
    <t>GU204430B</t>
  </si>
  <si>
    <t>JASMINDO</t>
  </si>
  <si>
    <t>GXGJ-IMR-2104-PL</t>
  </si>
  <si>
    <t>TEMU3850410</t>
  </si>
  <si>
    <t>N210404AQ05</t>
  </si>
  <si>
    <t>K2104053507A</t>
  </si>
  <si>
    <t>GU204438</t>
  </si>
  <si>
    <t>EISU2185691</t>
  </si>
  <si>
    <t>N210403AT16</t>
  </si>
  <si>
    <t>K2104062314A</t>
  </si>
  <si>
    <t>GU204450</t>
  </si>
  <si>
    <t>K2104062314B</t>
  </si>
  <si>
    <t>GU204451</t>
  </si>
  <si>
    <t>K2104053528B</t>
  </si>
  <si>
    <t>GU204459</t>
  </si>
  <si>
    <t>EITU0530616</t>
  </si>
  <si>
    <t>N210404AR06</t>
  </si>
  <si>
    <t>K2104044617A</t>
  </si>
  <si>
    <t>GU204467B</t>
  </si>
  <si>
    <t>7/11/2021, 28.07.2021</t>
  </si>
  <si>
    <t>EGSU3039300</t>
  </si>
  <si>
    <t>D11</t>
  </si>
  <si>
    <t>K2104044602A</t>
  </si>
  <si>
    <t>GU204483</t>
  </si>
  <si>
    <t>DRYU2256144</t>
  </si>
  <si>
    <t>N210404AT06</t>
  </si>
  <si>
    <t>K2104044612B</t>
  </si>
  <si>
    <t>GU204488C</t>
  </si>
  <si>
    <t>EITU3042298</t>
  </si>
  <si>
    <t>N210404AT04</t>
  </si>
  <si>
    <t>K2104044626A</t>
  </si>
  <si>
    <t>GU204491</t>
  </si>
  <si>
    <t>EGSU3058656</t>
  </si>
  <si>
    <t>N210404AT05</t>
  </si>
  <si>
    <t>K2104062303A</t>
  </si>
  <si>
    <t>GU204494</t>
  </si>
  <si>
    <t>N210404AR03</t>
  </si>
  <si>
    <t>K2104062310B</t>
  </si>
  <si>
    <t>GU204499</t>
  </si>
  <si>
    <t>N210403AR16</t>
  </si>
  <si>
    <t>K2104053546B</t>
  </si>
  <si>
    <t>EM204503</t>
  </si>
  <si>
    <t>SITU2797396</t>
  </si>
  <si>
    <t>N210403AQ16</t>
  </si>
  <si>
    <t>A15</t>
  </si>
  <si>
    <t>K2104062317B</t>
  </si>
  <si>
    <t>EM204507</t>
  </si>
  <si>
    <t>BEAU2695650</t>
  </si>
  <si>
    <t>N210403AR09</t>
  </si>
  <si>
    <t>K2104093416B</t>
  </si>
  <si>
    <t>EM204522</t>
  </si>
  <si>
    <t>SUPRA TERATAI</t>
  </si>
  <si>
    <t>OVERTHICKNESS</t>
  </si>
  <si>
    <t>SEGU2558665</t>
  </si>
  <si>
    <t>N210403AT11</t>
  </si>
  <si>
    <t>K2104186913A</t>
  </si>
  <si>
    <t>EM204527</t>
  </si>
  <si>
    <t>INV-IMR20210225-2</t>
  </si>
  <si>
    <t>CMAU0711092</t>
  </si>
  <si>
    <t>N210417AY06</t>
  </si>
  <si>
    <t>K2104186912A</t>
  </si>
  <si>
    <t>EM204535</t>
  </si>
  <si>
    <t>CMAU1884410</t>
  </si>
  <si>
    <t>N210417AT07</t>
  </si>
  <si>
    <t>K2104186915A</t>
  </si>
  <si>
    <t>EM204537</t>
  </si>
  <si>
    <t>CMAU1424477</t>
  </si>
  <si>
    <t>K2104053547A</t>
  </si>
  <si>
    <t>EM204545</t>
  </si>
  <si>
    <t>OVERTHICK</t>
  </si>
  <si>
    <t>TEMU2138020</t>
  </si>
  <si>
    <t>K2104186905A</t>
  </si>
  <si>
    <t>EM204560</t>
  </si>
  <si>
    <t>HK METALS UTAMA</t>
  </si>
  <si>
    <t>CXDU1030253</t>
  </si>
  <si>
    <t>N210417AR12</t>
  </si>
  <si>
    <t>K2105205404A</t>
  </si>
  <si>
    <t>HK204568</t>
  </si>
  <si>
    <t>IMTU3058213</t>
  </si>
  <si>
    <t>N210516AS05</t>
  </si>
  <si>
    <t>K2105205401A</t>
  </si>
  <si>
    <t>HK204570</t>
  </si>
  <si>
    <t>N210516AT12</t>
  </si>
  <si>
    <t>K2105205350A</t>
  </si>
  <si>
    <t>HK204572</t>
  </si>
  <si>
    <t>EGHU3542707</t>
  </si>
  <si>
    <t>N210516AR06</t>
  </si>
  <si>
    <t>K2105205402B</t>
  </si>
  <si>
    <t>HK204575B</t>
  </si>
  <si>
    <t>EGHU3371841</t>
  </si>
  <si>
    <t>K2105205326A</t>
  </si>
  <si>
    <t>HK204576</t>
  </si>
  <si>
    <t>EGSU3059992</t>
  </si>
  <si>
    <t>N210517AT02</t>
  </si>
  <si>
    <t>K2105205326B</t>
  </si>
  <si>
    <t>HK204577B</t>
  </si>
  <si>
    <t>EISU2262062</t>
  </si>
  <si>
    <t>K2105190513B</t>
  </si>
  <si>
    <t>HK204579</t>
  </si>
  <si>
    <t>EGHU3841246</t>
  </si>
  <si>
    <t>N210516AQ07</t>
  </si>
  <si>
    <t>K2104053523A</t>
  </si>
  <si>
    <t>HK204582B</t>
  </si>
  <si>
    <t>MUNDUR SLT 02.01.22 - LAMINASI</t>
  </si>
  <si>
    <t>EISU2174613</t>
  </si>
  <si>
    <t>N210403AR14</t>
  </si>
  <si>
    <t>K2104093426A</t>
  </si>
  <si>
    <t>HK204586</t>
  </si>
  <si>
    <t>TEMU4535074</t>
  </si>
  <si>
    <t>N210403AQ11</t>
  </si>
  <si>
    <t>K2105071103A</t>
  </si>
  <si>
    <t>HK204588</t>
  </si>
  <si>
    <t>TEMU0480688</t>
  </si>
  <si>
    <t>N210506AQ14</t>
  </si>
  <si>
    <t>K2103205047B</t>
  </si>
  <si>
    <t>HK204591</t>
  </si>
  <si>
    <t>EISU2048554</t>
  </si>
  <si>
    <t>N210319AT09</t>
  </si>
  <si>
    <t>K2104044638A</t>
  </si>
  <si>
    <t>HK204594</t>
  </si>
  <si>
    <t>EITU3124842</t>
  </si>
  <si>
    <t>C07</t>
  </si>
  <si>
    <t>K2104044635B</t>
  </si>
  <si>
    <t>HK204616</t>
  </si>
  <si>
    <t>KELUARKAN DARI MANDREL</t>
  </si>
  <si>
    <t>11/15/2021, 29.11.2021, 30.11.2021, 04.12.2021</t>
  </si>
  <si>
    <t>11/15/2021, 04.12.2021</t>
  </si>
  <si>
    <t>11/17/2021, 28.01.2022</t>
  </si>
  <si>
    <t>K2105205347A</t>
  </si>
  <si>
    <t>HK204619</t>
  </si>
  <si>
    <t>EMCU3915235</t>
  </si>
  <si>
    <t>N210516AQ16</t>
  </si>
  <si>
    <t>K2105205347B</t>
  </si>
  <si>
    <t>HK204620</t>
  </si>
  <si>
    <t>K2105205318A</t>
  </si>
  <si>
    <t>HK204622</t>
  </si>
  <si>
    <t>N210517AQ01</t>
  </si>
  <si>
    <t>K2105190503A</t>
  </si>
  <si>
    <t>HK204624</t>
  </si>
  <si>
    <t>TGCU2017845</t>
  </si>
  <si>
    <t>N210516AQ13</t>
  </si>
  <si>
    <t>K2104180608B</t>
  </si>
  <si>
    <t>HK204631</t>
  </si>
  <si>
    <t>EITU0324092</t>
  </si>
  <si>
    <t>N210417AQ10</t>
  </si>
  <si>
    <t>K2104180639A</t>
  </si>
  <si>
    <t>HK204640</t>
  </si>
  <si>
    <t>EITU0322649</t>
  </si>
  <si>
    <t>N210417AQ09</t>
  </si>
  <si>
    <t>K2104186904A</t>
  </si>
  <si>
    <t>HK204641</t>
  </si>
  <si>
    <t>TEMU0767929</t>
  </si>
  <si>
    <t>N210417AT05</t>
  </si>
  <si>
    <t>K2104180619A</t>
  </si>
  <si>
    <t>HK204652</t>
  </si>
  <si>
    <t>TCLU3612076</t>
  </si>
  <si>
    <t>N210417AR09</t>
  </si>
  <si>
    <t>K2104180610B</t>
  </si>
  <si>
    <t>HK204663</t>
  </si>
  <si>
    <t>TEMU3686456</t>
  </si>
  <si>
    <t>N210417AT11</t>
  </si>
  <si>
    <t>K2104230601B</t>
  </si>
  <si>
    <t>HK204668</t>
  </si>
  <si>
    <t>N210417AQ13</t>
  </si>
  <si>
    <t>K2104180530B</t>
  </si>
  <si>
    <t>HK204670</t>
  </si>
  <si>
    <t>K2105282214A</t>
  </si>
  <si>
    <t>EM204675</t>
  </si>
  <si>
    <t>EITU0501270</t>
  </si>
  <si>
    <t>N210527AQ12</t>
  </si>
  <si>
    <t>K2105282214B</t>
  </si>
  <si>
    <t>EM204676</t>
  </si>
  <si>
    <t>B15</t>
  </si>
  <si>
    <t>K2105282519B</t>
  </si>
  <si>
    <t>EM204678</t>
  </si>
  <si>
    <t>DRYU2656460</t>
  </si>
  <si>
    <t>N210527AR05</t>
  </si>
  <si>
    <t>K2105282421B</t>
  </si>
  <si>
    <t>EM204680</t>
  </si>
  <si>
    <t>EITU0126559</t>
  </si>
  <si>
    <t>N210527AR06</t>
  </si>
  <si>
    <t>K2105282419A</t>
  </si>
  <si>
    <t>EM204681</t>
  </si>
  <si>
    <t>EGSU3081213</t>
  </si>
  <si>
    <t>N210527AS09</t>
  </si>
  <si>
    <t>K2105282419B</t>
  </si>
  <si>
    <t>EM204682</t>
  </si>
  <si>
    <t>K2105265308AA</t>
  </si>
  <si>
    <t>EM204683</t>
  </si>
  <si>
    <t>EGHU3655046</t>
  </si>
  <si>
    <t>N210516AR16</t>
  </si>
  <si>
    <t>K2105265308AB</t>
  </si>
  <si>
    <t>EM204684</t>
  </si>
  <si>
    <t>EGHU3608379</t>
  </si>
  <si>
    <t>K2105265308BA</t>
  </si>
  <si>
    <t>EM204685</t>
  </si>
  <si>
    <t>K2105265308BB</t>
  </si>
  <si>
    <t>EM204686</t>
  </si>
  <si>
    <t>K2105265224A</t>
  </si>
  <si>
    <t>EM204687</t>
  </si>
  <si>
    <t>EGHU3773352</t>
  </si>
  <si>
    <t>N210516AQ10</t>
  </si>
  <si>
    <t>K2105282509A</t>
  </si>
  <si>
    <t>EM204689</t>
  </si>
  <si>
    <t>EMCU39182424</t>
  </si>
  <si>
    <t>N210527AQ09</t>
  </si>
  <si>
    <t>K2105282509B</t>
  </si>
  <si>
    <t>EM204690</t>
  </si>
  <si>
    <t>D12</t>
  </si>
  <si>
    <t>N2105290605-2</t>
  </si>
  <si>
    <t>TI-GI305805B1.3</t>
  </si>
  <si>
    <t>HYUNDAI</t>
  </si>
  <si>
    <t>10/11/2021, 02.12.2021, 04.01.2022</t>
  </si>
  <si>
    <t>10/19/2021, 02.01.2022</t>
  </si>
  <si>
    <t>10/21/2021, 07.01.2022, 08.01.2022</t>
  </si>
  <si>
    <t>GCNS21/WC05014-ARC</t>
  </si>
  <si>
    <t>Y210412B47-1</t>
  </si>
  <si>
    <t>K2105282349B</t>
  </si>
  <si>
    <t>EM204694</t>
  </si>
  <si>
    <t>TEMU3589306</t>
  </si>
  <si>
    <t>N210527AT06</t>
  </si>
  <si>
    <t>K2105290114AA</t>
  </si>
  <si>
    <t>EM204695</t>
  </si>
  <si>
    <t>N210527AQ10</t>
  </si>
  <si>
    <t>K2105290114B</t>
  </si>
  <si>
    <t>EM204696</t>
  </si>
  <si>
    <t>TCLU3613067</t>
  </si>
  <si>
    <t>K2105265247AA</t>
  </si>
  <si>
    <t>EM204697</t>
  </si>
  <si>
    <t>N210516AS11</t>
  </si>
  <si>
    <t>K2105265247AB</t>
  </si>
  <si>
    <t>EM204698</t>
  </si>
  <si>
    <t>K2105265247BA</t>
  </si>
  <si>
    <t>EM204699</t>
  </si>
  <si>
    <t>TEMU4296473</t>
  </si>
  <si>
    <t>K2105265247BB</t>
  </si>
  <si>
    <t>EM204700</t>
  </si>
  <si>
    <t>K2105190827A</t>
  </si>
  <si>
    <t>EM204701</t>
  </si>
  <si>
    <t>EITU0235056</t>
  </si>
  <si>
    <t>N210516AS03</t>
  </si>
  <si>
    <t>K2105190827B</t>
  </si>
  <si>
    <t>EM204702C</t>
  </si>
  <si>
    <t>TISCO</t>
  </si>
  <si>
    <t>DRYU2961801</t>
  </si>
  <si>
    <t>K2105205346B</t>
  </si>
  <si>
    <t>EM204704</t>
  </si>
  <si>
    <t>EGHU3390604</t>
  </si>
  <si>
    <t>N210516AT06</t>
  </si>
  <si>
    <t>K2105282322A</t>
  </si>
  <si>
    <t>EM204705</t>
  </si>
  <si>
    <t>N210527AS10</t>
  </si>
  <si>
    <t>K2105282322B</t>
  </si>
  <si>
    <t>EM204706</t>
  </si>
  <si>
    <t>DRYU2974537</t>
  </si>
  <si>
    <t>K2104093422A</t>
  </si>
  <si>
    <t>EM204707</t>
  </si>
  <si>
    <t>K2104186902A</t>
  </si>
  <si>
    <t>EM204709</t>
  </si>
  <si>
    <t>EGSU3109630</t>
  </si>
  <si>
    <t>N210417AR13</t>
  </si>
  <si>
    <t>K2105085317B</t>
  </si>
  <si>
    <t>EM204710</t>
  </si>
  <si>
    <t>N210507AQ02</t>
  </si>
  <si>
    <t>K2105265217AA</t>
  </si>
  <si>
    <t>EM204711</t>
  </si>
  <si>
    <t>EITU0561108</t>
  </si>
  <si>
    <t>N210525AS02</t>
  </si>
  <si>
    <t>K2105265217AB</t>
  </si>
  <si>
    <t>EM204712</t>
  </si>
  <si>
    <t>K2105265217BA</t>
  </si>
  <si>
    <t>EM204713</t>
  </si>
  <si>
    <t>K2105265217BB</t>
  </si>
  <si>
    <t>EM204714</t>
  </si>
  <si>
    <t>K2105282441B</t>
  </si>
  <si>
    <t>EM204716</t>
  </si>
  <si>
    <t>N210524AR17</t>
  </si>
  <si>
    <t>K2103272239B</t>
  </si>
  <si>
    <t>EM204718</t>
  </si>
  <si>
    <t>N210319AR12</t>
  </si>
  <si>
    <t>K2105205340A</t>
  </si>
  <si>
    <t>EM204719</t>
  </si>
  <si>
    <t>N210319AT13</t>
  </si>
  <si>
    <t>K2105205340B</t>
  </si>
  <si>
    <t>EM204720B</t>
  </si>
  <si>
    <t>N2104250803-1</t>
  </si>
  <si>
    <t>TI-GI305402E</t>
  </si>
  <si>
    <t>HEISEI</t>
  </si>
  <si>
    <t>7/25/2021, 06.09.2021</t>
  </si>
  <si>
    <t>9/2/2021, 26.10.2021</t>
  </si>
  <si>
    <t>GCNS21/WC04016-ARC</t>
  </si>
  <si>
    <t>Y210402C52-6</t>
  </si>
  <si>
    <t>N2105300604-2</t>
  </si>
  <si>
    <t>TI-GI305411E</t>
  </si>
  <si>
    <t>7/23/2021, 06.09.2021</t>
  </si>
  <si>
    <t>9/2/2021, 19.10.2021</t>
  </si>
  <si>
    <t>GCNS21/WC04004-ARC</t>
  </si>
  <si>
    <t>Y210524F48-6</t>
  </si>
  <si>
    <t>K2105205339B</t>
  </si>
  <si>
    <t>EM204721</t>
  </si>
  <si>
    <t>TCKU2764035</t>
  </si>
  <si>
    <t>K2105205318B</t>
  </si>
  <si>
    <t>EM204722</t>
  </si>
  <si>
    <t>CMAU0817150</t>
  </si>
  <si>
    <t>K2105205331B</t>
  </si>
  <si>
    <t>EM204723</t>
  </si>
  <si>
    <t>N210516AS09</t>
  </si>
  <si>
    <t>K2105085309B</t>
  </si>
  <si>
    <t>EM204726</t>
  </si>
  <si>
    <t>CMAU0163131</t>
  </si>
  <si>
    <t>N210507AQ03</t>
  </si>
  <si>
    <t>K2105263201AA</t>
  </si>
  <si>
    <t>EM204729</t>
  </si>
  <si>
    <t>TCKU2528533</t>
  </si>
  <si>
    <t>N210524AS12</t>
  </si>
  <si>
    <t>K2105263201AB</t>
  </si>
  <si>
    <t>EM204730</t>
  </si>
  <si>
    <t>K2105263201BA</t>
  </si>
  <si>
    <t>EM204731</t>
  </si>
  <si>
    <t>K2105263201BB</t>
  </si>
  <si>
    <t>EM204732</t>
  </si>
  <si>
    <t>IM709</t>
  </si>
  <si>
    <t>LM410583A+B</t>
  </si>
  <si>
    <t>CV PELANGI JAYA</t>
  </si>
  <si>
    <t>SLT 25.12.21-RUST</t>
  </si>
  <si>
    <t>LEO METALS LIMITED</t>
  </si>
  <si>
    <t>210621IM073</t>
  </si>
  <si>
    <t>SGRU2114328</t>
  </si>
  <si>
    <t>C5113</t>
  </si>
  <si>
    <t>LM410583C</t>
  </si>
  <si>
    <t>MUNDUR SLT 25.12.21-RUST</t>
  </si>
  <si>
    <t>IM724</t>
  </si>
  <si>
    <t>LM410598</t>
  </si>
  <si>
    <t>FCIU4456030</t>
  </si>
  <si>
    <t>F1437</t>
  </si>
  <si>
    <t>IM726</t>
  </si>
  <si>
    <t>LM410600</t>
  </si>
  <si>
    <t>F2654</t>
  </si>
  <si>
    <t>K2106030114A</t>
  </si>
  <si>
    <t>EM204735</t>
  </si>
  <si>
    <t>KUNAL</t>
  </si>
  <si>
    <t>CHECK COIL - NOT OKE</t>
  </si>
  <si>
    <t>8/22/2021, 22.10.2021</t>
  </si>
  <si>
    <t>DRYU2684477</t>
  </si>
  <si>
    <t>N210602AR13</t>
  </si>
  <si>
    <t>A08</t>
  </si>
  <si>
    <t>K2106084019A</t>
  </si>
  <si>
    <t>EM204736</t>
  </si>
  <si>
    <t>N210608AS02</t>
  </si>
  <si>
    <t>B14</t>
  </si>
  <si>
    <t>K2106084008A</t>
  </si>
  <si>
    <t>EM204737</t>
  </si>
  <si>
    <t>DRYU2987236</t>
  </si>
  <si>
    <t>N210607AT14</t>
  </si>
  <si>
    <t>K2106083943B</t>
  </si>
  <si>
    <t>EM204738</t>
  </si>
  <si>
    <t>N210608AT04</t>
  </si>
  <si>
    <t>K2105282516B</t>
  </si>
  <si>
    <t>EM204739</t>
  </si>
  <si>
    <t>EGHU3700058</t>
  </si>
  <si>
    <t>N210525AR05</t>
  </si>
  <si>
    <t>K2106123303A</t>
  </si>
  <si>
    <t>EM204740</t>
  </si>
  <si>
    <t>N210607AQ11</t>
  </si>
  <si>
    <t>K2106084106A</t>
  </si>
  <si>
    <t>EM204741</t>
  </si>
  <si>
    <t>EITU0602151</t>
  </si>
  <si>
    <t>N210608AQ07</t>
  </si>
  <si>
    <t>K2106030114B</t>
  </si>
  <si>
    <t>EM204742</t>
  </si>
  <si>
    <t>K2106123303B</t>
  </si>
  <si>
    <t>EM204743</t>
  </si>
  <si>
    <t>BMOU1087603</t>
  </si>
  <si>
    <t>RM SLT RUST</t>
  </si>
  <si>
    <t>K2105205438AA</t>
  </si>
  <si>
    <t>EM204744</t>
  </si>
  <si>
    <t>COIL RUST</t>
  </si>
  <si>
    <t>MATERIAL RUST</t>
  </si>
  <si>
    <t>TRHU1173041</t>
  </si>
  <si>
    <t>K2105205438AB</t>
  </si>
  <si>
    <t>EM204745</t>
  </si>
  <si>
    <t>K2105205438A</t>
  </si>
  <si>
    <t>EM204746</t>
  </si>
  <si>
    <t>N210524AR18</t>
  </si>
  <si>
    <t>K2105205438B</t>
  </si>
  <si>
    <t>EM204747</t>
  </si>
  <si>
    <t>K2106123448B</t>
  </si>
  <si>
    <t>EM204748</t>
  </si>
  <si>
    <t>N210602AQ04</t>
  </si>
  <si>
    <t>K2106083943AA</t>
  </si>
  <si>
    <t>EM204749</t>
  </si>
  <si>
    <t>K2106083943AB</t>
  </si>
  <si>
    <t>EM204750</t>
  </si>
  <si>
    <t>K2105265231A</t>
  </si>
  <si>
    <t>EM204751</t>
  </si>
  <si>
    <t>K2105265313B</t>
  </si>
  <si>
    <t>EM204752</t>
  </si>
  <si>
    <t>TARIK MUNDUR 15.12.2021 - MATERIAL RUST</t>
  </si>
  <si>
    <t>N210524AT11</t>
  </si>
  <si>
    <t>K2105265209A</t>
  </si>
  <si>
    <t>EM204753</t>
  </si>
  <si>
    <t>N210525AQ04</t>
  </si>
  <si>
    <t>K2105265209B</t>
  </si>
  <si>
    <t>EM204754</t>
  </si>
  <si>
    <t>K2105265313A</t>
  </si>
  <si>
    <t>EM204755</t>
  </si>
  <si>
    <t>K2105265230A</t>
  </si>
  <si>
    <t>EM204756</t>
  </si>
  <si>
    <t>K2105254217A</t>
  </si>
  <si>
    <t>EM204757</t>
  </si>
  <si>
    <t>N210525AQ06</t>
  </si>
  <si>
    <t>K2105254217B</t>
  </si>
  <si>
    <t>EM204758</t>
  </si>
  <si>
    <t>K2105263301A</t>
  </si>
  <si>
    <t>EM204759</t>
  </si>
  <si>
    <t>FUTURA</t>
  </si>
  <si>
    <t>K2105263301B</t>
  </si>
  <si>
    <t>EM204760</t>
  </si>
  <si>
    <t>9/17/2021, 12.01.2022</t>
  </si>
  <si>
    <t>K2105205348AA</t>
  </si>
  <si>
    <t>EM204761</t>
  </si>
  <si>
    <t>N210516AS10</t>
  </si>
  <si>
    <t>K2105205348AB</t>
  </si>
  <si>
    <t>EM204762</t>
  </si>
  <si>
    <t>RM BAL</t>
  </si>
  <si>
    <t>C06036</t>
  </si>
  <si>
    <t>GU204763</t>
  </si>
  <si>
    <t>GXGJ-IMR-2105-PL</t>
  </si>
  <si>
    <t>HALU2030073</t>
  </si>
  <si>
    <t>XFHR210165</t>
  </si>
  <si>
    <t>C06037</t>
  </si>
  <si>
    <t>GU204764</t>
  </si>
  <si>
    <t>XFHR210168</t>
  </si>
  <si>
    <t>C18</t>
  </si>
  <si>
    <t>IM809</t>
  </si>
  <si>
    <t>LM410622</t>
  </si>
  <si>
    <t>210628IM08-1</t>
  </si>
  <si>
    <t>CMAU1116052</t>
  </si>
  <si>
    <t>I4176</t>
  </si>
  <si>
    <t>IM811</t>
  </si>
  <si>
    <t>LM410624</t>
  </si>
  <si>
    <t>TEMU2736022</t>
  </si>
  <si>
    <t>G4544</t>
  </si>
  <si>
    <t>IM812</t>
  </si>
  <si>
    <t>LM410625</t>
  </si>
  <si>
    <t>I2131</t>
  </si>
  <si>
    <t>IM813</t>
  </si>
  <si>
    <t>LM410626</t>
  </si>
  <si>
    <t>D9847</t>
  </si>
  <si>
    <t>IM814</t>
  </si>
  <si>
    <t>LM410627</t>
  </si>
  <si>
    <t>D9757</t>
  </si>
  <si>
    <t>IM815</t>
  </si>
  <si>
    <t>LM410628</t>
  </si>
  <si>
    <t>F9259</t>
  </si>
  <si>
    <t>IM816</t>
  </si>
  <si>
    <t>LM410629</t>
  </si>
  <si>
    <t>G1919</t>
  </si>
  <si>
    <t>IM821</t>
  </si>
  <si>
    <t>LM410630</t>
  </si>
  <si>
    <t>A7299</t>
  </si>
  <si>
    <t>IM822</t>
  </si>
  <si>
    <t>LM410631</t>
  </si>
  <si>
    <t>G3966</t>
  </si>
  <si>
    <t>IM823</t>
  </si>
  <si>
    <t>LM410632</t>
  </si>
  <si>
    <t>H6970</t>
  </si>
  <si>
    <t>K2106123418A</t>
  </si>
  <si>
    <t>EM204766</t>
  </si>
  <si>
    <t>IMTU3046188</t>
  </si>
  <si>
    <t>N210527AR16</t>
  </si>
  <si>
    <t>K2106170128B</t>
  </si>
  <si>
    <t>EM204767</t>
  </si>
  <si>
    <t>EISU2208056</t>
  </si>
  <si>
    <t>N210616AT09</t>
  </si>
  <si>
    <t>K2106083906A</t>
  </si>
  <si>
    <t>EM204769</t>
  </si>
  <si>
    <t>EITU0386290</t>
  </si>
  <si>
    <t>N210607AQ15</t>
  </si>
  <si>
    <t>K2106170128A</t>
  </si>
  <si>
    <t>EM204770</t>
  </si>
  <si>
    <t>EITU0533195</t>
  </si>
  <si>
    <t>K2106170110B</t>
  </si>
  <si>
    <t>EM204772</t>
  </si>
  <si>
    <t>DRYU2366840</t>
  </si>
  <si>
    <t>N210616AT11</t>
  </si>
  <si>
    <t>K2106084011B</t>
  </si>
  <si>
    <t>EM204773</t>
  </si>
  <si>
    <t>N210607AR16</t>
  </si>
  <si>
    <t>K2106170239B</t>
  </si>
  <si>
    <t>EM204774</t>
  </si>
  <si>
    <t>EISU2029370</t>
  </si>
  <si>
    <t>N210616AT14</t>
  </si>
  <si>
    <t>K2106123403B</t>
  </si>
  <si>
    <t>EM204775</t>
  </si>
  <si>
    <t>EITU0594077</t>
  </si>
  <si>
    <t>N210527AT14</t>
  </si>
  <si>
    <t>K2106084011A</t>
  </si>
  <si>
    <t>EM204778</t>
  </si>
  <si>
    <t>EGHU3383800</t>
  </si>
  <si>
    <t>K2106123404B</t>
  </si>
  <si>
    <t>EM204779</t>
  </si>
  <si>
    <t>TCLU3507511</t>
  </si>
  <si>
    <t>N210608AQ05</t>
  </si>
  <si>
    <t>K2106123317A</t>
  </si>
  <si>
    <t>EM204781</t>
  </si>
  <si>
    <t>N210608AR05</t>
  </si>
  <si>
    <t>K2106083929A</t>
  </si>
  <si>
    <t>EM204782</t>
  </si>
  <si>
    <t>EITU0386406</t>
  </si>
  <si>
    <t>N210607AT11</t>
  </si>
  <si>
    <t>K2105282516A</t>
  </si>
  <si>
    <t>EM204783</t>
  </si>
  <si>
    <t>TEMU3956886</t>
  </si>
  <si>
    <t>K2106123422A</t>
  </si>
  <si>
    <t>EM204786</t>
  </si>
  <si>
    <t>N210602AQ05</t>
  </si>
  <si>
    <t>K2106123418B</t>
  </si>
  <si>
    <t>EM204787</t>
  </si>
  <si>
    <t>K2106123412B</t>
  </si>
  <si>
    <t>EM204788</t>
  </si>
  <si>
    <t>N210602AS11</t>
  </si>
  <si>
    <t>K2106083909B</t>
  </si>
  <si>
    <t>EM204789</t>
  </si>
  <si>
    <t>N210607AQ12</t>
  </si>
  <si>
    <t>K2106030231AB</t>
  </si>
  <si>
    <t>EM204790</t>
  </si>
  <si>
    <t>N210602AT05</t>
  </si>
  <si>
    <t>K2106123315AB</t>
  </si>
  <si>
    <t>EM204792</t>
  </si>
  <si>
    <t>K2106123315AA</t>
  </si>
  <si>
    <t>EM204793</t>
  </si>
  <si>
    <t>K2106123304AB</t>
  </si>
  <si>
    <t>EM204795</t>
  </si>
  <si>
    <t>EITU0221290</t>
  </si>
  <si>
    <t>N210608AT05</t>
  </si>
  <si>
    <t>K2106123304AA</t>
  </si>
  <si>
    <t>EM204796</t>
  </si>
  <si>
    <t>K2106030116AB</t>
  </si>
  <si>
    <t>EM204799</t>
  </si>
  <si>
    <t>K2106123408AB</t>
  </si>
  <si>
    <t>EM204800</t>
  </si>
  <si>
    <t>MINUS WIDHT 728</t>
  </si>
  <si>
    <t>9/26/2021, 29.09.2021</t>
  </si>
  <si>
    <t>N210602AT07</t>
  </si>
  <si>
    <t>K2106030116AA</t>
  </si>
  <si>
    <t>EM204801</t>
  </si>
  <si>
    <t>IM837</t>
  </si>
  <si>
    <t>LM204808</t>
  </si>
  <si>
    <t>210628IM08-2</t>
  </si>
  <si>
    <t>CSLU1935201</t>
  </si>
  <si>
    <t>C9758</t>
  </si>
  <si>
    <t>IM839</t>
  </si>
  <si>
    <t>LM204810</t>
  </si>
  <si>
    <t>N2105040260-1</t>
  </si>
  <si>
    <t>TI-GI305500B</t>
  </si>
  <si>
    <t>HYUNDAI CORP</t>
  </si>
  <si>
    <t>SLT 21.10 - OK MULTI</t>
  </si>
  <si>
    <t>8/30/2021, 14.09.2021, 16.09.2021</t>
  </si>
  <si>
    <t>8/30/2021, 14.09.2021, 18.09.2021</t>
  </si>
  <si>
    <t>9/1/2021, 15.09.2021, 19.09.2021</t>
  </si>
  <si>
    <t>GCNS21/WC05004-ARC</t>
  </si>
  <si>
    <t>Y210424C49-1</t>
  </si>
  <si>
    <t>N2105300647-1</t>
  </si>
  <si>
    <t>TI-GI305566B</t>
  </si>
  <si>
    <t>VIVAAN METALS</t>
  </si>
  <si>
    <t>THICK VARIASI METER 1300-1530 THICK 0.33-0.36mm</t>
  </si>
  <si>
    <t>9/4/2021, 15.09.2021, 21.09.2021</t>
  </si>
  <si>
    <t>9/4/2021, 16.09.2021, 22.09.2021</t>
  </si>
  <si>
    <t>9/7/2021, 17.09.2021, 23.09.2021</t>
  </si>
  <si>
    <t>GCNS21/WC05003-ARC</t>
  </si>
  <si>
    <t>Y210524F46-2</t>
  </si>
  <si>
    <t>C06</t>
  </si>
  <si>
    <t>N2105150113-1</t>
  </si>
  <si>
    <t>TI-GI305669C</t>
  </si>
  <si>
    <t>SK NETWORKS</t>
  </si>
  <si>
    <t>OK STOCK DOMESTIC - BERCAK ROLL MARK</t>
  </si>
  <si>
    <t>9/10/2021, 13.09.2021</t>
  </si>
  <si>
    <t>9/12/2021, 15.09.2021</t>
  </si>
  <si>
    <t>9/12/2021, 27.10.2021</t>
  </si>
  <si>
    <t>Y210427C47-4</t>
  </si>
  <si>
    <t>D15</t>
  </si>
  <si>
    <t>TI-GI305669B</t>
  </si>
  <si>
    <t>DENT PINCHING 0-7M,,,ROLLSTOP ZM M 9,,,OH 40-73M,,,RIPPLE,,,,HERINGBONE,,,,DS ROLLMARK,,,</t>
  </si>
  <si>
    <t>9/12/2021, 20.12.2021</t>
  </si>
  <si>
    <t>N2107170113-1</t>
  </si>
  <si>
    <t>GI360257B</t>
  </si>
  <si>
    <t>ISANO LOPO</t>
  </si>
  <si>
    <t>9/2/2021, 26.02.2022</t>
  </si>
  <si>
    <t>9/3/2021, 27.02.2022</t>
  </si>
  <si>
    <t>9/6/2021, 28.02.2022</t>
  </si>
  <si>
    <t>GCNS21/WC04015-ARC</t>
  </si>
  <si>
    <t>Y210711B45-1</t>
  </si>
  <si>
    <t>N2106230150-1</t>
  </si>
  <si>
    <t>TI-GI305820A</t>
  </si>
  <si>
    <t>INOX IMPORTERS</t>
  </si>
  <si>
    <t>PUTUS DI MILL</t>
  </si>
  <si>
    <t>Y210612D13-5</t>
  </si>
  <si>
    <t>N2106220650-2</t>
  </si>
  <si>
    <t>LTI-GI306027B</t>
  </si>
  <si>
    <t>ALPHA INOX</t>
  </si>
  <si>
    <t>HOLD - TELESCOPE</t>
  </si>
  <si>
    <t>10/21/2021, 02.11.2021</t>
  </si>
  <si>
    <t>10/27/2021, 10.11.2021</t>
  </si>
  <si>
    <t>10/27/2021, 15.11.2021</t>
  </si>
  <si>
    <t>GCNS21/WC06005-ARC</t>
  </si>
  <si>
    <t>Y210610C12-5</t>
  </si>
  <si>
    <t>LTI-GI306027D</t>
  </si>
  <si>
    <t>PASANG SPOOL KERTAS</t>
  </si>
  <si>
    <t>10/27/2021, 10.11.2021, 10.11.2021</t>
  </si>
  <si>
    <t>N2106230410-1</t>
  </si>
  <si>
    <t>LTI-GI306058</t>
  </si>
  <si>
    <t>GCNS21/WC05017-ARC</t>
  </si>
  <si>
    <t>Y210611C31-2</t>
  </si>
  <si>
    <t>N2107020103-1</t>
  </si>
  <si>
    <t>LTI-GI306068A</t>
  </si>
  <si>
    <t>NENAVA METAL</t>
  </si>
  <si>
    <t>MATERIAL PINCHING</t>
  </si>
  <si>
    <t>11/13/2021, 06.01.2022</t>
  </si>
  <si>
    <t>11/13/2021, 07.01.2022</t>
  </si>
  <si>
    <t>Y210625D07-5</t>
  </si>
  <si>
    <t>N2107010253-1</t>
  </si>
  <si>
    <t>LTI-GI306072B</t>
  </si>
  <si>
    <t>11/14/2021, 07.01.2022</t>
  </si>
  <si>
    <t>1/5/2022, 16.01.2022</t>
  </si>
  <si>
    <t>Y210514C50-5</t>
  </si>
  <si>
    <t>N2108040110-1</t>
  </si>
  <si>
    <t>LTI-GI306074B</t>
  </si>
  <si>
    <t>ICPPL</t>
  </si>
  <si>
    <t>TBS METAL</t>
  </si>
  <si>
    <t>HOLD SLT - SCRATCH SLIP - OK RR BY QC</t>
  </si>
  <si>
    <t>11/5/2021, 16.02.2022</t>
  </si>
  <si>
    <t>11/6/2021, 17.02.2022</t>
  </si>
  <si>
    <t>12/18/2021, 20.02.2022</t>
  </si>
  <si>
    <t>Y210704C50-1</t>
  </si>
  <si>
    <t>D18</t>
  </si>
  <si>
    <t>N2107020363-1</t>
  </si>
  <si>
    <t>LTI-GI306088</t>
  </si>
  <si>
    <t>HOLD - OVER THICK</t>
  </si>
  <si>
    <t>Y210624D14-2</t>
  </si>
  <si>
    <t>N2106060449-1</t>
  </si>
  <si>
    <t>LTI-GI306094B</t>
  </si>
  <si>
    <t>MELI - FH</t>
  </si>
  <si>
    <t>12/8/2021, 26.02.2022</t>
  </si>
  <si>
    <t>Y210527E22-4</t>
  </si>
  <si>
    <t>N2104120546-1</t>
  </si>
  <si>
    <t>TI-GI306100B</t>
  </si>
  <si>
    <t>Y210330D27-3</t>
  </si>
  <si>
    <t>N2106250103-2</t>
  </si>
  <si>
    <t>LTI-GI306111B</t>
  </si>
  <si>
    <t>GLOMET ALLOYS</t>
  </si>
  <si>
    <t>12/9/2021, 13.01.2022</t>
  </si>
  <si>
    <t>12/9/2021, 14.01.2022</t>
  </si>
  <si>
    <t>Y210531D26-6</t>
  </si>
  <si>
    <t>N2106250102-1</t>
  </si>
  <si>
    <t>LTI-GI306116</t>
  </si>
  <si>
    <t>Y210528F22-5</t>
  </si>
  <si>
    <t>N2107250744-1</t>
  </si>
  <si>
    <t>LTI-GI306134A</t>
  </si>
  <si>
    <t>2/23/2022, 25.02.2022</t>
  </si>
  <si>
    <t>2/24/2022, 25.02.2022</t>
  </si>
  <si>
    <t>GCNS21/WC06013-ARC</t>
  </si>
  <si>
    <t>Y210719D13-2</t>
  </si>
  <si>
    <t>N2107250852-1</t>
  </si>
  <si>
    <t>TI-GI306140</t>
  </si>
  <si>
    <t>Y210720C02-5</t>
  </si>
  <si>
    <t>NH2107260406-1</t>
  </si>
  <si>
    <t>LTI-GI306206</t>
  </si>
  <si>
    <t>GCNS21/WC06007-ARC</t>
  </si>
  <si>
    <t>Y210612D23-3</t>
  </si>
  <si>
    <t>N2107260604-2</t>
  </si>
  <si>
    <t>LTI-GI306221</t>
  </si>
  <si>
    <t>Y210719D44-2</t>
  </si>
  <si>
    <t>N2108040108-2</t>
  </si>
  <si>
    <t>LTI-GI306225</t>
  </si>
  <si>
    <t>Y210705C44-5</t>
  </si>
  <si>
    <t>N2106170304-2</t>
  </si>
  <si>
    <t>TI-GI306255</t>
  </si>
  <si>
    <t>GCNS21/WC07001-ARC</t>
  </si>
  <si>
    <t>Y210613D13-6</t>
  </si>
  <si>
    <t>N2107230119-2</t>
  </si>
  <si>
    <t>LTI-GI306283B</t>
  </si>
  <si>
    <t>OK RR BY QC</t>
  </si>
  <si>
    <t>10/27/2021, 08.02.2022</t>
  </si>
  <si>
    <t>10/28/2021, 27.02.2022</t>
  </si>
  <si>
    <t>Y210716F41-5</t>
  </si>
  <si>
    <t>D09</t>
  </si>
  <si>
    <t>N2106200576-1</t>
  </si>
  <si>
    <t>LTI-GI306320</t>
  </si>
  <si>
    <t>GCNS21/WC06009-ARC</t>
  </si>
  <si>
    <t>Y210617D02-5</t>
  </si>
  <si>
    <t>N2107220869-2</t>
  </si>
  <si>
    <t>LTI-GI306325B</t>
  </si>
  <si>
    <t>HOLD QC - ROLLMARK ZM</t>
  </si>
  <si>
    <t>11/5/2021, 18.02.2022</t>
  </si>
  <si>
    <t>11/5/2021, 23.02.2022</t>
  </si>
  <si>
    <t>12/20/2021, 23.02.2022</t>
  </si>
  <si>
    <t>Y210709D06-2</t>
  </si>
  <si>
    <t>N2109150208-1</t>
  </si>
  <si>
    <t>GI360264</t>
  </si>
  <si>
    <t>Y210905D24-5</t>
  </si>
  <si>
    <t>N2109150211-2</t>
  </si>
  <si>
    <t>GI360275C</t>
  </si>
  <si>
    <t>Y210904D28-6</t>
  </si>
  <si>
    <t>N2107250810-1</t>
  </si>
  <si>
    <t>LTI-GI306338A</t>
  </si>
  <si>
    <t>MAFTON</t>
  </si>
  <si>
    <t>HOLD 03.01.22 -  BOTTOM SCRATH</t>
  </si>
  <si>
    <t>Y210719D09-2</t>
  </si>
  <si>
    <t>N2107250870-1</t>
  </si>
  <si>
    <t>TI-GI306352B</t>
  </si>
  <si>
    <t>Y210719D15-4</t>
  </si>
  <si>
    <t>N2108280483-2</t>
  </si>
  <si>
    <t>TI-GI306359</t>
  </si>
  <si>
    <t>FUTURA+CITRA MASINDO</t>
  </si>
  <si>
    <t>SCRACTH</t>
  </si>
  <si>
    <t>1/5/2022, 08.02.2022</t>
  </si>
  <si>
    <t>1/21/2022, 27.02.2022</t>
  </si>
  <si>
    <t>GCNS21/WC07002-ARC</t>
  </si>
  <si>
    <t>Y210821C45-1</t>
  </si>
  <si>
    <t>N2108040116-1</t>
  </si>
  <si>
    <t>LTI-GI306364</t>
  </si>
  <si>
    <t>MINUS THICK 1.14-1.16</t>
  </si>
  <si>
    <t>Y210704D53-6</t>
  </si>
  <si>
    <t>N2108050505-1</t>
  </si>
  <si>
    <t>LTI-GI306374</t>
  </si>
  <si>
    <t>Y210716F25-6</t>
  </si>
  <si>
    <t>N2108040147-2</t>
  </si>
  <si>
    <t>LTI-GI306379</t>
  </si>
  <si>
    <t>Y210624C52-5</t>
  </si>
  <si>
    <t>N2107010254-1</t>
  </si>
  <si>
    <t>LTI-GI306394</t>
  </si>
  <si>
    <t>Y210514D41-5</t>
  </si>
  <si>
    <t>N2108040111-2</t>
  </si>
  <si>
    <t>LTI-GI306401B</t>
  </si>
  <si>
    <t>SUPASIN METAL</t>
  </si>
  <si>
    <t>Y210712B42-1</t>
  </si>
  <si>
    <t>N2108200315-1</t>
  </si>
  <si>
    <t>TI-GI306406B</t>
  </si>
  <si>
    <t>Y210815F13-4</t>
  </si>
  <si>
    <t>N2107250817-2</t>
  </si>
  <si>
    <t>LTI-GI306417B</t>
  </si>
  <si>
    <t>Y210719D08-4</t>
  </si>
  <si>
    <t>N2107250869-1</t>
  </si>
  <si>
    <t>TI-GI306446</t>
  </si>
  <si>
    <t>Y210720C21-2</t>
  </si>
  <si>
    <t>N2107250837-1</t>
  </si>
  <si>
    <t>TI-GI306448B</t>
  </si>
  <si>
    <t>SACHIN STEEL</t>
  </si>
  <si>
    <t>Y210720D03-2</t>
  </si>
  <si>
    <t>N2107250831-1</t>
  </si>
  <si>
    <t>TI-GI306464B</t>
  </si>
  <si>
    <t>GCNS21/WC07004-ARC</t>
  </si>
  <si>
    <t>Y210719C16-5</t>
  </si>
  <si>
    <t>N2108270739-2</t>
  </si>
  <si>
    <t>TI-GI306469</t>
  </si>
  <si>
    <t>KALI BESAR</t>
  </si>
  <si>
    <t>Y210822C12-6</t>
  </si>
  <si>
    <t>N2105150328-1</t>
  </si>
  <si>
    <t>TI-GI306470</t>
  </si>
  <si>
    <t>Y210504A28-3</t>
  </si>
  <si>
    <t>N2108190364-1</t>
  </si>
  <si>
    <t>LTI-GI306480</t>
  </si>
  <si>
    <t>Y210813B50-4</t>
  </si>
  <si>
    <t>N2108190560-2</t>
  </si>
  <si>
    <t>LTI-GI306511</t>
  </si>
  <si>
    <t>Y210813A45-4</t>
  </si>
  <si>
    <t>N2108310420-1</t>
  </si>
  <si>
    <t>LTI-GI306532B</t>
  </si>
  <si>
    <t>Y210811A04-6</t>
  </si>
  <si>
    <t>N2108040146-1</t>
  </si>
  <si>
    <t>LTI-GI306536</t>
  </si>
  <si>
    <t>Y210623C49-5</t>
  </si>
  <si>
    <t>N2108040146-2</t>
  </si>
  <si>
    <t>LTI-GI306537</t>
  </si>
  <si>
    <t>N2108040109-2</t>
  </si>
  <si>
    <t>LTI-GI306549B</t>
  </si>
  <si>
    <t>NEMINATH</t>
  </si>
  <si>
    <t>Y210705C48-1</t>
  </si>
  <si>
    <t>N2110170347-2</t>
  </si>
  <si>
    <t>GI360283</t>
  </si>
  <si>
    <t>Y211005D24-2</t>
  </si>
  <si>
    <t>N2110170350-1</t>
  </si>
  <si>
    <t>GI360292</t>
  </si>
  <si>
    <t>Y211005C24-4</t>
  </si>
  <si>
    <t>N2108310412-1</t>
  </si>
  <si>
    <t>LTI-GI306575</t>
  </si>
  <si>
    <t>GOODLUCK</t>
  </si>
  <si>
    <t>ARRIVE AT IMR 24.02.22</t>
  </si>
  <si>
    <t>Y210803D25-3</t>
  </si>
  <si>
    <t>N2109080202-1</t>
  </si>
  <si>
    <t>LTI-GI306577</t>
  </si>
  <si>
    <t>ALLIED FERROMET</t>
  </si>
  <si>
    <t>Y210827C44-3</t>
  </si>
  <si>
    <t>N2109080202-2</t>
  </si>
  <si>
    <t>LTI-GI306578</t>
  </si>
  <si>
    <t>N2109080578-1</t>
  </si>
  <si>
    <t>LTI-GI306579</t>
  </si>
  <si>
    <t>AT WAREHOUSE SBY 17.11.21</t>
  </si>
  <si>
    <t>Y210829D15-5</t>
  </si>
  <si>
    <t>N2109080578-2</t>
  </si>
  <si>
    <t>LTI-GI306580</t>
  </si>
  <si>
    <t>N2109010105-1</t>
  </si>
  <si>
    <t>LTI-GI306581</t>
  </si>
  <si>
    <t>Y210725C09-1</t>
  </si>
  <si>
    <t>N2109010108-1</t>
  </si>
  <si>
    <t>LTI-GI306583</t>
  </si>
  <si>
    <t>Y210528C01-1</t>
  </si>
  <si>
    <t>N2109010108-2</t>
  </si>
  <si>
    <t>LTI-GI306584</t>
  </si>
  <si>
    <t>N2108310416-1</t>
  </si>
  <si>
    <t>LTI-GI306587</t>
  </si>
  <si>
    <t>Y210811B02-1</t>
  </si>
  <si>
    <t>N2108310416-2</t>
  </si>
  <si>
    <t>LTI-GI306588</t>
  </si>
  <si>
    <t>N2109010150-2</t>
  </si>
  <si>
    <t>LTI-GI306590</t>
  </si>
  <si>
    <t>ARRIVE AT IMR 08.02.22</t>
  </si>
  <si>
    <t>Y210509D24-1</t>
  </si>
  <si>
    <t>N2108310417-1</t>
  </si>
  <si>
    <t>LTI-GI306591</t>
  </si>
  <si>
    <t>Y210803D20-6</t>
  </si>
  <si>
    <t>N2108310417-2</t>
  </si>
  <si>
    <t>LTI-GI306592</t>
  </si>
  <si>
    <t>N2108310419-1</t>
  </si>
  <si>
    <t>LTI-GI306593</t>
  </si>
  <si>
    <t>Y210802C31-2</t>
  </si>
  <si>
    <t>N2108310419-2</t>
  </si>
  <si>
    <t>LTI-GI306594</t>
  </si>
  <si>
    <t>N2109010139-1</t>
  </si>
  <si>
    <t>LTI-GI306595</t>
  </si>
  <si>
    <t>Y210719D43-1</t>
  </si>
  <si>
    <t>N2109010139-2</t>
  </si>
  <si>
    <t>LTI-GI306596</t>
  </si>
  <si>
    <t>N2108310405-1</t>
  </si>
  <si>
    <t>LTI-GI306599</t>
  </si>
  <si>
    <t>Y210814F49-5</t>
  </si>
  <si>
    <t>N2108310405-2</t>
  </si>
  <si>
    <t>LTI-GI306600</t>
  </si>
  <si>
    <t>N2109080402-1</t>
  </si>
  <si>
    <t>LTI-GI306601</t>
  </si>
  <si>
    <t>Y210829D09-2</t>
  </si>
  <si>
    <t>N2109080402-2</t>
  </si>
  <si>
    <t>LTI-GI306602</t>
  </si>
  <si>
    <t>N2109030536-2</t>
  </si>
  <si>
    <t>TI-GI306604</t>
  </si>
  <si>
    <t>Y210824D10-3</t>
  </si>
  <si>
    <t>N2107070116-2</t>
  </si>
  <si>
    <t>TI-GI306606B</t>
  </si>
  <si>
    <t>Y210702C10-8</t>
  </si>
  <si>
    <t>N2109260138-1</t>
  </si>
  <si>
    <t>LTI-GI306609</t>
  </si>
  <si>
    <t>Y210922D50-5</t>
  </si>
  <si>
    <t>N2109260138-2</t>
  </si>
  <si>
    <t>LTI-GI306610</t>
  </si>
  <si>
    <t>N2108270706-1</t>
  </si>
  <si>
    <t>LTI-GI306611</t>
  </si>
  <si>
    <t>Y210822D11-4</t>
  </si>
  <si>
    <t>N2108270706-2</t>
  </si>
  <si>
    <t>LTI-GI306612</t>
  </si>
  <si>
    <t>N2109230646-1</t>
  </si>
  <si>
    <t>TI-GI306613</t>
  </si>
  <si>
    <t>Y210703D13-4</t>
  </si>
  <si>
    <t>N2109230646-2</t>
  </si>
  <si>
    <t>TI-GI306614</t>
  </si>
  <si>
    <t>N2109010119-1</t>
  </si>
  <si>
    <t>LTI-GI306615</t>
  </si>
  <si>
    <t>Y210701D04-1</t>
  </si>
  <si>
    <t>N2109010119-2</t>
  </si>
  <si>
    <t>LTI-GI306616</t>
  </si>
  <si>
    <t>N2105100170-1</t>
  </si>
  <si>
    <t>LTI-GI306617</t>
  </si>
  <si>
    <t>Y210428C46-3</t>
  </si>
  <si>
    <t>N2105100170-2</t>
  </si>
  <si>
    <t>LTI-GI306618</t>
  </si>
  <si>
    <t>N2109030545-1</t>
  </si>
  <si>
    <t>TI-GI306619</t>
  </si>
  <si>
    <t>Y210823C03-3</t>
  </si>
  <si>
    <t>N2109030545-2</t>
  </si>
  <si>
    <t>TI-GI306620</t>
  </si>
  <si>
    <t>N2109010126-1</t>
  </si>
  <si>
    <t>LTI-GI306625</t>
  </si>
  <si>
    <t>Y210726D50-6</t>
  </si>
  <si>
    <t>N2109010126-2</t>
  </si>
  <si>
    <t>LTI-GI306626</t>
  </si>
  <si>
    <t>N2108310409-1</t>
  </si>
  <si>
    <t>LTI-GI306627</t>
  </si>
  <si>
    <t>Y210718E13-5</t>
  </si>
  <si>
    <t>N2108310409-2</t>
  </si>
  <si>
    <t>LTI-GI306628</t>
  </si>
  <si>
    <t>N2110010119-1</t>
  </si>
  <si>
    <t>TI-GI306629</t>
  </si>
  <si>
    <t>Y210702C12-4</t>
  </si>
  <si>
    <t>N2110010119-2</t>
  </si>
  <si>
    <t>TI-GI306630</t>
  </si>
  <si>
    <t>N2109120241-1</t>
  </si>
  <si>
    <t>LTI-GI306631</t>
  </si>
  <si>
    <t>Y210902C52-3</t>
  </si>
  <si>
    <t>N2109120241-2</t>
  </si>
  <si>
    <t>LTI-GI306632</t>
  </si>
  <si>
    <t>N2108310421-1</t>
  </si>
  <si>
    <t>LTI-GI306637</t>
  </si>
  <si>
    <t>Y210809A12-5</t>
  </si>
  <si>
    <t>N2108310421-2</t>
  </si>
  <si>
    <t>LTI-GI306638</t>
  </si>
  <si>
    <t>N2105150317-1</t>
  </si>
  <si>
    <t>TI-GI306639</t>
  </si>
  <si>
    <t>Y210429D40-5</t>
  </si>
  <si>
    <t>N2105150317-2</t>
  </si>
  <si>
    <t>TI-GI306640</t>
  </si>
  <si>
    <t>N2109020499-1</t>
  </si>
  <si>
    <t>LTI-GI306641</t>
  </si>
  <si>
    <t>Y210825C46-4</t>
  </si>
  <si>
    <t>N2109020499-2</t>
  </si>
  <si>
    <t>LTI-GI306642</t>
  </si>
  <si>
    <t>N2110090612-1</t>
  </si>
  <si>
    <t>LTI-GI306643</t>
  </si>
  <si>
    <t>Y210926C41-2</t>
  </si>
  <si>
    <t>N2110090612-2</t>
  </si>
  <si>
    <t>LTI-GI306644</t>
  </si>
  <si>
    <t>N2108190522-1</t>
  </si>
  <si>
    <t>LTI-GI306645</t>
  </si>
  <si>
    <t>Y210812B47-3</t>
  </si>
  <si>
    <t>N2108190522-2</t>
  </si>
  <si>
    <t>LTI-GI306646</t>
  </si>
  <si>
    <t>N2108310422-1</t>
  </si>
  <si>
    <t>LTI-GI306647</t>
  </si>
  <si>
    <t>Y210810B07-5</t>
  </si>
  <si>
    <t>N2108310422-2</t>
  </si>
  <si>
    <t>LTI-GI306648</t>
  </si>
  <si>
    <t>N2109010141-2</t>
  </si>
  <si>
    <t>LTI-GI306650</t>
  </si>
  <si>
    <t>Y210721D49-1</t>
  </si>
  <si>
    <t>N2109010140-1</t>
  </si>
  <si>
    <t>LTI-GI306651</t>
  </si>
  <si>
    <t>Y210804D43-1</t>
  </si>
  <si>
    <t>N2107270104-1</t>
  </si>
  <si>
    <t>TI-GI306653</t>
  </si>
  <si>
    <t>GCNS21/WC07005-ARC</t>
  </si>
  <si>
    <t>Y210722D40-1</t>
  </si>
  <si>
    <t>N2107270104-2</t>
  </si>
  <si>
    <t>TI-GI306654</t>
  </si>
  <si>
    <t>N2108310415-1</t>
  </si>
  <si>
    <t>LTI-GI306655</t>
  </si>
  <si>
    <t>Y210811A02-6</t>
  </si>
  <si>
    <t>N2108310415-2</t>
  </si>
  <si>
    <t>LTI-GI306656</t>
  </si>
  <si>
    <t>N2109240587-1</t>
  </si>
  <si>
    <t>LTI-GI306657</t>
  </si>
  <si>
    <t>Y210909B21-3</t>
  </si>
  <si>
    <t>N2109240587-2</t>
  </si>
  <si>
    <t>LTI-GI306658</t>
  </si>
  <si>
    <t>N2108210211-1</t>
  </si>
  <si>
    <t>LTI-GI306659</t>
  </si>
  <si>
    <t>Y210813B11-1</t>
  </si>
  <si>
    <t>N2108210211-2</t>
  </si>
  <si>
    <t>LTI-GI306660</t>
  </si>
  <si>
    <t>N2108240314-2</t>
  </si>
  <si>
    <t>LTI-GI306662</t>
  </si>
  <si>
    <t>Y210813B52-3</t>
  </si>
  <si>
    <t>N2108290109-1</t>
  </si>
  <si>
    <t>LTI-GI306663</t>
  </si>
  <si>
    <t>Y210820D43-7</t>
  </si>
  <si>
    <t>N2108290109-2</t>
  </si>
  <si>
    <t>LTI-GI306664</t>
  </si>
  <si>
    <t>N2109080629-1</t>
  </si>
  <si>
    <t>LTI-GI306665</t>
  </si>
  <si>
    <t>Y210830C01-4</t>
  </si>
  <si>
    <t>N2109080629-2</t>
  </si>
  <si>
    <t>LTI-GI306666</t>
  </si>
  <si>
    <t>N2108310414-1</t>
  </si>
  <si>
    <t>LTI-GI306667</t>
  </si>
  <si>
    <t>Y210814F41-1</t>
  </si>
  <si>
    <t>N2108310414-2</t>
  </si>
  <si>
    <t>LTI-GI306668</t>
  </si>
  <si>
    <t>N2108310404-1</t>
  </si>
  <si>
    <t>LTI-GI306669</t>
  </si>
  <si>
    <t>Y210803C20-1</t>
  </si>
  <si>
    <t>N2108310404-2</t>
  </si>
  <si>
    <t>LTI-GI306670</t>
  </si>
  <si>
    <t>N2108310406-1</t>
  </si>
  <si>
    <t>LTI-GI306671</t>
  </si>
  <si>
    <t>Y210814F45-1</t>
  </si>
  <si>
    <t>N2108310406-2</t>
  </si>
  <si>
    <t>LTI-GI306672</t>
  </si>
  <si>
    <t>N2109010106-1</t>
  </si>
  <si>
    <t>LTI-GI306675</t>
  </si>
  <si>
    <t>Y210726C09-1</t>
  </si>
  <si>
    <t>N2109010106-2</t>
  </si>
  <si>
    <t>LTI-GI306676</t>
  </si>
  <si>
    <t>N2109010110-1</t>
  </si>
  <si>
    <t>LTI-GI306677</t>
  </si>
  <si>
    <t>Y210708D14-1</t>
  </si>
  <si>
    <t>N2109010110-2</t>
  </si>
  <si>
    <t>LTI-GI306678</t>
  </si>
  <si>
    <t>N2109010158-1</t>
  </si>
  <si>
    <t>LTI-GI306679</t>
  </si>
  <si>
    <t>Y210625C06-1</t>
  </si>
  <si>
    <t>N2108310423-1</t>
  </si>
  <si>
    <t>LTI-GI306681</t>
  </si>
  <si>
    <t>Y210809A26-4</t>
  </si>
  <si>
    <t>N2108310423-2</t>
  </si>
  <si>
    <t>LTI-GI306682</t>
  </si>
  <si>
    <t>N2109010151-1</t>
  </si>
  <si>
    <t>LTI-GI306683</t>
  </si>
  <si>
    <t>Y210608C05-1</t>
  </si>
  <si>
    <t>N2109010151-2</t>
  </si>
  <si>
    <t>LTI-GI306684</t>
  </si>
  <si>
    <t>N2109010135-2</t>
  </si>
  <si>
    <t>LTI-GI306686</t>
  </si>
  <si>
    <t>Y210804C49-1</t>
  </si>
  <si>
    <t>N2109010156-1</t>
  </si>
  <si>
    <t>LTI-GI306687</t>
  </si>
  <si>
    <t>Y210811A47-1</t>
  </si>
  <si>
    <t>N2109010156-2</t>
  </si>
  <si>
    <t>LTI-GI306688</t>
  </si>
  <si>
    <t>N2108280477-1</t>
  </si>
  <si>
    <t>TI-GI306689</t>
  </si>
  <si>
    <t>Y210821C51-1</t>
  </si>
  <si>
    <t>N2108280477-2</t>
  </si>
  <si>
    <t>TI-GI306690</t>
  </si>
  <si>
    <t>N2108310424-1</t>
  </si>
  <si>
    <t>LTI-GI306691</t>
  </si>
  <si>
    <t>Y210810B09-1</t>
  </si>
  <si>
    <t>N2108310424-2</t>
  </si>
  <si>
    <t>LTI-GI306692</t>
  </si>
  <si>
    <t>N2108190257-1</t>
  </si>
  <si>
    <t>TI-GI306693</t>
  </si>
  <si>
    <t>Y210814F09-1</t>
  </si>
  <si>
    <t>N2108190257-2</t>
  </si>
  <si>
    <t>TI-GI306694</t>
  </si>
  <si>
    <t>N2108290139-1</t>
  </si>
  <si>
    <t>LTI-GI306695</t>
  </si>
  <si>
    <t>Y210813B49-4</t>
  </si>
  <si>
    <t>N2108290139-2</t>
  </si>
  <si>
    <t>LTI-GI306696</t>
  </si>
  <si>
    <t>N2108290456-1</t>
  </si>
  <si>
    <t>LTI-GI306697</t>
  </si>
  <si>
    <t>Y210821D06-6</t>
  </si>
  <si>
    <t>N2108290456-2</t>
  </si>
  <si>
    <t>LTI-GI306698</t>
  </si>
  <si>
    <t>N2108290124-1</t>
  </si>
  <si>
    <t>LTI-GI306699</t>
  </si>
  <si>
    <t>Y210827C45-6</t>
  </si>
  <si>
    <t>N2108290124-2</t>
  </si>
  <si>
    <t>LTI-GI306700</t>
  </si>
  <si>
    <t>N2109010157-1</t>
  </si>
  <si>
    <t>LTI-GI306701</t>
  </si>
  <si>
    <t>Y210719C53-1</t>
  </si>
  <si>
    <t>N2109010157-2</t>
  </si>
  <si>
    <t>LTI-GI306702</t>
  </si>
  <si>
    <t>N2108290348-1</t>
  </si>
  <si>
    <t>LTI-GI306703</t>
  </si>
  <si>
    <t>Y210822C05-4</t>
  </si>
  <si>
    <t>N2108290348-2</t>
  </si>
  <si>
    <t>LTI-GI306704</t>
  </si>
  <si>
    <t>N2109010148-1</t>
  </si>
  <si>
    <t>LTI-GI306705</t>
  </si>
  <si>
    <t>Y210813A45-1</t>
  </si>
  <si>
    <t>N2109010148-2</t>
  </si>
  <si>
    <t>LTI-GI306706</t>
  </si>
  <si>
    <t>N2109080322-2</t>
  </si>
  <si>
    <t>LTI-GI306708B</t>
  </si>
  <si>
    <t>Y210827D42-3</t>
  </si>
  <si>
    <t>N2108290357-1</t>
  </si>
  <si>
    <t>LTI-GI306709</t>
  </si>
  <si>
    <t>Y210825C48-5</t>
  </si>
  <si>
    <t>N2109010152-1</t>
  </si>
  <si>
    <t>LTI-GI306710</t>
  </si>
  <si>
    <t>Y210510C20-1</t>
  </si>
  <si>
    <t>N2109010152-2</t>
  </si>
  <si>
    <t>LTI-GI306711</t>
  </si>
  <si>
    <t>N2109010147-1</t>
  </si>
  <si>
    <t>LTI-GI306714</t>
  </si>
  <si>
    <t>Y210812A47-1</t>
  </si>
  <si>
    <t>N2109010147-2</t>
  </si>
  <si>
    <t>LTI-GI306715</t>
  </si>
  <si>
    <t>N2108290406-1</t>
  </si>
  <si>
    <t>LTI-GI306717</t>
  </si>
  <si>
    <t>Y210821D07-2</t>
  </si>
  <si>
    <t>N2108290406-2</t>
  </si>
  <si>
    <t>LTI-GI306718</t>
  </si>
  <si>
    <t>N2109010130-1</t>
  </si>
  <si>
    <t>LTI-GI306719</t>
  </si>
  <si>
    <t>Y210731C53-1</t>
  </si>
  <si>
    <t>N2109010130-2</t>
  </si>
  <si>
    <t>LTI-GI306720</t>
  </si>
  <si>
    <t>N2109030538-1</t>
  </si>
  <si>
    <t>TI-GI306723</t>
  </si>
  <si>
    <t>Y210825C01-6</t>
  </si>
  <si>
    <t>N2109030538-2</t>
  </si>
  <si>
    <t>TI-GI306724</t>
  </si>
  <si>
    <t>N2109010129-1</t>
  </si>
  <si>
    <t>LTI-GI306727</t>
  </si>
  <si>
    <t>Y210616D27-1</t>
  </si>
  <si>
    <t>N2109010129-2</t>
  </si>
  <si>
    <t>LTI-GI306728</t>
  </si>
  <si>
    <t>N2109010112-1</t>
  </si>
  <si>
    <t>LTI-GI306729</t>
  </si>
  <si>
    <t>Y210527E28-1</t>
  </si>
  <si>
    <t>N2109010112-2</t>
  </si>
  <si>
    <t>LTI-GI306730</t>
  </si>
  <si>
    <t>N2108270717-1</t>
  </si>
  <si>
    <t>LTI-GI306731</t>
  </si>
  <si>
    <t>Y210822D10-3</t>
  </si>
  <si>
    <t>N2108270717-2</t>
  </si>
  <si>
    <t>LTI-GI306732</t>
  </si>
  <si>
    <t>N2110010131-1</t>
  </si>
  <si>
    <t>TI-GI306733</t>
  </si>
  <si>
    <t>Y210917F45-4</t>
  </si>
  <si>
    <t>N2110010131-2</t>
  </si>
  <si>
    <t>TI-GI306734</t>
  </si>
  <si>
    <t>N2109260459-1</t>
  </si>
  <si>
    <t>TI-GI306735</t>
  </si>
  <si>
    <t>Y210917E06-6</t>
  </si>
  <si>
    <t>N2109260459-2</t>
  </si>
  <si>
    <t>TI-GI306736</t>
  </si>
  <si>
    <t>N2110010134-1</t>
  </si>
  <si>
    <t>TI-GI306737</t>
  </si>
  <si>
    <t>Y210722C50-4</t>
  </si>
  <si>
    <t>N2109260458-2</t>
  </si>
  <si>
    <t>TI-GI306740</t>
  </si>
  <si>
    <t>Y210917E05-4</t>
  </si>
  <si>
    <t>N2109230656-1</t>
  </si>
  <si>
    <t>TI-GI306741</t>
  </si>
  <si>
    <t>Y210905C50-3</t>
  </si>
  <si>
    <t>N2109230656-2</t>
  </si>
  <si>
    <t>TI-GI306742</t>
  </si>
  <si>
    <t>N2109260203-1</t>
  </si>
  <si>
    <t>LTI-GI306743</t>
  </si>
  <si>
    <t>Y210916E13-1</t>
  </si>
  <si>
    <t>N2109260203-2</t>
  </si>
  <si>
    <t>LTI-GI306744</t>
  </si>
  <si>
    <t>N2109260106-1</t>
  </si>
  <si>
    <t>LTI-GI306747</t>
  </si>
  <si>
    <t>Y210916F11-5</t>
  </si>
  <si>
    <t>N2109260106-2</t>
  </si>
  <si>
    <t>LTI-GI306748</t>
  </si>
  <si>
    <t>N2109230657-2</t>
  </si>
  <si>
    <t>TI-GI306750</t>
  </si>
  <si>
    <t>Y210905C51-3</t>
  </si>
  <si>
    <t>N2108270756-1</t>
  </si>
  <si>
    <t>TI-GI306751</t>
  </si>
  <si>
    <t>Y210822C13-5</t>
  </si>
  <si>
    <t>N2108270756-2</t>
  </si>
  <si>
    <t>TI-GI306752</t>
  </si>
  <si>
    <t>N2109230655-1</t>
  </si>
  <si>
    <t>TI-GI306753</t>
  </si>
  <si>
    <t>Y210905C50-6</t>
  </si>
  <si>
    <t>N2109230655-2</t>
  </si>
  <si>
    <t>TI-GI306754</t>
  </si>
  <si>
    <t>N2109230654-1</t>
  </si>
  <si>
    <t>TI-GI306755</t>
  </si>
  <si>
    <t>Y210905D52-3</t>
  </si>
  <si>
    <t>N2109230654-2</t>
  </si>
  <si>
    <t>TI-GI306756</t>
  </si>
  <si>
    <t>N2109260447-1</t>
  </si>
  <si>
    <t>TI-GI306757</t>
  </si>
  <si>
    <t>Y210923C54-7</t>
  </si>
  <si>
    <t>N2108270748-1</t>
  </si>
  <si>
    <t>TI-GI306759</t>
  </si>
  <si>
    <t>Y210822C14-1</t>
  </si>
  <si>
    <t>N2108270748-2</t>
  </si>
  <si>
    <t>TI-GI306760</t>
  </si>
  <si>
    <t>N2109300134-1</t>
  </si>
  <si>
    <t>LTI-GI306761</t>
  </si>
  <si>
    <t>Y210922D44-5</t>
  </si>
  <si>
    <t>N2109300134-2</t>
  </si>
  <si>
    <t>LTI-GI306762</t>
  </si>
  <si>
    <t>N2108310411-1</t>
  </si>
  <si>
    <t>LTI-GI306763</t>
  </si>
  <si>
    <t>Y210803C28-6</t>
  </si>
  <si>
    <t>N2108310411-2</t>
  </si>
  <si>
    <t>LTI-GI306764</t>
  </si>
  <si>
    <t>N2110060317-1</t>
  </si>
  <si>
    <t>TI-GI306765</t>
  </si>
  <si>
    <t>Y210720D02-6</t>
  </si>
  <si>
    <t>N2110060317-2</t>
  </si>
  <si>
    <t>TI-GI306766</t>
  </si>
  <si>
    <t>N2109010117-1</t>
  </si>
  <si>
    <t>LTI-GI306767</t>
  </si>
  <si>
    <t>Y210630D04-1</t>
  </si>
  <si>
    <t>N2109010117-2</t>
  </si>
  <si>
    <t>LTI-GI306768</t>
  </si>
  <si>
    <t>N2109030120-1</t>
  </si>
  <si>
    <t>LTI-GI306769</t>
  </si>
  <si>
    <t>Y210822C08-5</t>
  </si>
  <si>
    <t>N2109030120-2</t>
  </si>
  <si>
    <t>LTI-GI306770</t>
  </si>
  <si>
    <t>N2109260215-1</t>
  </si>
  <si>
    <t>LTI-GI306771</t>
  </si>
  <si>
    <t>Y210916E10-6</t>
  </si>
  <si>
    <t>N2109260215-2</t>
  </si>
  <si>
    <t>LTI-GI306772</t>
  </si>
  <si>
    <t>N2109040201-1</t>
  </si>
  <si>
    <t>TI-GI306773</t>
  </si>
  <si>
    <t>Y210831D20-2</t>
  </si>
  <si>
    <t>N2109040201-2</t>
  </si>
  <si>
    <t>TI-GI306774</t>
  </si>
  <si>
    <t>N2110070357-1</t>
  </si>
  <si>
    <t>TI-GI306775</t>
  </si>
  <si>
    <t>Y210927D45-4</t>
  </si>
  <si>
    <t>N2110070357-2</t>
  </si>
  <si>
    <t>TI-GI306776</t>
  </si>
  <si>
    <t>N2108080445-1</t>
  </si>
  <si>
    <t>LTI-GI306777</t>
  </si>
  <si>
    <t>Y210624D14-6</t>
  </si>
  <si>
    <t>N2108080445-2</t>
  </si>
  <si>
    <t>LTI-GI306778</t>
  </si>
  <si>
    <t>N2109240422-1</t>
  </si>
  <si>
    <t>LTI-GI306779</t>
  </si>
  <si>
    <t>Y210909B08-4</t>
  </si>
  <si>
    <t>N2109240422-2</t>
  </si>
  <si>
    <t>LTI-GI306780</t>
  </si>
  <si>
    <t>N2110070417-1</t>
  </si>
  <si>
    <t>TI-GI306781</t>
  </si>
  <si>
    <t>Y210927D45-6</t>
  </si>
  <si>
    <t>N2110070417-2</t>
  </si>
  <si>
    <t>TI-GI306782</t>
  </si>
  <si>
    <t>N2109300135-1</t>
  </si>
  <si>
    <t>LTI-GI306783</t>
  </si>
  <si>
    <t>Y210922C41-4</t>
  </si>
  <si>
    <t>N2109300135-2</t>
  </si>
  <si>
    <t>LTI-GI306784</t>
  </si>
  <si>
    <t>N2109010136-1</t>
  </si>
  <si>
    <t>LTI-GI306785</t>
  </si>
  <si>
    <t>Y210624D10-1</t>
  </si>
  <si>
    <t>N2109010136-2</t>
  </si>
  <si>
    <t>LTI-GI306786</t>
  </si>
  <si>
    <t>N2108310425-1</t>
  </si>
  <si>
    <t>LTI-GI306787</t>
  </si>
  <si>
    <t>Y210802C31-1</t>
  </si>
  <si>
    <t>N2108310425-2</t>
  </si>
  <si>
    <t>LTI-GI306788</t>
  </si>
  <si>
    <t>N2108310427-1</t>
  </si>
  <si>
    <t>LTI-GI306789</t>
  </si>
  <si>
    <t>Y210809B11-1</t>
  </si>
  <si>
    <t>N2108310427-2</t>
  </si>
  <si>
    <t>LTI-GI306790</t>
  </si>
  <si>
    <t>N2110070356-1</t>
  </si>
  <si>
    <t>TI-GI306791</t>
  </si>
  <si>
    <t>Y210926C51-3</t>
  </si>
  <si>
    <t>N2110070356-2</t>
  </si>
  <si>
    <t>TI-GI306792</t>
  </si>
  <si>
    <t>N2109080573-1</t>
  </si>
  <si>
    <t>LTI-GI306793</t>
  </si>
  <si>
    <t>Y210829D14-2</t>
  </si>
  <si>
    <t>N2109080573-2</t>
  </si>
  <si>
    <t>LTI-GI306794</t>
  </si>
  <si>
    <t>N2109240118-1</t>
  </si>
  <si>
    <t>LTI-GI306795</t>
  </si>
  <si>
    <t>Y210909A29-2</t>
  </si>
  <si>
    <t>N2109240118-2</t>
  </si>
  <si>
    <t>LTI-GI306796</t>
  </si>
  <si>
    <t>N2110070138-1</t>
  </si>
  <si>
    <t>LTI-GI306797</t>
  </si>
  <si>
    <t>Y210926C46-4</t>
  </si>
  <si>
    <t>N2110070138-2</t>
  </si>
  <si>
    <t>LTI-GI306798</t>
  </si>
  <si>
    <t>N2109240526-1</t>
  </si>
  <si>
    <t>LTI-GI306799</t>
  </si>
  <si>
    <t>Y210909A26-1</t>
  </si>
  <si>
    <t>N2109240526-2</t>
  </si>
  <si>
    <t>LTI-GI306800</t>
  </si>
  <si>
    <t>N2109010115-1</t>
  </si>
  <si>
    <t>LTI-GI306801</t>
  </si>
  <si>
    <t>Y210601B20-1</t>
  </si>
  <si>
    <t>N2109010115-2</t>
  </si>
  <si>
    <t>LTI-GI306802</t>
  </si>
  <si>
    <t>N2109010121-1</t>
  </si>
  <si>
    <t>LTI-GI306803</t>
  </si>
  <si>
    <t>Y210709B20-1</t>
  </si>
  <si>
    <t>N2109010121-2</t>
  </si>
  <si>
    <t>LTI-GI306804</t>
  </si>
  <si>
    <t>N2110210406-1</t>
  </si>
  <si>
    <t>LTI-GI306805</t>
  </si>
  <si>
    <t>Y211009A53-3</t>
  </si>
  <si>
    <t>N2110210406-2</t>
  </si>
  <si>
    <t>LTI-GI306806</t>
  </si>
  <si>
    <t>N2109290204-1</t>
  </si>
  <si>
    <t>TI-GI306807</t>
  </si>
  <si>
    <t>Y210926C52-2</t>
  </si>
  <si>
    <t>N2109290204-2</t>
  </si>
  <si>
    <t>TI-GI306808</t>
  </si>
  <si>
    <t>N2109080211-1</t>
  </si>
  <si>
    <t>LTI-GI306809</t>
  </si>
  <si>
    <t>Y210820D50-5</t>
  </si>
  <si>
    <t>N2109080211-2</t>
  </si>
  <si>
    <t>LTI-GI306810</t>
  </si>
  <si>
    <t>N2110210177-1</t>
  </si>
  <si>
    <t>LTI-GI306811</t>
  </si>
  <si>
    <t>Y211010A48-3</t>
  </si>
  <si>
    <t>N2110210177-2</t>
  </si>
  <si>
    <t>LTI-GI306812</t>
  </si>
  <si>
    <t>N2108050333-1</t>
  </si>
  <si>
    <t>LTI-GI306813</t>
  </si>
  <si>
    <t>Y210731C53-3</t>
  </si>
  <si>
    <t>N2108050333-2</t>
  </si>
  <si>
    <t>LTI-GI306814</t>
  </si>
  <si>
    <t>N2110210255-1</t>
  </si>
  <si>
    <t>LTI-GI306815</t>
  </si>
  <si>
    <t>Y211009A30-1</t>
  </si>
  <si>
    <t>N2110210255-2</t>
  </si>
  <si>
    <t>LTI-GI306816</t>
  </si>
  <si>
    <t>N2110110214-2</t>
  </si>
  <si>
    <t>TI-GI306818</t>
  </si>
  <si>
    <t>Y210930C04-4</t>
  </si>
  <si>
    <t>N2110120686-1</t>
  </si>
  <si>
    <t>LTI-GI306819</t>
  </si>
  <si>
    <t>Y211003C41-3</t>
  </si>
  <si>
    <t>N2110120686-2</t>
  </si>
  <si>
    <t>LTI-GI306820</t>
  </si>
  <si>
    <t>N2106170251-1</t>
  </si>
  <si>
    <t>TI-GI306821</t>
  </si>
  <si>
    <t>Y210610C08-5</t>
  </si>
  <si>
    <t>N2106170251-2</t>
  </si>
  <si>
    <t>TI-GI306822</t>
  </si>
  <si>
    <t>N2110120879-1</t>
  </si>
  <si>
    <t>LTI-GI306823</t>
  </si>
  <si>
    <t>Y211002D47-2</t>
  </si>
  <si>
    <t>N2110120879-2</t>
  </si>
  <si>
    <t>LTI-GI306824</t>
  </si>
  <si>
    <t>N2110120875-1</t>
  </si>
  <si>
    <t>LTI-GI306825</t>
  </si>
  <si>
    <t>Y211002D47-3</t>
  </si>
  <si>
    <t>N2110120875-2</t>
  </si>
  <si>
    <t>LTI-GI306826</t>
  </si>
  <si>
    <t>N2110120639-1</t>
  </si>
  <si>
    <t>LTI-GI306827</t>
  </si>
  <si>
    <t>Y211003C42-5</t>
  </si>
  <si>
    <t>N2110120639-2</t>
  </si>
  <si>
    <t>LTI-GI306828</t>
  </si>
  <si>
    <t>N2108050348-1</t>
  </si>
  <si>
    <t>LTI-GI306829</t>
  </si>
  <si>
    <t>Y210801C40-2</t>
  </si>
  <si>
    <t>N2108050348-2</t>
  </si>
  <si>
    <t>LTI-GI306830</t>
  </si>
  <si>
    <t>N2109230604-1</t>
  </si>
  <si>
    <t>TI-GI306831</t>
  </si>
  <si>
    <t>Y210905C48-4</t>
  </si>
  <si>
    <t>N2109230604-2</t>
  </si>
  <si>
    <t>TI-GI306832</t>
  </si>
  <si>
    <t>N2109230652-1</t>
  </si>
  <si>
    <t>TI-GI306833</t>
  </si>
  <si>
    <t>Y210905C50-1</t>
  </si>
  <si>
    <t>N2109230652-2</t>
  </si>
  <si>
    <t>TI-GI306834</t>
  </si>
  <si>
    <t>N2110130135-1</t>
  </si>
  <si>
    <t>TI-GI306835</t>
  </si>
  <si>
    <t>Y211002D46-6</t>
  </si>
  <si>
    <t>N2110130135-2</t>
  </si>
  <si>
    <t>TI-GI306836</t>
  </si>
  <si>
    <t>N2109300216-1</t>
  </si>
  <si>
    <t>LTI-GI306837</t>
  </si>
  <si>
    <t>Y210922D42-5</t>
  </si>
  <si>
    <t>N2109300216-2</t>
  </si>
  <si>
    <t>LTI-GI306838</t>
  </si>
  <si>
    <t>N2110130133-1</t>
  </si>
  <si>
    <t>TI-GI306839</t>
  </si>
  <si>
    <t>Y211002D45-1</t>
  </si>
  <si>
    <t>N2110130133-2</t>
  </si>
  <si>
    <t>TI-GI306840</t>
  </si>
  <si>
    <t>N2111160344-1</t>
  </si>
  <si>
    <t>LTI-GI306867</t>
  </si>
  <si>
    <t>AT WAREHOUSE SBY 24.1.22</t>
  </si>
  <si>
    <t>GCNS21/WC09001-ARC</t>
  </si>
  <si>
    <t>Y211103D06-6</t>
  </si>
  <si>
    <t>N2111160344-2</t>
  </si>
  <si>
    <t>LTI-GI306868</t>
  </si>
  <si>
    <t>N2111160351-1</t>
  </si>
  <si>
    <t>LTI-GI306869</t>
  </si>
  <si>
    <t>Y211103D30-1</t>
  </si>
  <si>
    <t>N2111160351-2</t>
  </si>
  <si>
    <t>LTI-GI306870</t>
  </si>
  <si>
    <t>N2111130272-1</t>
  </si>
  <si>
    <t>LTI-GI306871</t>
  </si>
  <si>
    <t>Y211105C12-5</t>
  </si>
  <si>
    <t>N2111130272-2</t>
  </si>
  <si>
    <t>LTI-GI306872</t>
  </si>
  <si>
    <t>N2110010164-1</t>
  </si>
  <si>
    <t>TI-GI306873</t>
  </si>
  <si>
    <t>Y210923D44-5</t>
  </si>
  <si>
    <t>N2110010164-2</t>
  </si>
  <si>
    <t>TI-GI306874</t>
  </si>
  <si>
    <t>N2109290207-1</t>
  </si>
  <si>
    <t>TI-GI306875</t>
  </si>
  <si>
    <t>Y210909B42-7</t>
  </si>
  <si>
    <t>N2109290207-2</t>
  </si>
  <si>
    <t>TI-GI306876</t>
  </si>
  <si>
    <t>N2111130261-1</t>
  </si>
  <si>
    <t>LTI-GI306877</t>
  </si>
  <si>
    <t>Y211026D07-7</t>
  </si>
  <si>
    <t>N2111130261-2</t>
  </si>
  <si>
    <t>LTI-GI306878</t>
  </si>
  <si>
    <t>N2111130242-1</t>
  </si>
  <si>
    <t>LTI-GI306879</t>
  </si>
  <si>
    <t>Y211105C11-1</t>
  </si>
  <si>
    <t>N2111130242-2</t>
  </si>
  <si>
    <t>LTI-GI306880</t>
  </si>
  <si>
    <t>N2111160347-1</t>
  </si>
  <si>
    <t>LTI-GI306881</t>
  </si>
  <si>
    <t>Y211103D08-5</t>
  </si>
  <si>
    <t>N2111160347-2</t>
  </si>
  <si>
    <t>LTI-GI306882</t>
  </si>
  <si>
    <t>N2111160353-1</t>
  </si>
  <si>
    <t>LTI-GI306883</t>
  </si>
  <si>
    <t>Y211103D09-5</t>
  </si>
  <si>
    <t>N2111160353-2</t>
  </si>
  <si>
    <t>LTI-GI306884</t>
  </si>
  <si>
    <t>N2111160310-1</t>
  </si>
  <si>
    <t>LTI-GI306885</t>
  </si>
  <si>
    <t>Y211103C08-1</t>
  </si>
  <si>
    <t>N2111160310-2</t>
  </si>
  <si>
    <t>LTI-GI306886</t>
  </si>
  <si>
    <t>N2110230638-1</t>
  </si>
  <si>
    <t>TI-GI306887</t>
  </si>
  <si>
    <t>Y211011F01-3</t>
  </si>
  <si>
    <t>N2110230638-2</t>
  </si>
  <si>
    <t>TI-GI306888</t>
  </si>
  <si>
    <t>N2111220312-1</t>
  </si>
  <si>
    <t>LTI-GI306889</t>
  </si>
  <si>
    <t>Y211105C09-1</t>
  </si>
  <si>
    <t>N2111220312-2</t>
  </si>
  <si>
    <t>LTI-GI306890</t>
  </si>
  <si>
    <t>N2110230646-1</t>
  </si>
  <si>
    <t>TI-GI306891</t>
  </si>
  <si>
    <t>Y211011E02-5</t>
  </si>
  <si>
    <t>N2110230646-2</t>
  </si>
  <si>
    <t>TI-GI306892</t>
  </si>
  <si>
    <t>N2110210337-1</t>
  </si>
  <si>
    <t>LTI-GI306893</t>
  </si>
  <si>
    <t>Y211011B44-2</t>
  </si>
  <si>
    <t>N2110210337-2</t>
  </si>
  <si>
    <t>LTI-GI306894</t>
  </si>
  <si>
    <t>N2111160303-1</t>
  </si>
  <si>
    <t>LTI-GI306895</t>
  </si>
  <si>
    <t>Y211103D07-2</t>
  </si>
  <si>
    <t>N2111160303-2</t>
  </si>
  <si>
    <t>LTI-GI306896</t>
  </si>
  <si>
    <t>N2111140282-1</t>
  </si>
  <si>
    <t>TI-GI306897</t>
  </si>
  <si>
    <t>Y211027D30-4</t>
  </si>
  <si>
    <t>N2111140282-2</t>
  </si>
  <si>
    <t>TI-GI306898</t>
  </si>
  <si>
    <t>N2110230614-1</t>
  </si>
  <si>
    <t>TI-GI306899</t>
  </si>
  <si>
    <t>Y211013F05-3</t>
  </si>
  <si>
    <t>N2110230614-2</t>
  </si>
  <si>
    <t>TI-GI306900</t>
  </si>
  <si>
    <t>N2110230604-1</t>
  </si>
  <si>
    <t>TI-GI306901</t>
  </si>
  <si>
    <t>Y211013E01-5</t>
  </si>
  <si>
    <t>N2110230604-2</t>
  </si>
  <si>
    <t>TI-GI306902</t>
  </si>
  <si>
    <t>N2110230613-1</t>
  </si>
  <si>
    <t>TI-GI306903</t>
  </si>
  <si>
    <t>Y211013F05-1</t>
  </si>
  <si>
    <t>N2110230613-2</t>
  </si>
  <si>
    <t>TI-GI306904</t>
  </si>
  <si>
    <t>N2110210340-1</t>
  </si>
  <si>
    <t>LTI-GI306905</t>
  </si>
  <si>
    <t>Y211011A44-3</t>
  </si>
  <si>
    <t>N2110210340-2</t>
  </si>
  <si>
    <t>LTI-GI306906</t>
  </si>
  <si>
    <t>N2111160336-1</t>
  </si>
  <si>
    <t>LTI-GI306907</t>
  </si>
  <si>
    <t>Y211103D30-2</t>
  </si>
  <si>
    <t>N2111160336-2</t>
  </si>
  <si>
    <t>LTI-GI306908</t>
  </si>
  <si>
    <t>N2110230637-1</t>
  </si>
  <si>
    <t>TI-GI306909</t>
  </si>
  <si>
    <t>Y211011F02-2</t>
  </si>
  <si>
    <t>N2110230637-2</t>
  </si>
  <si>
    <t>TI-GI306910</t>
  </si>
  <si>
    <t>N2111140320-1</t>
  </si>
  <si>
    <t>TI-GI306911</t>
  </si>
  <si>
    <t>Y211027D06-4</t>
  </si>
  <si>
    <t>N2111140320-2</t>
  </si>
  <si>
    <t>TI-GI306912</t>
  </si>
  <si>
    <t>N2111160311-1</t>
  </si>
  <si>
    <t>LTI-GI306913</t>
  </si>
  <si>
    <t>Y211103D10-3</t>
  </si>
  <si>
    <t>N2111160311-2</t>
  </si>
  <si>
    <t>LTI-GI306914</t>
  </si>
  <si>
    <t>N2111160354-1</t>
  </si>
  <si>
    <t>LTI-GI306915</t>
  </si>
  <si>
    <t>Y211103D09-6</t>
  </si>
  <si>
    <t>N2111160354-2</t>
  </si>
  <si>
    <t>LTI-GI306916</t>
  </si>
  <si>
    <t>N2109290206-1</t>
  </si>
  <si>
    <t>TI-GI306917</t>
  </si>
  <si>
    <t>Y210526E28-2</t>
  </si>
  <si>
    <t>N2109290206-2</t>
  </si>
  <si>
    <t>TI-GI306918</t>
  </si>
  <si>
    <t>N2111160345-1</t>
  </si>
  <si>
    <t>LTI-GI306919</t>
  </si>
  <si>
    <t>Y211103D06-5</t>
  </si>
  <si>
    <t>N2111160345-2</t>
  </si>
  <si>
    <t>LTI-GI306920</t>
  </si>
  <si>
    <t>N2110230615-1</t>
  </si>
  <si>
    <t>TI-GI306921</t>
  </si>
  <si>
    <t>Y211013E05-6</t>
  </si>
  <si>
    <t>N2110230615-2</t>
  </si>
  <si>
    <t>TI-GI306922</t>
  </si>
  <si>
    <t>N2110230612-1</t>
  </si>
  <si>
    <t>TI-GI306923</t>
  </si>
  <si>
    <t>Y211013E01-2</t>
  </si>
  <si>
    <t>N2110230612-2</t>
  </si>
  <si>
    <t>TI-GI306924</t>
  </si>
  <si>
    <t>N2110230603-1</t>
  </si>
  <si>
    <t>TI-GI306925</t>
  </si>
  <si>
    <t>Y210811A48-2</t>
  </si>
  <si>
    <t>N2110230603-2</t>
  </si>
  <si>
    <t>TI-GI306926</t>
  </si>
  <si>
    <t>N2111160346-1</t>
  </si>
  <si>
    <t>LTI-GI306927</t>
  </si>
  <si>
    <t>Y211103C06-1</t>
  </si>
  <si>
    <t>N2111160346-2</t>
  </si>
  <si>
    <t>LTI-GI306928</t>
  </si>
  <si>
    <t>N2111160350-1</t>
  </si>
  <si>
    <t>LTI-GI306929</t>
  </si>
  <si>
    <t>Y211103C10-1</t>
  </si>
  <si>
    <t>N2111160350-2</t>
  </si>
  <si>
    <t>LTI-GI306930</t>
  </si>
  <si>
    <t>N2111160313-1</t>
  </si>
  <si>
    <t>LTI-GI306931</t>
  </si>
  <si>
    <t>Y211103D29-2</t>
  </si>
  <si>
    <t>N2111160313-2</t>
  </si>
  <si>
    <t>LTI-GI306932</t>
  </si>
  <si>
    <t>N2110210260-1</t>
  </si>
  <si>
    <t>LTI-GI306933</t>
  </si>
  <si>
    <t>Y211010A44-4</t>
  </si>
  <si>
    <t>N2110210260-2</t>
  </si>
  <si>
    <t>LTI-GI306934</t>
  </si>
  <si>
    <t>N2110210336-1</t>
  </si>
  <si>
    <t>LTI-GI306935</t>
  </si>
  <si>
    <t>Y211010B33-4</t>
  </si>
  <si>
    <t>N2110210336-2</t>
  </si>
  <si>
    <t>LTI-GI306936</t>
  </si>
  <si>
    <t>N2111160337-1</t>
  </si>
  <si>
    <t>LTI-GI306937</t>
  </si>
  <si>
    <t>Y211103D30-5</t>
  </si>
  <si>
    <t>N2111160337-2</t>
  </si>
  <si>
    <t>LTI-GI306938</t>
  </si>
  <si>
    <t>N2111160348-1</t>
  </si>
  <si>
    <t>LTI-GI306939</t>
  </si>
  <si>
    <t>Y211103D08-1</t>
  </si>
  <si>
    <t>N2111160348-2</t>
  </si>
  <si>
    <t>LTI-GI306940</t>
  </si>
  <si>
    <t>N2111170230-1</t>
  </si>
  <si>
    <t>LTI-GI306941</t>
  </si>
  <si>
    <t>Y211031C13-5</t>
  </si>
  <si>
    <t>N2111170230-2</t>
  </si>
  <si>
    <t>LTI-GI306942</t>
  </si>
  <si>
    <t>N2111130374-1</t>
  </si>
  <si>
    <t>LTI-GI306943</t>
  </si>
  <si>
    <t>Y211101C30-2</t>
  </si>
  <si>
    <t>N2111130374-2</t>
  </si>
  <si>
    <t>LTI-GI306944</t>
  </si>
  <si>
    <t>N2111140359-1</t>
  </si>
  <si>
    <t>TI-GI306945</t>
  </si>
  <si>
    <t>Y211027D43-5</t>
  </si>
  <si>
    <t>N2111140359-2</t>
  </si>
  <si>
    <t>TI-GI306946</t>
  </si>
  <si>
    <t>N2111130239-1</t>
  </si>
  <si>
    <t>LTI-GI306947</t>
  </si>
  <si>
    <t>Y211105D12-6</t>
  </si>
  <si>
    <t>N2111130239-2</t>
  </si>
  <si>
    <t>LTI-GI306948</t>
  </si>
  <si>
    <t>N2110230647-1</t>
  </si>
  <si>
    <t>TI-GI306949</t>
  </si>
  <si>
    <t>Y211011F02-1</t>
  </si>
  <si>
    <t>N2110230647-2</t>
  </si>
  <si>
    <t>TI-GI306950</t>
  </si>
  <si>
    <t>N2107010928-1</t>
  </si>
  <si>
    <t>LTI-GI306951</t>
  </si>
  <si>
    <t>Y210625D01-5</t>
  </si>
  <si>
    <t>N2107010928-2</t>
  </si>
  <si>
    <t>LTI-GI306952</t>
  </si>
  <si>
    <t>N2111140265-1</t>
  </si>
  <si>
    <t>TI-GI306953</t>
  </si>
  <si>
    <t>Y211025C05-1</t>
  </si>
  <si>
    <t>N2111140265-2</t>
  </si>
  <si>
    <t>TI-GI306954</t>
  </si>
  <si>
    <t>N2109080715-1</t>
  </si>
  <si>
    <t>LTI-GI306955</t>
  </si>
  <si>
    <t>Y210831C04-4</t>
  </si>
  <si>
    <t>N2109080715-2</t>
  </si>
  <si>
    <t>LTI-GI306956</t>
  </si>
  <si>
    <t>N2111130278-1</t>
  </si>
  <si>
    <t>LTI-GI306957</t>
  </si>
  <si>
    <t>Y211106D22-6</t>
  </si>
  <si>
    <t>N2111130278-2</t>
  </si>
  <si>
    <t>LTI-GI306958</t>
  </si>
  <si>
    <t>N2111130430-1</t>
  </si>
  <si>
    <t>LTI-GI306959</t>
  </si>
  <si>
    <t>Y211105D14-3</t>
  </si>
  <si>
    <t>N2111130430-2</t>
  </si>
  <si>
    <t>LTI-GI306960</t>
  </si>
  <si>
    <t>N2110060427-1</t>
  </si>
  <si>
    <t>LTI-GI306961</t>
  </si>
  <si>
    <t>Y210925D47-6</t>
  </si>
  <si>
    <t>N2110060427-2</t>
  </si>
  <si>
    <t>LTI-GI306962</t>
  </si>
  <si>
    <t>N2109290208-1</t>
  </si>
  <si>
    <t>TI-GI306963</t>
  </si>
  <si>
    <t>Y210830C34-7</t>
  </si>
  <si>
    <t>N2109290208-2</t>
  </si>
  <si>
    <t>TI-GI306964</t>
  </si>
  <si>
    <t>N2110070419-1</t>
  </si>
  <si>
    <t>TI-GI306965</t>
  </si>
  <si>
    <t>Y210926C12-4</t>
  </si>
  <si>
    <t>N2110070419-2</t>
  </si>
  <si>
    <t>TI-GI306966</t>
  </si>
  <si>
    <t>N2111160304-1</t>
  </si>
  <si>
    <t>LTI-GI306967</t>
  </si>
  <si>
    <t>Y211103D07-4</t>
  </si>
  <si>
    <t>N2111160304-2</t>
  </si>
  <si>
    <t>LTI-GI306968</t>
  </si>
  <si>
    <t>N2109250402-1</t>
  </si>
  <si>
    <t>LTI-GI306969</t>
  </si>
  <si>
    <t>Y210908A22-3</t>
  </si>
  <si>
    <t>N2109250402-2</t>
  </si>
  <si>
    <t>LTI-GI306970</t>
  </si>
  <si>
    <t>N2111140353-1</t>
  </si>
  <si>
    <t>TI-GI306971</t>
  </si>
  <si>
    <t>Y211027D30-6</t>
  </si>
  <si>
    <t>N2111140353-2</t>
  </si>
  <si>
    <t>TI-GI306972</t>
  </si>
  <si>
    <t>N2104090419-1</t>
  </si>
  <si>
    <t>LTI-GI306973</t>
  </si>
  <si>
    <t>Y210403C47-3</t>
  </si>
  <si>
    <t>N2104090419-2</t>
  </si>
  <si>
    <t>LTI-GI306974</t>
  </si>
  <si>
    <t>N2109290205-1</t>
  </si>
  <si>
    <t>TI-GI306975</t>
  </si>
  <si>
    <t>Y210526E28-1</t>
  </si>
  <si>
    <t>N2109290205-2</t>
  </si>
  <si>
    <t>TI-GI306976</t>
  </si>
  <si>
    <t>N2111140268-1</t>
  </si>
  <si>
    <t>TI-GI306977</t>
  </si>
  <si>
    <t>Y211027D24-1</t>
  </si>
  <si>
    <t>N2111140268-2</t>
  </si>
  <si>
    <t>TI-GI306978</t>
  </si>
  <si>
    <t>N2111140106-1</t>
  </si>
  <si>
    <t>TI-GI306979</t>
  </si>
  <si>
    <t>Y211027D25-2</t>
  </si>
  <si>
    <t>N2111140106-2</t>
  </si>
  <si>
    <t>TI-GI306980</t>
  </si>
  <si>
    <t>N2111140242-1</t>
  </si>
  <si>
    <t>TI-GI306981</t>
  </si>
  <si>
    <t>Y211027D07-7</t>
  </si>
  <si>
    <t>N2111140242-2</t>
  </si>
  <si>
    <t>TI-GI306982</t>
  </si>
  <si>
    <t>N2110210338-1</t>
  </si>
  <si>
    <t>LTI-GI306983</t>
  </si>
  <si>
    <t>Y211010A52-7</t>
  </si>
  <si>
    <t>N2110210338-2</t>
  </si>
  <si>
    <t>LTI-GI306984</t>
  </si>
  <si>
    <t>N2111140209-1</t>
  </si>
  <si>
    <t>TI-GI306985</t>
  </si>
  <si>
    <t>Y211025C05-6</t>
  </si>
  <si>
    <t>N2111140209-2</t>
  </si>
  <si>
    <t>TI-GI306986</t>
  </si>
  <si>
    <t>N2109290214-1</t>
  </si>
  <si>
    <t>TI-GI306987</t>
  </si>
  <si>
    <t>Y210926D52-3</t>
  </si>
  <si>
    <t>N2109290214-2</t>
  </si>
  <si>
    <t>TI-GI306988</t>
  </si>
  <si>
    <t>N2110210342-1</t>
  </si>
  <si>
    <t>LTI-GI306989</t>
  </si>
  <si>
    <t>Y211011B42-5</t>
  </si>
  <si>
    <t>N2110210342-2</t>
  </si>
  <si>
    <t>LTI-GI306990</t>
  </si>
  <si>
    <t>N2110210345-1</t>
  </si>
  <si>
    <t>LTI-GI306991</t>
  </si>
  <si>
    <t>Y211010B42-2</t>
  </si>
  <si>
    <t>N2110210345-2</t>
  </si>
  <si>
    <t>LTI-GI306992</t>
  </si>
  <si>
    <t>N2110210341-1</t>
  </si>
  <si>
    <t>LTI-GI306993</t>
  </si>
  <si>
    <t>Y211011B43-1</t>
  </si>
  <si>
    <t>N2110210341-2</t>
  </si>
  <si>
    <t>LTI-GI306994</t>
  </si>
  <si>
    <t>N2110210344-1</t>
  </si>
  <si>
    <t>LTI-GI306995</t>
  </si>
  <si>
    <t>Y211010A41-6</t>
  </si>
  <si>
    <t>N2110210344-2</t>
  </si>
  <si>
    <t>LTI-GI306996</t>
  </si>
  <si>
    <t>N2110210339-1</t>
  </si>
  <si>
    <t>LTI-GI306997</t>
  </si>
  <si>
    <t>Y211011B43-2</t>
  </si>
  <si>
    <t>N2110210339-2</t>
  </si>
  <si>
    <t>LTI-GI306998</t>
  </si>
  <si>
    <t>N2110210343-1</t>
  </si>
  <si>
    <t>LTI-GI306999</t>
  </si>
  <si>
    <t>Y211011B41-5</t>
  </si>
  <si>
    <t>N2110210343-2</t>
  </si>
  <si>
    <t>LTI-GI307000</t>
  </si>
  <si>
    <t>N2110230213-1</t>
  </si>
  <si>
    <t>LTI-GI307001</t>
  </si>
  <si>
    <t>Y211014F46-4</t>
  </si>
  <si>
    <t>N2110230213-2</t>
  </si>
  <si>
    <t>LTI-GI307002</t>
  </si>
  <si>
    <t>N2110230217-1</t>
  </si>
  <si>
    <t>LTI-GI307003</t>
  </si>
  <si>
    <t>Y211014E40-4</t>
  </si>
  <si>
    <t>N2110230217-2</t>
  </si>
  <si>
    <t>LTI-GI307004</t>
  </si>
  <si>
    <t>N2110230219-1</t>
  </si>
  <si>
    <t>LTI-GI307005</t>
  </si>
  <si>
    <t>Y211014F45-5</t>
  </si>
  <si>
    <t>N2110230219-2</t>
  </si>
  <si>
    <t>LTI-GI307006</t>
  </si>
  <si>
    <t>N2108200607-1</t>
  </si>
  <si>
    <t>LTI-GI307007</t>
  </si>
  <si>
    <t>Y210815F07-4</t>
  </si>
  <si>
    <t>N2108200607-2</t>
  </si>
  <si>
    <t>LTI-GI307008</t>
  </si>
  <si>
    <t>N2110290418-1</t>
  </si>
  <si>
    <t>LTI-GI307009</t>
  </si>
  <si>
    <t>Y211020D24-4</t>
  </si>
  <si>
    <t>N2110290418-2</t>
  </si>
  <si>
    <t>LTI-GI307010</t>
  </si>
  <si>
    <t>N2110230218-1</t>
  </si>
  <si>
    <t>LTI-GI307011</t>
  </si>
  <si>
    <t>Y211014F44-3</t>
  </si>
  <si>
    <t>N2110230218-2</t>
  </si>
  <si>
    <t>LTI-GI307012</t>
  </si>
  <si>
    <t>N2109230609-1</t>
  </si>
  <si>
    <t>TI-GI307013</t>
  </si>
  <si>
    <t>Y210905D52-2</t>
  </si>
  <si>
    <t>N2109230609-2</t>
  </si>
  <si>
    <t>TI-GI307014</t>
  </si>
  <si>
    <t>N2110230212-1</t>
  </si>
  <si>
    <t>LTI-GI307015</t>
  </si>
  <si>
    <t>Y211014F46-1</t>
  </si>
  <si>
    <t>N2110230212-2</t>
  </si>
  <si>
    <t>LTI-GI307016</t>
  </si>
  <si>
    <t>N2110290558-1</t>
  </si>
  <si>
    <t>LTI-GI307017</t>
  </si>
  <si>
    <t>Y211020D05-5</t>
  </si>
  <si>
    <t>N2110290558-2</t>
  </si>
  <si>
    <t>LTI-GI307018</t>
  </si>
  <si>
    <t>N2110230223-1</t>
  </si>
  <si>
    <t>LTI-GI307019</t>
  </si>
  <si>
    <t>Y211014C24-1</t>
  </si>
  <si>
    <t>N2110230223-2</t>
  </si>
  <si>
    <t>LTI-GI307020</t>
  </si>
  <si>
    <t>N2110230214-1</t>
  </si>
  <si>
    <t>LTI-GI307021</t>
  </si>
  <si>
    <t>Y211014F46-2</t>
  </si>
  <si>
    <t>N2110230214-2</t>
  </si>
  <si>
    <t>LTI-GI307022</t>
  </si>
  <si>
    <t>N2110230221-1</t>
  </si>
  <si>
    <t>LTI-GI307023</t>
  </si>
  <si>
    <t>Y211014D24-3</t>
  </si>
  <si>
    <t>N2110230221-2</t>
  </si>
  <si>
    <t>LTI-GI307024</t>
  </si>
  <si>
    <t>N2109120235-1</t>
  </si>
  <si>
    <t>LTI-GI307025</t>
  </si>
  <si>
    <t>Y210904C44-4</t>
  </si>
  <si>
    <t>N2109120235-2</t>
  </si>
  <si>
    <t>LTI-GI307026</t>
  </si>
  <si>
    <t>N2111130120-1</t>
  </si>
  <si>
    <t>LTI-GI307027</t>
  </si>
  <si>
    <t>Y211031D12-5</t>
  </si>
  <si>
    <t>N2111130120-2</t>
  </si>
  <si>
    <t>LTI-GI307028</t>
  </si>
  <si>
    <t>N2111130109-1</t>
  </si>
  <si>
    <t>TI-GI307029</t>
  </si>
  <si>
    <t>Y211101C02-3</t>
  </si>
  <si>
    <t>N2111130109-2</t>
  </si>
  <si>
    <t>TI-GI307030</t>
  </si>
  <si>
    <t>N2109120236-1</t>
  </si>
  <si>
    <t>LTI-GI307031</t>
  </si>
  <si>
    <t>Y210904D43-5</t>
  </si>
  <si>
    <t>N2109120236-2</t>
  </si>
  <si>
    <t>LTI-GI307032</t>
  </si>
  <si>
    <t>N2110060368-1</t>
  </si>
  <si>
    <t>LTI-GI307033</t>
  </si>
  <si>
    <t>Y210925C45-3</t>
  </si>
  <si>
    <t>N2110060368-2</t>
  </si>
  <si>
    <t>LTI-GI307034</t>
  </si>
  <si>
    <t>N2107310520-1</t>
  </si>
  <si>
    <t>TI-GI307035</t>
  </si>
  <si>
    <t>Y210726D02-6</t>
  </si>
  <si>
    <t>N2107310520-2</t>
  </si>
  <si>
    <t>TI-GI307036</t>
  </si>
  <si>
    <t>N2111130147-1</t>
  </si>
  <si>
    <t>TI-GI307037</t>
  </si>
  <si>
    <t>Y211101C03-1</t>
  </si>
  <si>
    <t>N2111130147-2</t>
  </si>
  <si>
    <t>TI-GI307038</t>
  </si>
  <si>
    <t>N2111030161-1</t>
  </si>
  <si>
    <t>LTI-GI307039</t>
  </si>
  <si>
    <t>Y210830D08-6</t>
  </si>
  <si>
    <t>N2111030161-2</t>
  </si>
  <si>
    <t>LTI-GI307040</t>
  </si>
  <si>
    <t>N2110060729-1</t>
  </si>
  <si>
    <t>LTI-GI307041</t>
  </si>
  <si>
    <t>Y210820D45-3</t>
  </si>
  <si>
    <t>N2110060729-2</t>
  </si>
  <si>
    <t>LTI-GI307042</t>
  </si>
  <si>
    <t>N2111240120-1</t>
  </si>
  <si>
    <t>LTI-GI307043</t>
  </si>
  <si>
    <t>Y211101D27-2</t>
  </si>
  <si>
    <t>N2111240120-2</t>
  </si>
  <si>
    <t>LTI-GI307044</t>
  </si>
  <si>
    <t>N2111220451-1</t>
  </si>
  <si>
    <t>LTI-GI307045</t>
  </si>
  <si>
    <t>Y211104D13-3</t>
  </si>
  <si>
    <t>N2111220451-2</t>
  </si>
  <si>
    <t>LTI-GI307046</t>
  </si>
  <si>
    <t>N2110210346-1</t>
  </si>
  <si>
    <t>LTI-GI307047</t>
  </si>
  <si>
    <t>Y211010A43-1</t>
  </si>
  <si>
    <t>N2110210346-2</t>
  </si>
  <si>
    <t>LTI-GI307048</t>
  </si>
  <si>
    <t>N2111030180-1</t>
  </si>
  <si>
    <t>LTI-GI307049</t>
  </si>
  <si>
    <t>Y211010B43-1</t>
  </si>
  <si>
    <t>N2111030180-2</t>
  </si>
  <si>
    <t>LTI-GI307050</t>
  </si>
  <si>
    <t>N2111240192-1</t>
  </si>
  <si>
    <t>LTI-GI307051</t>
  </si>
  <si>
    <t>Y211104C27-3</t>
  </si>
  <si>
    <t>N2111240192-2</t>
  </si>
  <si>
    <t>LTI-GI307052</t>
  </si>
  <si>
    <t>N2111140303-1</t>
  </si>
  <si>
    <t>TI-GI307053</t>
  </si>
  <si>
    <t>Y211027C06-4</t>
  </si>
  <si>
    <t>N2111140303-2</t>
  </si>
  <si>
    <t>TI-GI307054</t>
  </si>
  <si>
    <t>N2111220416-1</t>
  </si>
  <si>
    <t>LTI-GI307055</t>
  </si>
  <si>
    <t>Y211104D14-3</t>
  </si>
  <si>
    <t>N2111220416-2</t>
  </si>
  <si>
    <t>LTI-GI307056</t>
  </si>
  <si>
    <t>N2111030147-1</t>
  </si>
  <si>
    <t>LTI-GI307057</t>
  </si>
  <si>
    <t>Y210917D40-1</t>
  </si>
  <si>
    <t>N2111030147-2</t>
  </si>
  <si>
    <t>LTI-GI307058</t>
  </si>
  <si>
    <t>N2111040323-1</t>
  </si>
  <si>
    <t>LTI-GI307059</t>
  </si>
  <si>
    <t>Y210902C07-1</t>
  </si>
  <si>
    <t>N2111040323-2</t>
  </si>
  <si>
    <t>LTI-GI307060</t>
  </si>
  <si>
    <t>N2111030157-1</t>
  </si>
  <si>
    <t>LTI-GI307061</t>
  </si>
  <si>
    <t>Y210830C06-1</t>
  </si>
  <si>
    <t>N2111030157-2</t>
  </si>
  <si>
    <t>LTI-GI307062</t>
  </si>
  <si>
    <t>N2111030173-1</t>
  </si>
  <si>
    <t>LTI-GI307063</t>
  </si>
  <si>
    <t>Y211012E10-1</t>
  </si>
  <si>
    <t>N2111030173-2</t>
  </si>
  <si>
    <t>LTI-GI307064</t>
  </si>
  <si>
    <t>N2111240116-1</t>
  </si>
  <si>
    <t>LTI-GI307065</t>
  </si>
  <si>
    <t>Y211026C11-6</t>
  </si>
  <si>
    <t>N2111240116-2</t>
  </si>
  <si>
    <t>LTI-GI307066</t>
  </si>
  <si>
    <t>N2111240170-1</t>
  </si>
  <si>
    <t>LTI-GI307067</t>
  </si>
  <si>
    <t>Y211104D06-2</t>
  </si>
  <si>
    <t>N2111240170-2</t>
  </si>
  <si>
    <t>LTI-GI307068</t>
  </si>
  <si>
    <t>N2111240245-1</t>
  </si>
  <si>
    <t>LTI-GI307069</t>
  </si>
  <si>
    <t>Y211101D28-4</t>
  </si>
  <si>
    <t>N2111240245-2</t>
  </si>
  <si>
    <t>LTI-GI307070</t>
  </si>
  <si>
    <t>N2111240251-1</t>
  </si>
  <si>
    <t>LTI-GI307071</t>
  </si>
  <si>
    <t>Y210925C14-3</t>
  </si>
  <si>
    <t>N2111240251-2</t>
  </si>
  <si>
    <t>LTI-GI307072</t>
  </si>
  <si>
    <t>N2111220337-1</t>
  </si>
  <si>
    <t>LTI-GI307073</t>
  </si>
  <si>
    <t>Y211116B32-3</t>
  </si>
  <si>
    <t>N2111220337-2</t>
  </si>
  <si>
    <t>LTI-GI307074</t>
  </si>
  <si>
    <t>N2110060325-1</t>
  </si>
  <si>
    <t>TI-GI307075</t>
  </si>
  <si>
    <t>Y210925C41-6</t>
  </si>
  <si>
    <t>N2110060325-2</t>
  </si>
  <si>
    <t>TI-GI307076</t>
  </si>
  <si>
    <t>N2111240256-1</t>
  </si>
  <si>
    <t>LTI-GI307077</t>
  </si>
  <si>
    <t>Y211026C10-3</t>
  </si>
  <si>
    <t>N2111240256-2</t>
  </si>
  <si>
    <t>LTI-GI307078</t>
  </si>
  <si>
    <t>N2110230451-1</t>
  </si>
  <si>
    <t>LTI-GI307079</t>
  </si>
  <si>
    <t>Y211013E26-3</t>
  </si>
  <si>
    <t>N2110230451-2</t>
  </si>
  <si>
    <t>LTI-GI307080</t>
  </si>
  <si>
    <t>N2111220235-1</t>
  </si>
  <si>
    <t>LTI-GI307081</t>
  </si>
  <si>
    <t>Y211106C03-5</t>
  </si>
  <si>
    <t>N2111220235-2</t>
  </si>
  <si>
    <t>LTI-GI307082</t>
  </si>
  <si>
    <t>N2110310229-1</t>
  </si>
  <si>
    <t>TI-GI307083</t>
  </si>
  <si>
    <t>Y211023C03-3</t>
  </si>
  <si>
    <t>N2110310229-2</t>
  </si>
  <si>
    <t>TI-GI307084</t>
  </si>
  <si>
    <t>N2110230382-1</t>
  </si>
  <si>
    <t>LTI-GI307085</t>
  </si>
  <si>
    <t>Y211014E44-7</t>
  </si>
  <si>
    <t>N2110230382-2</t>
  </si>
  <si>
    <t>LTI-GI307086</t>
  </si>
  <si>
    <t>N2111030168-1</t>
  </si>
  <si>
    <t>LTI-GI307087</t>
  </si>
  <si>
    <t>Y210830C07-2</t>
  </si>
  <si>
    <t>N2111030168-2</t>
  </si>
  <si>
    <t>LTI-GI307088</t>
  </si>
  <si>
    <t>N2111240222-1</t>
  </si>
  <si>
    <t>LTI-GI307089</t>
  </si>
  <si>
    <t>Y211104C10-4</t>
  </si>
  <si>
    <t>N2111240222-2</t>
  </si>
  <si>
    <t>LTI-GI307090</t>
  </si>
  <si>
    <t>N2111220304-1</t>
  </si>
  <si>
    <t>LTI-GI307091</t>
  </si>
  <si>
    <t>Y211105C08-4</t>
  </si>
  <si>
    <t>N2111220304-2</t>
  </si>
  <si>
    <t>LTI-GI307092</t>
  </si>
  <si>
    <t>N2111220248-1</t>
  </si>
  <si>
    <t>LTI-GI307093</t>
  </si>
  <si>
    <t>Y211116A32-1</t>
  </si>
  <si>
    <t>N2111220248-2</t>
  </si>
  <si>
    <t>LTI-GI307094</t>
  </si>
  <si>
    <t>N2111220210-1</t>
  </si>
  <si>
    <t>LTI-GI307095</t>
  </si>
  <si>
    <t>Y211105D13-4</t>
  </si>
  <si>
    <t>N2111220210-2</t>
  </si>
  <si>
    <t>LTI-GI307096</t>
  </si>
  <si>
    <t>N2110210139-1</t>
  </si>
  <si>
    <t>LTI-GI307097</t>
  </si>
  <si>
    <t>Y211009B53-1</t>
  </si>
  <si>
    <t>N2110210139-2</t>
  </si>
  <si>
    <t>LTI-GI307098</t>
  </si>
  <si>
    <t>SUBTOTAL</t>
  </si>
  <si>
    <t>409/L</t>
  </si>
  <si>
    <t>RM Incoming</t>
  </si>
  <si>
    <t xml:space="preserve">WIP FH </t>
  </si>
  <si>
    <t>Stock No Cust</t>
  </si>
  <si>
    <t>Stock KW2</t>
  </si>
  <si>
    <t>Tonnes</t>
  </si>
  <si>
    <t>FH/2B/1D</t>
  </si>
  <si>
    <t>Aged 0-30 Days</t>
  </si>
  <si>
    <t>Aged 31-60 Days</t>
  </si>
  <si>
    <t>Aged 61-90 Days</t>
  </si>
  <si>
    <t>Aged More 91 Days</t>
  </si>
  <si>
    <t>Aged More 90 Days</t>
  </si>
  <si>
    <t>2B (RUST)</t>
  </si>
  <si>
    <t>FORMULA</t>
  </si>
  <si>
    <t>2B (RUST + DENT)</t>
  </si>
  <si>
    <t>J3 - SD</t>
  </si>
  <si>
    <t>WIP 2B</t>
  </si>
  <si>
    <t xml:space="preserve"> </t>
  </si>
  <si>
    <t>lot</t>
  </si>
  <si>
    <t>NEXT PROSES</t>
  </si>
  <si>
    <t xml:space="preserve">From Thick 
(mm)
</t>
  </si>
  <si>
    <t>Act Thick Min</t>
  </si>
  <si>
    <t>Act Thick Max</t>
  </si>
  <si>
    <t>Output Weight</t>
  </si>
  <si>
    <t>SCRAP</t>
  </si>
  <si>
    <t>PROSES CPL</t>
  </si>
  <si>
    <t>PROSES MILL</t>
  </si>
  <si>
    <t>PROSES BAL</t>
  </si>
  <si>
    <t>PROSES SLT</t>
  </si>
  <si>
    <t>PROSES CTL</t>
  </si>
  <si>
    <t>Date Roll</t>
  </si>
  <si>
    <t>TODAY</t>
  </si>
  <si>
    <t>WIP Aging</t>
  </si>
  <si>
    <t>NET Weight Incoming
(MT)</t>
  </si>
  <si>
    <t>GROSS Incoming</t>
  </si>
  <si>
    <t>NET IMR</t>
  </si>
  <si>
    <t>GROSS IMR</t>
  </si>
  <si>
    <t>RE CPL 02.02 - BAL</t>
  </si>
  <si>
    <t>N2107260204-2</t>
  </si>
  <si>
    <t>TI-GI306197</t>
  </si>
  <si>
    <t>Y210720D09-5</t>
  </si>
  <si>
    <t>CPL 07.02 - MILL</t>
  </si>
  <si>
    <t>N2108190364-2</t>
  </si>
  <si>
    <t>LTI-GI306481</t>
  </si>
  <si>
    <t>RE CPL 07.02 - BAL</t>
  </si>
  <si>
    <t>N2109010155-2</t>
  </si>
  <si>
    <t>LTI-GI306391</t>
  </si>
  <si>
    <t>Y210805C46-5</t>
  </si>
  <si>
    <t>N2107250861-2</t>
  </si>
  <si>
    <t>TI-GI306159</t>
  </si>
  <si>
    <t>Y210720C01-3</t>
  </si>
  <si>
    <t>N2109010146-2</t>
  </si>
  <si>
    <t>LTI-GI306523</t>
  </si>
  <si>
    <t>Y210720C48-1</t>
  </si>
  <si>
    <t>N2106250353-1</t>
  </si>
  <si>
    <t>LTI-GI306106</t>
  </si>
  <si>
    <t>Y210621C05-4</t>
  </si>
  <si>
    <t>N2107260569-1</t>
  </si>
  <si>
    <t>LTI-GI306066</t>
  </si>
  <si>
    <t>Y210719D46-6</t>
  </si>
  <si>
    <t>N2109010128-1</t>
  </si>
  <si>
    <t>LTI-GI306466</t>
  </si>
  <si>
    <t>Y210629E27-1</t>
  </si>
  <si>
    <t>LTI-GI306401</t>
  </si>
  <si>
    <t>N2104240754-2</t>
  </si>
  <si>
    <t>LTI-GI306263</t>
  </si>
  <si>
    <t>Y210405B45-1</t>
  </si>
  <si>
    <t>N2108040126-2</t>
  </si>
  <si>
    <t>LTI-GI306363</t>
  </si>
  <si>
    <t>Y210514C49-6</t>
  </si>
  <si>
    <t>N2107010212-2</t>
  </si>
  <si>
    <t>LTI-GI306311</t>
  </si>
  <si>
    <t>Y210521C51-6</t>
  </si>
  <si>
    <t>CPL 08.02 - MILL</t>
  </si>
  <si>
    <t>RE CPL 08.02 - BAL</t>
  </si>
  <si>
    <t>N2109010155-1</t>
  </si>
  <si>
    <t>LTI-GI306390</t>
  </si>
  <si>
    <t>N2108210238-1</t>
  </si>
  <si>
    <t>LTI-GI306373</t>
  </si>
  <si>
    <t>Y210813B50-6</t>
  </si>
  <si>
    <t>CPL 08.02 - RR</t>
  </si>
  <si>
    <t>N2108050505-2</t>
  </si>
  <si>
    <t>LTI-GI306375</t>
  </si>
  <si>
    <t>N2109260104-1</t>
  </si>
  <si>
    <t>LTI-GI306745</t>
  </si>
  <si>
    <t>Y210916F11-2</t>
  </si>
  <si>
    <t>N2106250155-2</t>
  </si>
  <si>
    <t>LTI-GI306722</t>
  </si>
  <si>
    <t>Y210504A50-3</t>
  </si>
  <si>
    <t>N2106170309-2</t>
  </si>
  <si>
    <t>LTI-GI306271</t>
  </si>
  <si>
    <t>Y210610D21-6</t>
  </si>
  <si>
    <t>CPL 09.02 - MILL</t>
  </si>
  <si>
    <t>N2107250812-2</t>
  </si>
  <si>
    <t>LTI-GI306439</t>
  </si>
  <si>
    <t>Y210719C10-3</t>
  </si>
  <si>
    <t>RE CPL 09.02 - BAL</t>
  </si>
  <si>
    <t>N2107250828-1</t>
  </si>
  <si>
    <t>TI-GI306346</t>
  </si>
  <si>
    <t>Y210719C15-4</t>
  </si>
  <si>
    <t>N2103090505-1</t>
  </si>
  <si>
    <t>TI-GI306597</t>
  </si>
  <si>
    <t>Y210216C50-6</t>
  </si>
  <si>
    <t>N2109010140-2</t>
  </si>
  <si>
    <t>LTI-GI306652</t>
  </si>
  <si>
    <t>N2107260366-1</t>
  </si>
  <si>
    <t>LTI-GI306218</t>
  </si>
  <si>
    <t>Y210713A29-4</t>
  </si>
  <si>
    <t>N2107260207-2</t>
  </si>
  <si>
    <t>TI-GI306177</t>
  </si>
  <si>
    <t>Y210720C05-3</t>
  </si>
  <si>
    <t>N2106240226-1</t>
  </si>
  <si>
    <t>TI-GI306272</t>
  </si>
  <si>
    <t>Y210613C12-1</t>
  </si>
  <si>
    <t>N2105280114-1</t>
  </si>
  <si>
    <t>LTI-GI306318</t>
  </si>
  <si>
    <t>Y201222B25-2</t>
  </si>
  <si>
    <t>N2107260204-1</t>
  </si>
  <si>
    <t>TI-GI306196</t>
  </si>
  <si>
    <t>N2107260366-2</t>
  </si>
  <si>
    <t>LTI-GI306219</t>
  </si>
  <si>
    <t>N2109010132-1</t>
  </si>
  <si>
    <t>LTI-GI306410</t>
  </si>
  <si>
    <t>Y210731D44-1</t>
  </si>
  <si>
    <t>N2110010134-2</t>
  </si>
  <si>
    <t>TI-GI306738</t>
  </si>
  <si>
    <t>RE CPL 10.02 - BAL</t>
  </si>
  <si>
    <t>N2107310610-2</t>
  </si>
  <si>
    <t>LTI-GI306547</t>
  </si>
  <si>
    <t>Y210621C08-6</t>
  </si>
  <si>
    <t>CPL 10.02 - MILL</t>
  </si>
  <si>
    <t>N2107310610-1</t>
  </si>
  <si>
    <t>LTI-GI306546</t>
  </si>
  <si>
    <t>N2108200503-2</t>
  </si>
  <si>
    <t>LTI-GI306726</t>
  </si>
  <si>
    <t>Y210722D41-3</t>
  </si>
  <si>
    <t>N2107250813-2</t>
  </si>
  <si>
    <t>LTI-GI306415</t>
  </si>
  <si>
    <t>Y210719C10-2</t>
  </si>
  <si>
    <t>N2107260206-2</t>
  </si>
  <si>
    <t>TI-GI306199</t>
  </si>
  <si>
    <t>Y210720C45-1</t>
  </si>
  <si>
    <t>N2107310611-1</t>
  </si>
  <si>
    <t>LTI-GI306432</t>
  </si>
  <si>
    <t>Y210708D54-3</t>
  </si>
  <si>
    <t>N2109010118-1</t>
  </si>
  <si>
    <t>LTI-GI306585</t>
  </si>
  <si>
    <t>Y210528D10-1</t>
  </si>
  <si>
    <t>N2109010120-1</t>
  </si>
  <si>
    <t>LTI-GI306633</t>
  </si>
  <si>
    <t>Y210712A32-1</t>
  </si>
  <si>
    <t>N2107250854-1</t>
  </si>
  <si>
    <t>TI-GI306160</t>
  </si>
  <si>
    <t>Y210719C15-6</t>
  </si>
  <si>
    <t>N2109010158-2</t>
  </si>
  <si>
    <t>LTI-GI306680</t>
  </si>
  <si>
    <t>N2109010120-2</t>
  </si>
  <si>
    <t>LTI-GI306634</t>
  </si>
  <si>
    <t>CPL 11.02 - MILL</t>
  </si>
  <si>
    <t>N2108270707-2</t>
  </si>
  <si>
    <t>LTI-GI306451</t>
  </si>
  <si>
    <t>Y210719C08-4</t>
  </si>
  <si>
    <t>RE CPL 11.02 - BAL</t>
  </si>
  <si>
    <t>N2109010154-1</t>
  </si>
  <si>
    <t>LTI-GI306476</t>
  </si>
  <si>
    <t>Y210719D52-5</t>
  </si>
  <si>
    <t>N2108200504-2</t>
  </si>
  <si>
    <t>LTI-GI306674</t>
  </si>
  <si>
    <t>Y210722D41-6</t>
  </si>
  <si>
    <t>N2108310420-2</t>
  </si>
  <si>
    <t>LTI-GI306533</t>
  </si>
  <si>
    <t>N2109010153-2</t>
  </si>
  <si>
    <t>LTI-GI306397</t>
  </si>
  <si>
    <t>Y210813B45-6</t>
  </si>
  <si>
    <t>N2108200504-1</t>
  </si>
  <si>
    <t>LTI-GI306673</t>
  </si>
  <si>
    <t>N2109260458-1</t>
  </si>
  <si>
    <t>TI-GI306739</t>
  </si>
  <si>
    <t>N2108310410-2</t>
  </si>
  <si>
    <t>LTI-GI306457</t>
  </si>
  <si>
    <t>Y210804C20-6</t>
  </si>
  <si>
    <t>N2106250102-2</t>
  </si>
  <si>
    <t>LTI-GI306117</t>
  </si>
  <si>
    <t>N2108040145-1</t>
  </si>
  <si>
    <t>LTI-GI306404</t>
  </si>
  <si>
    <t>Y210715A47-6</t>
  </si>
  <si>
    <t>N2107250853-1</t>
  </si>
  <si>
    <t>TI-GI306146</t>
  </si>
  <si>
    <t>Y210720D03-1</t>
  </si>
  <si>
    <t>RE CPL 12.02 - BAL</t>
  </si>
  <si>
    <t>CPL 12.02 - MILL</t>
  </si>
  <si>
    <t>N2108200503-1</t>
  </si>
  <si>
    <t>LTI-GI306725</t>
  </si>
  <si>
    <t>N2106250155-1</t>
  </si>
  <si>
    <t>LTI-GI306721</t>
  </si>
  <si>
    <t>N2109030537-1</t>
  </si>
  <si>
    <t>TI-GI306621</t>
  </si>
  <si>
    <t>Y210825C20-5</t>
  </si>
  <si>
    <t>N2108190255-1</t>
  </si>
  <si>
    <t>TI-GI306528</t>
  </si>
  <si>
    <t>Y210814F20-6</t>
  </si>
  <si>
    <t>N2109030537-2</t>
  </si>
  <si>
    <t>TI-GI306622</t>
  </si>
  <si>
    <t>N2107250743-1</t>
  </si>
  <si>
    <t>LTI-GI306138</t>
  </si>
  <si>
    <t>Y210719D14-3</t>
  </si>
  <si>
    <t>N2109030546-2</t>
  </si>
  <si>
    <t>TI-GI306624</t>
  </si>
  <si>
    <t>Y210823D02-6</t>
  </si>
  <si>
    <t>N2110110214-1</t>
  </si>
  <si>
    <t>TI-GI306817</t>
  </si>
  <si>
    <t>N2107250743-2</t>
  </si>
  <si>
    <t>LTI-GI306139</t>
  </si>
  <si>
    <t>N2109030546-1</t>
  </si>
  <si>
    <t>TI-GI306623</t>
  </si>
  <si>
    <t>N2105290609-1</t>
  </si>
  <si>
    <t>LTI-GI306118</t>
  </si>
  <si>
    <t>Y210428C47-7</t>
  </si>
  <si>
    <t>RE CPL 13.02 - BAL</t>
  </si>
  <si>
    <t>CPL 13.02 - MILL</t>
  </si>
  <si>
    <t>N2109030547-1</t>
  </si>
  <si>
    <t>TI-GI306607</t>
  </si>
  <si>
    <t>Y210825C20-3</t>
  </si>
  <si>
    <t>N2108010203-2</t>
  </si>
  <si>
    <t>LTI-GI306569</t>
  </si>
  <si>
    <t>Y210725D48-3</t>
  </si>
  <si>
    <t>N2106060452-2</t>
  </si>
  <si>
    <t>LTI-GI306099</t>
  </si>
  <si>
    <t>Y210527E49-2</t>
  </si>
  <si>
    <t>N2106060449-2</t>
  </si>
  <si>
    <t>LTI-GI306095</t>
  </si>
  <si>
    <t>N2108040121-2</t>
  </si>
  <si>
    <t>LTI-GI306489</t>
  </si>
  <si>
    <t>Y210514D48-5</t>
  </si>
  <si>
    <t>N2109030547-2</t>
  </si>
  <si>
    <t>TI-GI306608</t>
  </si>
  <si>
    <t>N2109080322-1</t>
  </si>
  <si>
    <t>LTI-GI306707</t>
  </si>
  <si>
    <t>LTI-GI306708</t>
  </si>
  <si>
    <t>N2107260395-1</t>
  </si>
  <si>
    <t>LTI-GI306216</t>
  </si>
  <si>
    <t>Y210719C53-2</t>
  </si>
  <si>
    <t>N2108280663-1</t>
  </si>
  <si>
    <t>LTI-GI306712</t>
  </si>
  <si>
    <t>Y210822C07-6</t>
  </si>
  <si>
    <t>CPL 14.02 - MILL</t>
  </si>
  <si>
    <t>N2109260104-2</t>
  </si>
  <si>
    <t>LTI-GI306746</t>
  </si>
  <si>
    <t>RE CPL 14.02 - BAL</t>
  </si>
  <si>
    <t>N2107250305-1</t>
  </si>
  <si>
    <t>LTI-GI306070</t>
  </si>
  <si>
    <t>Y210716F20-2</t>
  </si>
  <si>
    <t>N2107270616-1</t>
  </si>
  <si>
    <t>LTI-GI306214</t>
  </si>
  <si>
    <t>Y210721C40-8</t>
  </si>
  <si>
    <t>N2109010105-2</t>
  </si>
  <si>
    <t>LTI-GI306582</t>
  </si>
  <si>
    <t>N2106250642-1</t>
  </si>
  <si>
    <t>LTI-GI306126</t>
  </si>
  <si>
    <t>Y210621D28-6</t>
  </si>
  <si>
    <t>N2107250244-1</t>
  </si>
  <si>
    <t>LTI-GI306182</t>
  </si>
  <si>
    <t>Y210713B49-2</t>
  </si>
  <si>
    <t>N2107270553-2</t>
  </si>
  <si>
    <t>LTI-GI306636</t>
  </si>
  <si>
    <t>Y210722D42-1</t>
  </si>
  <si>
    <t>N2108310412-2</t>
  </si>
  <si>
    <t>LTI-GI306576</t>
  </si>
  <si>
    <t>N2108280559-1</t>
  </si>
  <si>
    <t>LTI-GI306500</t>
  </si>
  <si>
    <t>Y210825D49-1</t>
  </si>
  <si>
    <t>N2107270616-2</t>
  </si>
  <si>
    <t>LTI-GI306215</t>
  </si>
  <si>
    <t>N2107270617-2</t>
  </si>
  <si>
    <t>LTI-GI306211</t>
  </si>
  <si>
    <t>Y210715F22-1</t>
  </si>
  <si>
    <t>N2107310609-2</t>
  </si>
  <si>
    <t>LTI-GI306187</t>
  </si>
  <si>
    <t>Y210622D07-5</t>
  </si>
  <si>
    <t>RE CPL 15.02 - BAL</t>
  </si>
  <si>
    <t>CPL 15.02 - MILL</t>
  </si>
  <si>
    <t>N2106250353-2</t>
  </si>
  <si>
    <t>LTI-GI306107</t>
  </si>
  <si>
    <t>N2106230410-2</t>
  </si>
  <si>
    <t>LTI-GI306059</t>
  </si>
  <si>
    <t>N2109010118-2</t>
  </si>
  <si>
    <t>LTI-GI306586</t>
  </si>
  <si>
    <t>CPL 15.02 - RR</t>
  </si>
  <si>
    <t>N2104130204-2</t>
  </si>
  <si>
    <t>TI-GI305373C</t>
  </si>
  <si>
    <t>REXON</t>
  </si>
  <si>
    <t>HOLD - GOSONG 41 M</t>
  </si>
  <si>
    <t>7/18/2021, 15.02.2022</t>
  </si>
  <si>
    <t>GCNS21/WC04005-ARC</t>
  </si>
  <si>
    <t>Y210405B43-4</t>
  </si>
  <si>
    <t>N2107250822-2</t>
  </si>
  <si>
    <t>LTI-GI306143</t>
  </si>
  <si>
    <t>Y210719C12-1</t>
  </si>
  <si>
    <t>N2109260447-2</t>
  </si>
  <si>
    <t>TI-GI306758</t>
  </si>
  <si>
    <t>N2109010154-2</t>
  </si>
  <si>
    <t>LTI-GI306477</t>
  </si>
  <si>
    <t>N2108040145-2</t>
  </si>
  <si>
    <t>LTI-GI306405</t>
  </si>
  <si>
    <t>RE CPL 16.02 - BAL</t>
  </si>
  <si>
    <t>CPL 16.02 - MILL</t>
  </si>
  <si>
    <t>N2108270707-1</t>
  </si>
  <si>
    <t>LTI-GI306450</t>
  </si>
  <si>
    <t>CPL 16.02 - RR</t>
  </si>
  <si>
    <t>LTI-GI306074</t>
  </si>
  <si>
    <t>N2107270617-1</t>
  </si>
  <si>
    <t>LTI-GI306210</t>
  </si>
  <si>
    <t>N2106250853-2</t>
  </si>
  <si>
    <t>TI-GI306145</t>
  </si>
  <si>
    <t>Y210620C02-4</t>
  </si>
  <si>
    <t>RE CPL 17.02 - BAL</t>
  </si>
  <si>
    <t>CPL 17.02 - MILL</t>
  </si>
  <si>
    <t>N2108040147-1</t>
  </si>
  <si>
    <t>LTI-GI306378</t>
  </si>
  <si>
    <t>N2105120417-1</t>
  </si>
  <si>
    <t>LTI-GI306104</t>
  </si>
  <si>
    <t>Y210503A27-4</t>
  </si>
  <si>
    <t>RE CPL 18.02 - BAL</t>
  </si>
  <si>
    <t>CPL 18.02 - MILL</t>
  </si>
  <si>
    <t>N2107070116-1</t>
  </si>
  <si>
    <t>TI-GI306605</t>
  </si>
  <si>
    <t>CPL 18.02 - RR</t>
  </si>
  <si>
    <t>LTI-GI306325</t>
  </si>
  <si>
    <t>RIPPLE,,,HERINGBONE,,,,FLEK PUTIH(ACAK),,,,SCRACTH LAMINASI 254-271M,,,  - OK RR BY QC</t>
  </si>
  <si>
    <t>N2107270553-1</t>
  </si>
  <si>
    <t>LTI-GI306635</t>
  </si>
  <si>
    <t>RE CPL 19.02 - BAL</t>
  </si>
  <si>
    <t>CPL 19.02 - MILL</t>
  </si>
  <si>
    <t>N2108190608-1</t>
  </si>
  <si>
    <t>LTI-GI306482</t>
  </si>
  <si>
    <t>Y210813A48-4</t>
  </si>
  <si>
    <t>N2108290357-2</t>
  </si>
  <si>
    <t>LTI-GI306716</t>
  </si>
  <si>
    <t>N2108280663-2</t>
  </si>
  <si>
    <t>LTI-GI306713</t>
  </si>
  <si>
    <t>LTI-GI306532</t>
  </si>
  <si>
    <t>N2109010141-1</t>
  </si>
  <si>
    <t>LTI-GI306649</t>
  </si>
  <si>
    <t>RE CPL 20.02 - BAL</t>
  </si>
  <si>
    <t>CPL 20.02 - MILL</t>
  </si>
  <si>
    <t>N2108240314-1</t>
  </si>
  <si>
    <t>LTI-GI306661</t>
  </si>
  <si>
    <t>N2109010135-1</t>
  </si>
  <si>
    <t>LTI-GI306685</t>
  </si>
  <si>
    <t>N2105290609-2</t>
  </si>
  <si>
    <t>LTI-GI306119</t>
  </si>
  <si>
    <t>N2103090505-2</t>
  </si>
  <si>
    <t>TI-GI306598</t>
  </si>
  <si>
    <t>N2109010150-1</t>
  </si>
  <si>
    <t>LTI-GI306589</t>
  </si>
  <si>
    <t>CPL 21.02 - MILL</t>
  </si>
  <si>
    <t>N2108190249-2</t>
  </si>
  <si>
    <t>TI-GI306389</t>
  </si>
  <si>
    <t>Y210814E08-6</t>
  </si>
  <si>
    <t>RE CPL 22.02 - BAL</t>
  </si>
  <si>
    <t>CPL 22.02 - MILL</t>
  </si>
  <si>
    <t>N2106060452-1</t>
  </si>
  <si>
    <t>LTI-GI306098</t>
  </si>
  <si>
    <t>N2108040118-2</t>
  </si>
  <si>
    <t>LTI-GI306503</t>
  </si>
  <si>
    <t>Y210617D42-3</t>
  </si>
  <si>
    <t>N2107310609-1</t>
  </si>
  <si>
    <t>LTI-GI306186</t>
  </si>
  <si>
    <t>N2108190307-1</t>
  </si>
  <si>
    <t>LTI-GI306514</t>
  </si>
  <si>
    <t>Y210812B43-4</t>
  </si>
  <si>
    <t>N2106060316-1</t>
  </si>
  <si>
    <t>LTI-GI306092</t>
  </si>
  <si>
    <t>Y210527E22-3</t>
  </si>
  <si>
    <t>CPL 23.02 - MILL</t>
  </si>
  <si>
    <t>N2107250863-1</t>
  </si>
  <si>
    <t>TI-GI306418</t>
  </si>
  <si>
    <t>Y210720D02-3</t>
  </si>
  <si>
    <t>RE CPL 23.02 - BAL</t>
  </si>
  <si>
    <t>LTI-GI306134</t>
  </si>
  <si>
    <t>TI-GI306606</t>
  </si>
  <si>
    <t>N2106170307-2</t>
  </si>
  <si>
    <t>LTI-GI306081</t>
  </si>
  <si>
    <t>Y210609D21-1</t>
  </si>
  <si>
    <t>CPL 23.02 - RR</t>
  </si>
  <si>
    <t>2/19/2022, 23.02.2022</t>
  </si>
  <si>
    <t>LTI-GI306325A</t>
  </si>
  <si>
    <t>N2107010206-1</t>
  </si>
  <si>
    <t>LTI-GI306316</t>
  </si>
  <si>
    <t>Y210615C45-1</t>
  </si>
  <si>
    <t>N2104250657-2</t>
  </si>
  <si>
    <t>LTI-GI306113</t>
  </si>
  <si>
    <t>Y210412A41-5</t>
  </si>
  <si>
    <t>N2107310611-2</t>
  </si>
  <si>
    <t>LTI-GI306433</t>
  </si>
  <si>
    <t>N2109030536-1</t>
  </si>
  <si>
    <t>TI-GI306603</t>
  </si>
  <si>
    <t>CPL 24.02 - MILL</t>
  </si>
  <si>
    <t>N2108210238-2</t>
  </si>
  <si>
    <t>LTI-GI306372</t>
  </si>
  <si>
    <t>RE CPL 24.02 - BAL</t>
  </si>
  <si>
    <t>N2105280126-1</t>
  </si>
  <si>
    <t>LTI-GI306162</t>
  </si>
  <si>
    <t>Y210507B44-4</t>
  </si>
  <si>
    <t>CPL 24.02 - RR</t>
  </si>
  <si>
    <t>2/15/2022, 24.02.2022</t>
  </si>
  <si>
    <t>N2107310710-1</t>
  </si>
  <si>
    <t>LTI-GI306120A</t>
  </si>
  <si>
    <t>BOTTOM SCRACTH</t>
  </si>
  <si>
    <t>12/9/2021, 24.02.2022</t>
  </si>
  <si>
    <t>Y210726C51-1</t>
  </si>
  <si>
    <t>N2107220561-2</t>
  </si>
  <si>
    <t>LTI-GI306239</t>
  </si>
  <si>
    <t>Y210708D16-4</t>
  </si>
  <si>
    <t>MLL</t>
  </si>
  <si>
    <t>N2108190608-2</t>
  </si>
  <si>
    <t>LTI-GI306483</t>
  </si>
  <si>
    <t>N2104250657-1</t>
  </si>
  <si>
    <t>LTI-GI306112B</t>
  </si>
  <si>
    <t>12/7/2021, 24.02.2022</t>
  </si>
  <si>
    <t>2/22/2022, 24.02.2022</t>
  </si>
  <si>
    <t>N2109010125-2</t>
  </si>
  <si>
    <t>LTI-GI306563</t>
  </si>
  <si>
    <t>Y210726D41-1</t>
  </si>
  <si>
    <t>N2107010235-1</t>
  </si>
  <si>
    <t>LTI-GI306306</t>
  </si>
  <si>
    <t>Y210603A47-1</t>
  </si>
  <si>
    <t>CPL 25.02 - MILL</t>
  </si>
  <si>
    <t>N2109230657-1</t>
  </si>
  <si>
    <t>TI-GI306749</t>
  </si>
  <si>
    <t>CPL 25.02 - RR</t>
  </si>
  <si>
    <t>RE CPL 25.02 - BAL</t>
  </si>
  <si>
    <t>N2106240102-2</t>
  </si>
  <si>
    <t>TI-GI305935B</t>
  </si>
  <si>
    <t>DENT PITTING</t>
  </si>
  <si>
    <t>9/22/2021, 25.02.2022</t>
  </si>
  <si>
    <t>9/29/2021; 15.10.2021, 18.02.2022</t>
  </si>
  <si>
    <t>Y210614D03-4</t>
  </si>
  <si>
    <t>LTI-GI306134B</t>
  </si>
  <si>
    <t>LTI-GI306113B</t>
  </si>
  <si>
    <t>N2107010255-1</t>
  </si>
  <si>
    <t>LTI-GI306084</t>
  </si>
  <si>
    <t>Y210513C52-5</t>
  </si>
  <si>
    <t>RE CPL 26.02 - RR</t>
  </si>
  <si>
    <t>RE MILL</t>
  </si>
  <si>
    <t>REPAIR MATERIAL TELESCOPE</t>
  </si>
  <si>
    <t>RE CPL 26.02 - BAL</t>
  </si>
  <si>
    <t>CPL 26.02 - MILL</t>
  </si>
  <si>
    <t>CPL 26.02 - RR</t>
  </si>
  <si>
    <t>RE CPL 27.02 - BAL</t>
  </si>
  <si>
    <t>CPL 27.02 - MILL</t>
  </si>
  <si>
    <t>RE CPL 28.02 - BAL</t>
  </si>
  <si>
    <t>CPL 28.02 - MILL</t>
  </si>
  <si>
    <t>FH/1D</t>
  </si>
  <si>
    <t>NETT IMR</t>
  </si>
  <si>
    <t>SHIFT</t>
  </si>
  <si>
    <t>TGL</t>
  </si>
  <si>
    <t>MILL 07.02 - BAL</t>
  </si>
  <si>
    <t>NIRVANA VENTURES</t>
  </si>
  <si>
    <t>MILL 08.02 - BAL</t>
  </si>
  <si>
    <t>RR 08.02 - BAL</t>
  </si>
  <si>
    <t>MILL 09.02 - BAL</t>
  </si>
  <si>
    <t>MOONLIGHT</t>
  </si>
  <si>
    <t>MILL 10.02 - BAL</t>
  </si>
  <si>
    <t>RICO STAINLESS</t>
  </si>
  <si>
    <t>MILL 11.02 - BAL</t>
  </si>
  <si>
    <t>MILL 12.02 - BAL</t>
  </si>
  <si>
    <t>ANU STEEL</t>
  </si>
  <si>
    <t>MILL 13.02 - BAL</t>
  </si>
  <si>
    <t>PARADISE METAL</t>
  </si>
  <si>
    <t>MILL 14.02 - BAL</t>
  </si>
  <si>
    <t>PARADISE</t>
  </si>
  <si>
    <t>MILL 15.02 - BAL</t>
  </si>
  <si>
    <t>NORAC</t>
  </si>
  <si>
    <t>MILL 16.02 - BAL</t>
  </si>
  <si>
    <t>RR 16.02 - BAL</t>
  </si>
  <si>
    <t>7/19/2021, 16.02.2022</t>
  </si>
  <si>
    <t>MILL 17.02 - BAL</t>
  </si>
  <si>
    <t>NORAC INTERNATIONAL</t>
  </si>
  <si>
    <t>RR 17.02 - BAL</t>
  </si>
  <si>
    <t>MILL 18.02 - BAL</t>
  </si>
  <si>
    <t>MILL 19.02 - BAL</t>
  </si>
  <si>
    <t>MILL 20.02 - BAL</t>
  </si>
  <si>
    <t>MILL 21.02 - BAL</t>
  </si>
  <si>
    <t>MILL 22.02 - BAL</t>
  </si>
  <si>
    <t>MILL 23.02 - BAL</t>
  </si>
  <si>
    <t>RR 23.02 - BAL</t>
  </si>
  <si>
    <t>MILL 24.02 - BAL</t>
  </si>
  <si>
    <t>RR 24.02 - BAL</t>
  </si>
  <si>
    <t>12/8/2021, 24.02.2022</t>
  </si>
  <si>
    <t>RR 25.02 - BAL</t>
  </si>
  <si>
    <t>MILL 25.02 - BAL</t>
  </si>
  <si>
    <t>SACHIN</t>
  </si>
  <si>
    <t>RICO SATINLESS</t>
  </si>
  <si>
    <t>RR 26.02 - BAL</t>
  </si>
  <si>
    <t>2/24/2022, 26.02.2022</t>
  </si>
  <si>
    <t>MILL 26.02 - BAL</t>
  </si>
  <si>
    <t>MILL 27.02 - BAL</t>
  </si>
  <si>
    <t>RR 27.02 - BAL</t>
  </si>
  <si>
    <t>MILL 28.02 - BAL</t>
  </si>
  <si>
    <t>BABY COIL</t>
  </si>
  <si>
    <t>SALES CONTRAK</t>
  </si>
  <si>
    <t>BAL 01.02.2022 - WH</t>
  </si>
  <si>
    <t>WH</t>
  </si>
  <si>
    <t>N2107250828-2</t>
  </si>
  <si>
    <t>TI-GI306347</t>
  </si>
  <si>
    <t>276/11-2021/EXP</t>
  </si>
  <si>
    <t>N2106170308-2</t>
  </si>
  <si>
    <t>LTI-GI306115</t>
  </si>
  <si>
    <t>Y210609D40-4</t>
  </si>
  <si>
    <t>B10</t>
  </si>
  <si>
    <t>BAL 01.02 - SLT</t>
  </si>
  <si>
    <t>N2107250835-2</t>
  </si>
  <si>
    <t>TI-GI306455</t>
  </si>
  <si>
    <t>Y210720D01-6</t>
  </si>
  <si>
    <t>N2107260208-2</t>
  </si>
  <si>
    <t>TI-GI306299</t>
  </si>
  <si>
    <t>Y210720D10-3</t>
  </si>
  <si>
    <t>N2107250867-1</t>
  </si>
  <si>
    <t>TI-GI306422</t>
  </si>
  <si>
    <t>Y210720C02-1</t>
  </si>
  <si>
    <t>N2108190307-2</t>
  </si>
  <si>
    <t>LTI-GI306515A+B+C</t>
  </si>
  <si>
    <t>007/01-2022/EXP</t>
  </si>
  <si>
    <t>PACIFIC METAL</t>
  </si>
  <si>
    <t>N2108200412-2</t>
  </si>
  <si>
    <t>TI-GI306409A+B</t>
  </si>
  <si>
    <t>Y210816E02-1</t>
  </si>
  <si>
    <t>N2108190312-1</t>
  </si>
  <si>
    <t>LTI-GI306392A+B+C</t>
  </si>
  <si>
    <t>007/01-2022/EXP + 274/11-2021/EXP</t>
  </si>
  <si>
    <t>PACIFIC METAL 8 + SUNRISE METAL</t>
  </si>
  <si>
    <t>Y210812B43-1</t>
  </si>
  <si>
    <t>N2108200412-1</t>
  </si>
  <si>
    <t>TI-GI306408A</t>
  </si>
  <si>
    <t>BAL 02.02.2022 - WH</t>
  </si>
  <si>
    <t>TI-GI306408B</t>
  </si>
  <si>
    <t>N2107010220-1</t>
  </si>
  <si>
    <t>TI-GI306130A+B</t>
  </si>
  <si>
    <t>008/01-2022/EXP</t>
  </si>
  <si>
    <t>SUNRISE METAL</t>
  </si>
  <si>
    <t>Y210514C44-5</t>
  </si>
  <si>
    <t>A07</t>
  </si>
  <si>
    <t>N2108040127-1</t>
  </si>
  <si>
    <t>LTI-GI306204A+B+C</t>
  </si>
  <si>
    <t>Y210514C49-1</t>
  </si>
  <si>
    <t>N2106170305-1</t>
  </si>
  <si>
    <t>TI-GI306266</t>
  </si>
  <si>
    <t>VIVAAN METALS - SALAH GRADE</t>
  </si>
  <si>
    <t>Y210613D13-7</t>
  </si>
  <si>
    <t>N2109010149-2</t>
  </si>
  <si>
    <t>LTI-GI306487A+B</t>
  </si>
  <si>
    <t>008/01-2022/EXP+258/10-2021/EXP</t>
  </si>
  <si>
    <t>PACIFIC METAL+SUNRISE METAL</t>
  </si>
  <si>
    <t>Y210609D05-1</t>
  </si>
  <si>
    <t>N2109010138-1</t>
  </si>
  <si>
    <t>LTI-GI306496A+B+C</t>
  </si>
  <si>
    <t>Y210713B44-1</t>
  </si>
  <si>
    <t>N2108040111-1</t>
  </si>
  <si>
    <t>LTI-GI306400A+B</t>
  </si>
  <si>
    <t>BAL 02.02 - SLT</t>
  </si>
  <si>
    <t>BAL 03.02 - SLT</t>
  </si>
  <si>
    <t>K2105205346A</t>
  </si>
  <si>
    <t>EM204703</t>
  </si>
  <si>
    <t>K2103092908B</t>
  </si>
  <si>
    <t>EM204304</t>
  </si>
  <si>
    <t>EGHU3440958</t>
  </si>
  <si>
    <t>N210308AR07</t>
  </si>
  <si>
    <t>K2104093417B</t>
  </si>
  <si>
    <t>HK204396</t>
  </si>
  <si>
    <t>K2105190503B</t>
  </si>
  <si>
    <t>EM204724</t>
  </si>
  <si>
    <t>N210516AA13</t>
  </si>
  <si>
    <t>K2104062301B</t>
  </si>
  <si>
    <t>HK204340</t>
  </si>
  <si>
    <t>BAL 04.02 - SLT</t>
  </si>
  <si>
    <t>K2103153512B</t>
  </si>
  <si>
    <t>HK204374</t>
  </si>
  <si>
    <t>BAL 04.02.2022 - WH</t>
  </si>
  <si>
    <t>N2106240164-1</t>
  </si>
  <si>
    <t>TI-GI306192A+B</t>
  </si>
  <si>
    <t>018/01-2022/EXP</t>
  </si>
  <si>
    <t>Y210613D13-2</t>
  </si>
  <si>
    <t>N2109010149-1</t>
  </si>
  <si>
    <t>LTI-GI306486A+B</t>
  </si>
  <si>
    <t>N2108040114-2</t>
  </si>
  <si>
    <t>LTI-GI306513A</t>
  </si>
  <si>
    <t>Y210712B46-4</t>
  </si>
  <si>
    <t>LTI-GI306513B</t>
  </si>
  <si>
    <t>N2108310408-1</t>
  </si>
  <si>
    <t>LTI-GI306430A+B</t>
  </si>
  <si>
    <t>Y210718E10-1</t>
  </si>
  <si>
    <t>N2107310721-1</t>
  </si>
  <si>
    <t>LTI-GI306222A+B</t>
  </si>
  <si>
    <t>1.20/1.50</t>
  </si>
  <si>
    <t>1.18/1.49</t>
  </si>
  <si>
    <t>1.19/1.51</t>
  </si>
  <si>
    <t>Y210709A20-4</t>
  </si>
  <si>
    <t>BAL 05.02.2022 - WH</t>
  </si>
  <si>
    <t>N2107250856-2</t>
  </si>
  <si>
    <t>TI-GI306149A+B</t>
  </si>
  <si>
    <t>Y210720D01-5</t>
  </si>
  <si>
    <t>A09</t>
  </si>
  <si>
    <t>BAL 05.02 - SLT</t>
  </si>
  <si>
    <t>N2108040122-2</t>
  </si>
  <si>
    <t>LTI-GI306377</t>
  </si>
  <si>
    <t>Y210514C50-2</t>
  </si>
  <si>
    <t>K2105071103B</t>
  </si>
  <si>
    <t>HK204589</t>
  </si>
  <si>
    <t>TCLU3612116</t>
  </si>
  <si>
    <t>K2104044614A</t>
  </si>
  <si>
    <t>HK204371</t>
  </si>
  <si>
    <t>N210404AR02</t>
  </si>
  <si>
    <t>K2104180603A</t>
  </si>
  <si>
    <t>HK204629</t>
  </si>
  <si>
    <t>N210417AQ11</t>
  </si>
  <si>
    <t>K2104044615A</t>
  </si>
  <si>
    <t>HK204369</t>
  </si>
  <si>
    <t>BAL 06.02 - SLT</t>
  </si>
  <si>
    <t>K2104044614B</t>
  </si>
  <si>
    <t>HK204372</t>
  </si>
  <si>
    <t>K2105190813A</t>
  </si>
  <si>
    <t>HK204580</t>
  </si>
  <si>
    <t>EITU0246997</t>
  </si>
  <si>
    <t>N210516AR14</t>
  </si>
  <si>
    <t>K2104053537A</t>
  </si>
  <si>
    <t>GU204464</t>
  </si>
  <si>
    <t>EGSU3121110</t>
  </si>
  <si>
    <t>N210404AR01</t>
  </si>
  <si>
    <t>K2104053501A</t>
  </si>
  <si>
    <t>GU204456</t>
  </si>
  <si>
    <t>N210404AT01</t>
  </si>
  <si>
    <t>K2104053504B</t>
  </si>
  <si>
    <t>GU204461</t>
  </si>
  <si>
    <t>EGSU3008980</t>
  </si>
  <si>
    <t>N210403AR15</t>
  </si>
  <si>
    <t>K2103153503A</t>
  </si>
  <si>
    <t>EM204279</t>
  </si>
  <si>
    <t>N210301AQ05</t>
  </si>
  <si>
    <t>K2103093020B</t>
  </si>
  <si>
    <t>EM204276</t>
  </si>
  <si>
    <t>BAL 07.02 - SLT</t>
  </si>
  <si>
    <t>K2104186908A</t>
  </si>
  <si>
    <t>EM204539</t>
  </si>
  <si>
    <t>N210417AT09</t>
  </si>
  <si>
    <t>K2104053507B</t>
  </si>
  <si>
    <t>GU204439</t>
  </si>
  <si>
    <t>K2104180614B</t>
  </si>
  <si>
    <t>HK204647</t>
  </si>
  <si>
    <t>EITU0050474</t>
  </si>
  <si>
    <t>K2104044626B</t>
  </si>
  <si>
    <t>GU204490</t>
  </si>
  <si>
    <t>DRYU275998</t>
  </si>
  <si>
    <t>K2105282501B</t>
  </si>
  <si>
    <t>EM204728</t>
  </si>
  <si>
    <t>K2104044633B</t>
  </si>
  <si>
    <t>HK204400</t>
  </si>
  <si>
    <t>K2104093415B</t>
  </si>
  <si>
    <t>HK204388</t>
  </si>
  <si>
    <t>K2105282421A</t>
  </si>
  <si>
    <t>EM204679</t>
  </si>
  <si>
    <t>N2108190367-1</t>
  </si>
  <si>
    <t>LTI-GI306524</t>
  </si>
  <si>
    <t>Y210813B11-3</t>
  </si>
  <si>
    <t>BAL 08.02 - SLT</t>
  </si>
  <si>
    <t>N2108190249-1</t>
  </si>
  <si>
    <t>TI-GI306388</t>
  </si>
  <si>
    <t>BAL 08.02.2022 - WH</t>
  </si>
  <si>
    <t>LTI-GI306363A+B+C</t>
  </si>
  <si>
    <t>015/01-2022/EXP</t>
  </si>
  <si>
    <t>LTI-GI306523A+B</t>
  </si>
  <si>
    <t>LTI-GI306263A+B</t>
  </si>
  <si>
    <t>LTI-GI306401A</t>
  </si>
  <si>
    <t>LTI-GI306466A</t>
  </si>
  <si>
    <t>HOLD - MINUS THICK 0-110(130-135MM) - (OK)</t>
  </si>
  <si>
    <t>LTI-GI306466B</t>
  </si>
  <si>
    <t>LTI-GI306481A+B</t>
  </si>
  <si>
    <t>LTI-GI306066A+B+C</t>
  </si>
  <si>
    <t>LTI-GI306106A</t>
  </si>
  <si>
    <t>BAL 09.02.2022 - WH</t>
  </si>
  <si>
    <t>LTI-GI306106B</t>
  </si>
  <si>
    <t>LTI-GI306391A</t>
  </si>
  <si>
    <t>001/01-2022/EXP</t>
  </si>
  <si>
    <t>LTI-GI306373A+B</t>
  </si>
  <si>
    <t>LTI-GI306311A+B</t>
  </si>
  <si>
    <t>BAL 09.02 - SLT</t>
  </si>
  <si>
    <t>NH2109010134-1</t>
  </si>
  <si>
    <t>LTI-GI306566</t>
  </si>
  <si>
    <t>Y210731C43-3</t>
  </si>
  <si>
    <t>LTI-GI306391B+C</t>
  </si>
  <si>
    <t>N2108310426-2</t>
  </si>
  <si>
    <t>LTI-GI306505</t>
  </si>
  <si>
    <t>Y210809A03-1</t>
  </si>
  <si>
    <t>N2107010929-2</t>
  </si>
  <si>
    <t>LTI-GI306279</t>
  </si>
  <si>
    <t>Y210625D09-3</t>
  </si>
  <si>
    <t>N2109010138-2</t>
  </si>
  <si>
    <t>LTI-GI306497</t>
  </si>
  <si>
    <t>N2108040106-1</t>
  </si>
  <si>
    <t>LTI-GI306560</t>
  </si>
  <si>
    <t>Y210705C40-1</t>
  </si>
  <si>
    <t>BAL 10.02 - SLT</t>
  </si>
  <si>
    <t>NH2109010133-2</t>
  </si>
  <si>
    <t>LTI-GI306475</t>
  </si>
  <si>
    <t>Y210731D41-4</t>
  </si>
  <si>
    <t>N2109010124-1</t>
  </si>
  <si>
    <t>LTI-GI306544</t>
  </si>
  <si>
    <t>Y210722D41-1</t>
  </si>
  <si>
    <t>N2108270714-2</t>
  </si>
  <si>
    <t>LTI-GI306443</t>
  </si>
  <si>
    <t>Y210822C10-4</t>
  </si>
  <si>
    <t>N2108040125-1</t>
  </si>
  <si>
    <t>LTI-GI306360</t>
  </si>
  <si>
    <t>Y210514D48-1</t>
  </si>
  <si>
    <t>N2108190574-2</t>
  </si>
  <si>
    <t>LTI-GI306368</t>
  </si>
  <si>
    <t>Y210813A43-5</t>
  </si>
  <si>
    <t>N2109010125-1</t>
  </si>
  <si>
    <t>LTI-GI306562</t>
  </si>
  <si>
    <t>N2109010107-2</t>
  </si>
  <si>
    <t>LTI-GI306565</t>
  </si>
  <si>
    <t>Y210617D04-1</t>
  </si>
  <si>
    <t>N2109010111-1</t>
  </si>
  <si>
    <t>LTI-GI306558</t>
  </si>
  <si>
    <t>Y210702D26-1</t>
  </si>
  <si>
    <t>N2107310608-1</t>
  </si>
  <si>
    <t>LTI-GI306556</t>
  </si>
  <si>
    <t>Y210602B20-5</t>
  </si>
  <si>
    <t>BAL 11.02 - SLT</t>
  </si>
  <si>
    <t>NH2109010133-1</t>
  </si>
  <si>
    <t>LTI-GI306474</t>
  </si>
  <si>
    <t>N2109010131-2</t>
  </si>
  <si>
    <t>LTI-GI306539</t>
  </si>
  <si>
    <t>Y210730D50-1</t>
  </si>
  <si>
    <t>N2109010114-2</t>
  </si>
  <si>
    <t>LTI-GI306413</t>
  </si>
  <si>
    <t>Y210814E09-1</t>
  </si>
  <si>
    <t>N2107250244-2</t>
  </si>
  <si>
    <t>LTI-GI306183</t>
  </si>
  <si>
    <t>N2107310710-2</t>
  </si>
  <si>
    <t>LTI-GI306121</t>
  </si>
  <si>
    <t>LTI-GI306112</t>
  </si>
  <si>
    <t>LTI-GI306094</t>
  </si>
  <si>
    <t>N2107260609-2</t>
  </si>
  <si>
    <t>LTI-GI306077</t>
  </si>
  <si>
    <t>Y210713A27-2</t>
  </si>
  <si>
    <t>N2106250603-2</t>
  </si>
  <si>
    <t>LTI-GI306157</t>
  </si>
  <si>
    <t>Y210529D04-3</t>
  </si>
  <si>
    <t>BAL 12.02.2022 - WH</t>
  </si>
  <si>
    <t>TI-GI306159A+B</t>
  </si>
  <si>
    <t>009/01-2022/EXP</t>
  </si>
  <si>
    <t>LTI-GI306218A+B</t>
  </si>
  <si>
    <t>LTI-GI306652A+B+C</t>
  </si>
  <si>
    <t>TI-GI306346A+B</t>
  </si>
  <si>
    <t>LTI-GI306745A+B</t>
  </si>
  <si>
    <t>LTI-GI306439A+B</t>
  </si>
  <si>
    <t>LTI-GI306722A+B</t>
  </si>
  <si>
    <t>TI-GI306597A+B+C</t>
  </si>
  <si>
    <t>LTI-GI306271A+B</t>
  </si>
  <si>
    <t>BAL 13.02.2022 - WH</t>
  </si>
  <si>
    <t>LTI-GI306318A+B</t>
  </si>
  <si>
    <t>010/01-2022/EXP</t>
  </si>
  <si>
    <t>TI-GI306177A+B</t>
  </si>
  <si>
    <t>TI-GI306272A+B</t>
  </si>
  <si>
    <t>TI-GI306196A+B</t>
  </si>
  <si>
    <t>LTI-GI306547A+B</t>
  </si>
  <si>
    <t>LTI-GI306219A+B</t>
  </si>
  <si>
    <t>012/01-2022/EXP</t>
  </si>
  <si>
    <t>BAL 13.02 - SLT</t>
  </si>
  <si>
    <t>LTI-GI306633A</t>
  </si>
  <si>
    <t>MINUS THICK</t>
  </si>
  <si>
    <t>LTI-GI306633B</t>
  </si>
  <si>
    <t>LTI-GI306634A+B</t>
  </si>
  <si>
    <t>LTI-GI306410A+B</t>
  </si>
  <si>
    <t>TI-GI306160A</t>
  </si>
  <si>
    <t>BAL 14.02.2022 - WH</t>
  </si>
  <si>
    <t>TI-GI306160B</t>
  </si>
  <si>
    <t>TI-GI306738A+B</t>
  </si>
  <si>
    <t>LTI-GI306726A+B</t>
  </si>
  <si>
    <t>LTI-GI306585A+B</t>
  </si>
  <si>
    <t>LTI-GI306415A+B+C</t>
  </si>
  <si>
    <t>BAL 14.02 - SLT</t>
  </si>
  <si>
    <t>N2108200315-2</t>
  </si>
  <si>
    <t>TI-GI306407</t>
  </si>
  <si>
    <t>TI-GI306199A+B</t>
  </si>
  <si>
    <t>013/01-2022/EXP</t>
  </si>
  <si>
    <t>LTI-GI306673A+B</t>
  </si>
  <si>
    <t>TI-GI306739A+B</t>
  </si>
  <si>
    <t>LTI-GI306546A</t>
  </si>
  <si>
    <t>BAL 15.02.2022 - WH</t>
  </si>
  <si>
    <t>LTI-GI306546B</t>
  </si>
  <si>
    <t>013/01-2022/EXP - D1</t>
  </si>
  <si>
    <t>LTI-GI306397A+B</t>
  </si>
  <si>
    <t>LTI-GI306451A+B</t>
  </si>
  <si>
    <t>LTI-GI306432A+B</t>
  </si>
  <si>
    <t>TI-GI306146A+B</t>
  </si>
  <si>
    <t>002/01-2022/EXP +
004/01-2022/EXP</t>
  </si>
  <si>
    <t>TI-GI306608A+B</t>
  </si>
  <si>
    <t>017/01-2022/EXP +
003/01-2022/EXP</t>
  </si>
  <si>
    <t>PARADISE METALS 4.5 + ICPPL 6</t>
  </si>
  <si>
    <t>LTI-GI306707A+B</t>
  </si>
  <si>
    <t>017/01-2022/EXP</t>
  </si>
  <si>
    <t>TI-GI306607A+B</t>
  </si>
  <si>
    <t>LTI-GI306708A</t>
  </si>
  <si>
    <t>BAL 15.02 - SLT</t>
  </si>
  <si>
    <t>LTI-GI306712A+B</t>
  </si>
  <si>
    <t>PARADISE METALS 5 + ICPPL 5</t>
  </si>
  <si>
    <t>LTI-GI306576A</t>
  </si>
  <si>
    <t>BAL 16.02.2022 - WH</t>
  </si>
  <si>
    <t>LTI-GI306576B</t>
  </si>
  <si>
    <t>LTI-GI306214A+B</t>
  </si>
  <si>
    <t>017/01-2022/EXP +
019/01-2022/EXP</t>
  </si>
  <si>
    <t>PARADISE METALS 5 + NORAC 5</t>
  </si>
  <si>
    <t>LTI-GI306636A+B</t>
  </si>
  <si>
    <t>002/01-2022/EXP</t>
  </si>
  <si>
    <t>LTI-GI306139A+B</t>
  </si>
  <si>
    <t>002/01-2022/EXP +
006/01-2022/EXP</t>
  </si>
  <si>
    <t>LTI-GI306457A+B</t>
  </si>
  <si>
    <t>BAL 16.02 - SLT</t>
  </si>
  <si>
    <t>LTI-GI306569A+B</t>
  </si>
  <si>
    <t>TI-GI306528A+B</t>
  </si>
  <si>
    <t>LTI-GI306674A+B</t>
  </si>
  <si>
    <t>LTI-GI306680A+B</t>
  </si>
  <si>
    <t>BAL 17.02.2022 - WH</t>
  </si>
  <si>
    <t>LTI-GI306680C</t>
  </si>
  <si>
    <t>LTI-GI306117A+B</t>
  </si>
  <si>
    <t>LTI-GI306138A+B</t>
  </si>
  <si>
    <t>002/01-2022/EXP +
003/01-2022/EXP</t>
  </si>
  <si>
    <t>LTI-GI306476A+B</t>
  </si>
  <si>
    <t>TI-GI306623A+B</t>
  </si>
  <si>
    <t>014/01-2022/EXP</t>
  </si>
  <si>
    <t>TI-GI306622A+B</t>
  </si>
  <si>
    <t>LTI-GI306725A+B</t>
  </si>
  <si>
    <t>TI-GI306621A+B</t>
  </si>
  <si>
    <t>TI-GI306817A+B+C</t>
  </si>
  <si>
    <t>TI-GI306624A+B</t>
  </si>
  <si>
    <t>BAL 18.02.2022 - WH</t>
  </si>
  <si>
    <t>LTI-GI306721A+B</t>
  </si>
  <si>
    <t>LTI-GI306099A+B+C</t>
  </si>
  <si>
    <t>LTI-GI306489A+B+C</t>
  </si>
  <si>
    <t>014/01-2022/EXP+004/01-2022/EXP</t>
  </si>
  <si>
    <t>ANU STEEL+ICPPL 8</t>
  </si>
  <si>
    <t>LTI-GI306118A+B</t>
  </si>
  <si>
    <t>LTI-GI306500A+B</t>
  </si>
  <si>
    <t>013/01-2022/EXP -D2</t>
  </si>
  <si>
    <t>BAL 18.02 - SLT</t>
  </si>
  <si>
    <t>LTI-GI306095A</t>
  </si>
  <si>
    <t>HOLD SLT - HOLE</t>
  </si>
  <si>
    <t>LTI-GI306095B</t>
  </si>
  <si>
    <t>013/01-2022/EXP D2</t>
  </si>
  <si>
    <t>LTI-GI306059A+B+C</t>
  </si>
  <si>
    <t>013/01-2022/EXP -D2+003/01-2022/EXP</t>
  </si>
  <si>
    <t>RICO STAINLESS+ ICPPL 4</t>
  </si>
  <si>
    <t>LTI-GI306215A+B</t>
  </si>
  <si>
    <t>TI-GI306605A</t>
  </si>
  <si>
    <t>019/01-2022/EXP</t>
  </si>
  <si>
    <t>BAL 19.02.2022 - WH</t>
  </si>
  <si>
    <t>TI-GI306605B</t>
  </si>
  <si>
    <t>TI-GI306145A+B</t>
  </si>
  <si>
    <t>LTI-GI306187A+B</t>
  </si>
  <si>
    <t>LTI-GI306210A+B</t>
  </si>
  <si>
    <t>LTI-GI306404A+B</t>
  </si>
  <si>
    <t>002/01-2022/EXP+019/01-2022/EXP</t>
  </si>
  <si>
    <t>ICPPL+NORAC</t>
  </si>
  <si>
    <t>LTI-GI306533A+B</t>
  </si>
  <si>
    <t>LTI-GI306450A+B</t>
  </si>
  <si>
    <t>004/01-2022/EXP</t>
  </si>
  <si>
    <t>LTI-GI306143A+B</t>
  </si>
  <si>
    <t>LTI-GI306378A+B</t>
  </si>
  <si>
    <t>LTI-GI306211A+B</t>
  </si>
  <si>
    <t>LTI-GI306182A</t>
  </si>
  <si>
    <t>BAL 20.02.2022 - WH</t>
  </si>
  <si>
    <t>LTI-GI306182B</t>
  </si>
  <si>
    <t>TI-GI306758A+B</t>
  </si>
  <si>
    <t>LTI-GI306126A+B</t>
  </si>
  <si>
    <t>BAL 20.02 - RR</t>
  </si>
  <si>
    <t>BAL 20.02 - SLT</t>
  </si>
  <si>
    <t>LTI-GI306104A+B</t>
  </si>
  <si>
    <t>013/01-2022/EXP - D3</t>
  </si>
  <si>
    <t>LTI-GI306216A+B+C</t>
  </si>
  <si>
    <t>013/01-2022/EXP -D3 +
006/01-2022/EXP</t>
  </si>
  <si>
    <t>RICO STAINLESS COMPANY 8+ ICPPL 4</t>
  </si>
  <si>
    <t>LTI-GI306107A+B</t>
  </si>
  <si>
    <t>013/01-2022/EXP -D3 + 
006/01-2022/EXP</t>
  </si>
  <si>
    <t>RICO STAINLESS COMPANY 6  + ICPPL 4.5</t>
  </si>
  <si>
    <t>LTI-GI306070A+B</t>
  </si>
  <si>
    <t>013/01-2022/EXP - D4</t>
  </si>
  <si>
    <t>LTI-GI306746A</t>
  </si>
  <si>
    <t>013/01-2022/EXP- D3+4</t>
  </si>
  <si>
    <t>BAL 21.02.2022 - WH</t>
  </si>
  <si>
    <t>LTI-GI306746B</t>
  </si>
  <si>
    <t>013/01-2022/EXP- D4</t>
  </si>
  <si>
    <t>LTI-GI306582A+B</t>
  </si>
  <si>
    <t>LTI-GI306635A+B</t>
  </si>
  <si>
    <t>LTI-GI306405A+B</t>
  </si>
  <si>
    <t>BAL 21.02 - SLT</t>
  </si>
  <si>
    <t>BAL 21.02 - RR</t>
  </si>
  <si>
    <t>LTI-GI306713A+B</t>
  </si>
  <si>
    <t>003/01-2022/EXP</t>
  </si>
  <si>
    <t>LTI-GI306716A+B</t>
  </si>
  <si>
    <t>LTI-GI306532A</t>
  </si>
  <si>
    <t>BAL 22.02.2022 - WH</t>
  </si>
  <si>
    <t>LTI-GI306661A+B</t>
  </si>
  <si>
    <t>005/01-2022/EXP</t>
  </si>
  <si>
    <t>LTI-GI306649A+B</t>
  </si>
  <si>
    <t>LTI-GI306685A+B</t>
  </si>
  <si>
    <t>LTI-GI306119A+B</t>
  </si>
  <si>
    <t>292/11-2021/EXP</t>
  </si>
  <si>
    <t>BAL 22.02 - SLT</t>
  </si>
  <si>
    <t>LTI-GI306589A</t>
  </si>
  <si>
    <t>006/01-2022/EXP</t>
  </si>
  <si>
    <t>LTI-GI306589B</t>
  </si>
  <si>
    <t>HOLD QC - OH</t>
  </si>
  <si>
    <t>BAL 23.02 - SLT</t>
  </si>
  <si>
    <t>BAL 23.02.2022 - WH</t>
  </si>
  <si>
    <t>LTI-GI306503A+B</t>
  </si>
  <si>
    <t>LTI-GI306186A+B</t>
  </si>
  <si>
    <t>003/01-2022/EXP + 005/01-2022/EXP</t>
  </si>
  <si>
    <t>HOLD QC - BOTTOM SCRACTH X-3227M,,</t>
  </si>
  <si>
    <t>2/21/2022, 23.02.2022</t>
  </si>
  <si>
    <t>BAL 24.02.2022 - WH</t>
  </si>
  <si>
    <t>LTI-GI306092A+B+C</t>
  </si>
  <si>
    <t>BAL 24.02 - RR</t>
  </si>
  <si>
    <t>LTI-GI306081A+B</t>
  </si>
  <si>
    <t>LTI-GI306316A+B</t>
  </si>
  <si>
    <t>TI-GI306598A+B+C</t>
  </si>
  <si>
    <t>005/01-2022/EXP + 006/01-2022/EXP</t>
  </si>
  <si>
    <t>ICPPL 8+4</t>
  </si>
  <si>
    <t>LTI-GI306433A+B</t>
  </si>
  <si>
    <t>BAL 24.02 - SLT</t>
  </si>
  <si>
    <t>2/18/2022, 24.02.2022</t>
  </si>
  <si>
    <t>2/20/2022, 24.02.2022</t>
  </si>
  <si>
    <t>LTI-GI306372A+B</t>
  </si>
  <si>
    <t>BAL 25.02.2022 - WH</t>
  </si>
  <si>
    <t>LTI-GI306162A+B</t>
  </si>
  <si>
    <t>TI-GI306606A</t>
  </si>
  <si>
    <t>BAL 25.02 - SLT</t>
  </si>
  <si>
    <t>VIVAAN METALS+ICPPL</t>
  </si>
  <si>
    <t>2/11/2022, 25.02.2022</t>
  </si>
  <si>
    <t>9/27/2021, 25.02.2022</t>
  </si>
  <si>
    <t>TI-GI306389A+B</t>
  </si>
  <si>
    <t>013/01-2022/EXP-D4 + 292/11-2021/EXP</t>
  </si>
  <si>
    <t>RICO 4.2 + SACHIN 6</t>
  </si>
  <si>
    <t>BAL 26.02.2022 - WH</t>
  </si>
  <si>
    <t>TI-GI306418A+B</t>
  </si>
  <si>
    <t>LTI-GI306563A+B</t>
  </si>
  <si>
    <t>LTI-GI306239A+B</t>
  </si>
  <si>
    <t>LTI-GI306306A+B</t>
  </si>
  <si>
    <t>BAL 26.02 - SLT</t>
  </si>
  <si>
    <t>2/25/2022, 26.02.2022</t>
  </si>
  <si>
    <t>LTI-GI306375A</t>
  </si>
  <si>
    <t>TI-GI306749A+B+C</t>
  </si>
  <si>
    <t>BAL 27.02 - SLT</t>
  </si>
  <si>
    <t>BAL 27.02.2022 - WH</t>
  </si>
  <si>
    <t>LTI-GI306375B+C</t>
  </si>
  <si>
    <t>LTI-GI306390A+B+C</t>
  </si>
  <si>
    <t>LTI-GI306483A+B</t>
  </si>
  <si>
    <t>LTI-GI306084A+B</t>
  </si>
  <si>
    <t>BAL 28.02 - SLT</t>
  </si>
  <si>
    <t>BAL 28.02.2022 - WH</t>
  </si>
  <si>
    <t>029/02-2022/EXP</t>
  </si>
  <si>
    <t xml:space="preserve">Thickness
(mm)
</t>
  </si>
  <si>
    <t>OUTPUT WEIGT</t>
  </si>
  <si>
    <t>SCRAP TEORITIS</t>
  </si>
  <si>
    <t>OUTPUT WIDTH</t>
  </si>
  <si>
    <t>SLT 07.02.2022 - WH</t>
  </si>
  <si>
    <t>N2108280559-2</t>
  </si>
  <si>
    <t>LTI-GI306501A+B+C+D</t>
  </si>
  <si>
    <t>N2109010153-1</t>
  </si>
  <si>
    <t>LTI-GI306396A+B+C</t>
  </si>
  <si>
    <t>SLT 07.02.2022 - WH KW 2</t>
  </si>
  <si>
    <t>WH KW 2</t>
  </si>
  <si>
    <t>LTI-GI306396D</t>
  </si>
  <si>
    <t>STOCK KW 2</t>
  </si>
  <si>
    <t>N2107250852-2</t>
  </si>
  <si>
    <t>TI-GI306141A+B</t>
  </si>
  <si>
    <t>SLT 08.02.2022 - WH</t>
  </si>
  <si>
    <t>TI-GI306141C+D</t>
  </si>
  <si>
    <t>N2108270739-1</t>
  </si>
  <si>
    <t>TI-GI306468A+B+C+D</t>
  </si>
  <si>
    <t>N2107010254-2</t>
  </si>
  <si>
    <t>LTI-GI306395A+B</t>
  </si>
  <si>
    <t>REP WH - SLT 08.02.2022 - WH</t>
  </si>
  <si>
    <t>N1912250317-1</t>
  </si>
  <si>
    <t>LTI-TS304228D10.1-2</t>
  </si>
  <si>
    <t>23.4*2</t>
  </si>
  <si>
    <t>152/12-2021/LOC</t>
  </si>
  <si>
    <t>LEBAR SISA HEISEI</t>
  </si>
  <si>
    <t>ITSS19/12007-ARC</t>
  </si>
  <si>
    <t>Y190513A01-5</t>
  </si>
  <si>
    <t>ADA</t>
  </si>
  <si>
    <t>AREA LOADING</t>
  </si>
  <si>
    <t>LTI-TS304228B10.1-2</t>
  </si>
  <si>
    <t>REP WH - SLT 09.02.2022 - WH</t>
  </si>
  <si>
    <t>LTI-TS304228C10.1-2</t>
  </si>
  <si>
    <t>LTI-TS304228A10.1-2</t>
  </si>
  <si>
    <t>N1912030242-2</t>
  </si>
  <si>
    <t>TI-TS304132B10.1-2</t>
  </si>
  <si>
    <t>8/20/2020, 05.09.2020</t>
  </si>
  <si>
    <t>8/20/2020, 06.09.2020</t>
  </si>
  <si>
    <t>8/28/2020, 21.09.2020</t>
  </si>
  <si>
    <t>ITSS20/01001-ARC</t>
  </si>
  <si>
    <t>Y190725C06-7</t>
  </si>
  <si>
    <t>TI-TS304132D10.1-2</t>
  </si>
  <si>
    <t>TI-TS304132C10.1-2</t>
  </si>
  <si>
    <t>N1908240226-1</t>
  </si>
  <si>
    <t>TI-TS303895B2.10.1-2</t>
  </si>
  <si>
    <t>6/27/2020, 12.08.2020</t>
  </si>
  <si>
    <t>7/8/2020, 21.08.2020</t>
  </si>
  <si>
    <t>Y190816D30-6</t>
  </si>
  <si>
    <t>TI-TS303895B1.10.1-2</t>
  </si>
  <si>
    <t>N1912180468-2</t>
  </si>
  <si>
    <t>LTI-TS304166A1.10.1-2</t>
  </si>
  <si>
    <t>Y191208A04-1</t>
  </si>
  <si>
    <t>REP WH - SLT 10.02.2022 - WH</t>
  </si>
  <si>
    <t>180107M07-6</t>
  </si>
  <si>
    <t>VD301073A7</t>
  </si>
  <si>
    <t>LEBAR SISA HYOSUNG total multislit 651 + SISA</t>
  </si>
  <si>
    <t>VIEWER DEVELOPMENT CO. LTD.</t>
  </si>
  <si>
    <t>JRAIMR17112001A</t>
  </si>
  <si>
    <t>TRHU1475062</t>
  </si>
  <si>
    <t>data qc</t>
  </si>
  <si>
    <t>VD301073B7</t>
  </si>
  <si>
    <t>180113L05-8</t>
  </si>
  <si>
    <t>VD300969A7</t>
  </si>
  <si>
    <t>JRAIMR17120701A</t>
  </si>
  <si>
    <t>TCLU6892730</t>
  </si>
  <si>
    <t>171220P14-6</t>
  </si>
  <si>
    <t>VD301022B7</t>
  </si>
  <si>
    <t>EMCU3870568</t>
  </si>
  <si>
    <t>171222N09-4</t>
  </si>
  <si>
    <t>VD301020A7</t>
  </si>
  <si>
    <t>BSIU2495652</t>
  </si>
  <si>
    <t>VD301022A7</t>
  </si>
  <si>
    <t>REP WH - SLT 11.02.2022 - WH</t>
  </si>
  <si>
    <t>N1906110515-1</t>
  </si>
  <si>
    <t>TI-TS303786A7</t>
  </si>
  <si>
    <t>Y190518A10-6</t>
  </si>
  <si>
    <t>N1911080116-2</t>
  </si>
  <si>
    <t>TI-TS303839A7</t>
  </si>
  <si>
    <t>Y191024C07-4</t>
  </si>
  <si>
    <t>N1909300320-1</t>
  </si>
  <si>
    <t>LTI-TS303907A7</t>
  </si>
  <si>
    <t>ITSS19/12002-ARC</t>
  </si>
  <si>
    <t>Y190817D11-5</t>
  </si>
  <si>
    <t>171221M02-4</t>
  </si>
  <si>
    <t>VD301048A7</t>
  </si>
  <si>
    <t>EMCU6054779</t>
  </si>
  <si>
    <t>D01</t>
  </si>
  <si>
    <t>180112P09-6</t>
  </si>
  <si>
    <t>VD300962B7</t>
  </si>
  <si>
    <t>TCLU3806024</t>
  </si>
  <si>
    <t>REP WH - SLT 12.02.2022 - WH</t>
  </si>
  <si>
    <t>K2007115526B</t>
  </si>
  <si>
    <t>XG203404A2.1-2</t>
  </si>
  <si>
    <t>48.8*2</t>
  </si>
  <si>
    <t>SISA LEBAR PRATAMA</t>
  </si>
  <si>
    <t>9/12/2020, 14.09.2020, 25.09.2020, 25.03.2021</t>
  </si>
  <si>
    <t>CSLU1437071</t>
  </si>
  <si>
    <t>N200710AR161-01</t>
  </si>
  <si>
    <t>C04</t>
  </si>
  <si>
    <t>N2012100218-2</t>
  </si>
  <si>
    <t>TI-GI304658B5</t>
  </si>
  <si>
    <t>STOCK - SISA LEBAR VIVAAN METALS 011/01-2021/EXP</t>
  </si>
  <si>
    <t>Y200907D11-6</t>
  </si>
  <si>
    <t>SLT 14.02 - HOLD SLT</t>
  </si>
  <si>
    <t>LTI-GI306368A</t>
  </si>
  <si>
    <t>HOLD - LEBAR MINUS 762 MM</t>
  </si>
  <si>
    <t>SLT 14.02.2022 - WH</t>
  </si>
  <si>
    <t>LTI-GI306368B</t>
  </si>
  <si>
    <t>250/10-2021/EXP</t>
  </si>
  <si>
    <t>LTI-GI306360A+B</t>
  </si>
  <si>
    <t>LTI-GI306497A+B</t>
  </si>
  <si>
    <t>TI-GI306388A1-7+B1-7</t>
  </si>
  <si>
    <t>MULTI</t>
  </si>
  <si>
    <t>150/12-2021/LOC</t>
  </si>
  <si>
    <t>EM204703A1-5+B1-5</t>
  </si>
  <si>
    <t>SLT 15.02.2022 - WH</t>
  </si>
  <si>
    <t>EM204724A1-4+B1-4</t>
  </si>
  <si>
    <t>146/12-2021/LOC</t>
  </si>
  <si>
    <t>EM204304A1-4+B1-4</t>
  </si>
  <si>
    <t>TI-GI306407A1-7+B1-7</t>
  </si>
  <si>
    <t>HOLD SLT 15.02.2022 - WH KW 2</t>
  </si>
  <si>
    <t>LTI-GI306633A1</t>
  </si>
  <si>
    <t>HOLD SLT 15.02.2022 - WH</t>
  </si>
  <si>
    <t>LTI-GI306633A2</t>
  </si>
  <si>
    <t>LTI-GI306524A1-5+B1-5</t>
  </si>
  <si>
    <t>LTI-GI306279A+B</t>
  </si>
  <si>
    <t>SLT 16.02.2022 - WH</t>
  </si>
  <si>
    <t>LTI-GI306556A+B</t>
  </si>
  <si>
    <t>270/10-2021/EXP</t>
  </si>
  <si>
    <t>LTI-GI306539A+B</t>
  </si>
  <si>
    <t>GU204461A1-5+B1-5</t>
  </si>
  <si>
    <t>002/01-2022/LOC</t>
  </si>
  <si>
    <t>HK204580A1-5+B1-5</t>
  </si>
  <si>
    <t>HK204647A1-5+B1-5</t>
  </si>
  <si>
    <t>SLT 17.02.2022 - WH</t>
  </si>
  <si>
    <t>GU204464A1-5+B1-5</t>
  </si>
  <si>
    <t>LTI-GI306443A+B</t>
  </si>
  <si>
    <t>LTI-GI306544A+B</t>
  </si>
  <si>
    <t>LTI-GI306475A+B</t>
  </si>
  <si>
    <t>LTI-GI306566A+B</t>
  </si>
  <si>
    <t>SLT 18.02.2022 - WH</t>
  </si>
  <si>
    <t>LTI-GI306560A+B</t>
  </si>
  <si>
    <t>SLT 18.02 - RE SLT</t>
  </si>
  <si>
    <t>RE SLT 18.02.2022 - WH</t>
  </si>
  <si>
    <t>LTI-GI306565A+B</t>
  </si>
  <si>
    <t>SLT 18.02.2022 - WH KW 2</t>
  </si>
  <si>
    <t>LTI-GI306505A</t>
  </si>
  <si>
    <t>LTI-GI306505B+C</t>
  </si>
  <si>
    <t>LTI-GI306586A</t>
  </si>
  <si>
    <t>HOLD SLT 18.02 - RR</t>
  </si>
  <si>
    <t>SLT 19.02.2022 - WH</t>
  </si>
  <si>
    <t>HK204371A1-4+B1-4</t>
  </si>
  <si>
    <t>GU204439A1-5+B1-5</t>
  </si>
  <si>
    <t>GU204490A1-5+B1-5</t>
  </si>
  <si>
    <t>GU204456A1-5+B1-5</t>
  </si>
  <si>
    <t>HK204400A1-5</t>
  </si>
  <si>
    <t>SLT 21.02.2022 - WH</t>
  </si>
  <si>
    <t>HK204400B1-5</t>
  </si>
  <si>
    <t>LTI-GI306094A</t>
  </si>
  <si>
    <t>LTI-GI306077A+B</t>
  </si>
  <si>
    <t>SLT 22.02.2022 - WH</t>
  </si>
  <si>
    <t>HK204388B1-5+C1-5</t>
  </si>
  <si>
    <t>HK204374A1-5+B1-5</t>
  </si>
  <si>
    <t>HK204340A1-5+B1-5</t>
  </si>
  <si>
    <t>LTI-GI306157A+B</t>
  </si>
  <si>
    <t>LTI-GI306121A+B</t>
  </si>
  <si>
    <t>LTI-GI306183A+B</t>
  </si>
  <si>
    <t>LTI-GI306558A+B</t>
  </si>
  <si>
    <t>LTI-GI306474A+B</t>
  </si>
  <si>
    <t>SLT 23.02.2022 - WH</t>
  </si>
  <si>
    <t>LTI-GI306562A+B</t>
  </si>
  <si>
    <t>LTI-GI306413A+B</t>
  </si>
  <si>
    <t>LTI-GI306586B</t>
  </si>
  <si>
    <t>LTI-GI306112A</t>
  </si>
  <si>
    <t>SLT 23.02 - RR</t>
  </si>
  <si>
    <t>LTI-GI306074A</t>
  </si>
  <si>
    <t>HOLD SLT 23.02.2022 - WH</t>
  </si>
  <si>
    <t>LTI-GI306549A</t>
  </si>
  <si>
    <t>HK204396A1-6</t>
  </si>
  <si>
    <t>SLT 24.02.2022 - WH</t>
  </si>
  <si>
    <t>HK204396AB1-6</t>
  </si>
  <si>
    <t>EM204679A1-10+B1-10</t>
  </si>
  <si>
    <t>K2105282410A</t>
  </si>
  <si>
    <t>EM204671A1-4+B1-4</t>
  </si>
  <si>
    <t>N210527AS08</t>
  </si>
  <si>
    <t>HOLD SLT 24.02 - RE SLT</t>
  </si>
  <si>
    <t>LTI-GI306482A</t>
  </si>
  <si>
    <t>HOLD SLT 24.02.2022 - WH</t>
  </si>
  <si>
    <t>LTI-GI306482B</t>
  </si>
  <si>
    <t>RE  SLT 24.02.2022 - WH</t>
  </si>
  <si>
    <t>SLT 24.02 - RR</t>
  </si>
  <si>
    <t>LTI-GI306325A1+A2</t>
  </si>
  <si>
    <t>LTI-GI306095A1+A2</t>
  </si>
  <si>
    <t>K2105282349A</t>
  </si>
  <si>
    <t>EM204693A1-5+B1-5</t>
  </si>
  <si>
    <t>SLT 25.02.2022 - WH</t>
  </si>
  <si>
    <t>LTI-GI306477A+B</t>
  </si>
  <si>
    <t>LTI-GI306120A1</t>
  </si>
  <si>
    <t>SLT 25.02.2022 - WH KW 2</t>
  </si>
  <si>
    <t>LTI-GI306120A2</t>
  </si>
  <si>
    <t>SLT 25.02 - RE SLT</t>
  </si>
  <si>
    <t>SLT 25.02 - RR</t>
  </si>
  <si>
    <t>LTI-GI306113A</t>
  </si>
  <si>
    <t xml:space="preserve">270/10-2021/EXP </t>
  </si>
  <si>
    <t>LTI-GI306589C</t>
  </si>
  <si>
    <t>LTI-GI306098A+B</t>
  </si>
  <si>
    <t>006/01-2022/EXP + 005/01-2022/EXP</t>
  </si>
  <si>
    <t>ICPPL 7+5</t>
  </si>
  <si>
    <t xml:space="preserve">005/01-2022/EXP </t>
  </si>
  <si>
    <t>EM204276A1-5+B1-5</t>
  </si>
  <si>
    <t>SLT 26.02.2022 - WH</t>
  </si>
  <si>
    <t>EM204279A1-5+B1-5</t>
  </si>
  <si>
    <t>HOLD SLT 26.02 - RES LT</t>
  </si>
  <si>
    <t>9/29/2021; 15.10.2021, 18.02.2022, 26.02.2022</t>
  </si>
  <si>
    <t>HK204369A1-6+B1-6</t>
  </si>
  <si>
    <t>HK204372A1-6+B1-6</t>
  </si>
  <si>
    <t>RE SLT 26.02.2022 - WH KW 2</t>
  </si>
  <si>
    <t>TI-GI305935B1</t>
  </si>
  <si>
    <t>TI-GI305935B2</t>
  </si>
  <si>
    <t>REP WH - SLT 26.02.2022 - WH KW 2</t>
  </si>
  <si>
    <t>LTI-GI306112B1</t>
  </si>
  <si>
    <t>REP WH - SLT 26.02.2022 - WH</t>
  </si>
  <si>
    <t>LTI-GI306112B2</t>
  </si>
  <si>
    <t>HK204629A1-5+B1-5</t>
  </si>
  <si>
    <t>EM204728A1-5+B1-5</t>
  </si>
  <si>
    <t>HK204589A1-7+B1-7</t>
  </si>
  <si>
    <t>EM204539A1-5+B1-5</t>
  </si>
  <si>
    <t>SLT 27.02.2022 - WH</t>
  </si>
  <si>
    <t>LTI-GI306377A1-9+B1-9+C1-9</t>
  </si>
  <si>
    <t>149/12-2021/LOC</t>
  </si>
  <si>
    <t>TI-GI306603A1-7+B1-7+C1-7</t>
  </si>
  <si>
    <t>013/02-2022/LOC</t>
  </si>
  <si>
    <t>LTI-GI306514A1-6+B1-6+C1-6</t>
  </si>
  <si>
    <t>006/01-2022/LOC</t>
  </si>
  <si>
    <t>Act MinThick</t>
  </si>
  <si>
    <t>Act Max Thick</t>
  </si>
  <si>
    <t>PANJANG</t>
  </si>
  <si>
    <t>TOTAL LEMBAR</t>
  </si>
  <si>
    <t>LEBAR ACT</t>
  </si>
  <si>
    <t>Weight Incoming
(MT)</t>
  </si>
  <si>
    <t>N1902120129-1</t>
  </si>
  <si>
    <t>FINISH GOOD</t>
  </si>
  <si>
    <t>PACKING DATE</t>
  </si>
  <si>
    <t>FG AGING</t>
  </si>
  <si>
    <t>DISPATCH</t>
  </si>
  <si>
    <t>From Thickness
(mm)</t>
  </si>
  <si>
    <t>Thick</t>
  </si>
  <si>
    <t>Input Width
(mm)</t>
  </si>
  <si>
    <t>NET WEIGT</t>
  </si>
  <si>
    <t>GROSS WEIGHT</t>
  </si>
  <si>
    <t>Output width
coil / Multislit</t>
  </si>
  <si>
    <t>TOTAL WIDTH FOR MULTISLIT</t>
  </si>
  <si>
    <t xml:space="preserve">JUMLAH SHEET / </t>
  </si>
  <si>
    <t>Sales Contract</t>
  </si>
  <si>
    <t>REMARK PPIC</t>
  </si>
  <si>
    <t xml:space="preserve"> MILL</t>
  </si>
  <si>
    <t xml:space="preserve"> BAL</t>
  </si>
  <si>
    <t>03.12.19</t>
  </si>
  <si>
    <t>stockan12.10.19</t>
  </si>
  <si>
    <t>20.01.2020</t>
  </si>
  <si>
    <t>CHECK 17.102020</t>
  </si>
  <si>
    <t>STOCK OPNAME 24.11.2021</t>
  </si>
  <si>
    <t>DOMESTIK</t>
  </si>
  <si>
    <t>STOCK CITRA MASINDO - OLD PRODUCTION - BOOKING TRIYUDA</t>
  </si>
  <si>
    <t>RM SLT - SLT 26.11.2020 - WH</t>
  </si>
  <si>
    <t>K2009073433B</t>
  </si>
  <si>
    <t>XG203577A1-5</t>
  </si>
  <si>
    <t>EX - CITRA MASINDO - 111/10-2020/LOC</t>
  </si>
  <si>
    <t>CMAU0629317</t>
  </si>
  <si>
    <t>N200906AQ121-02</t>
  </si>
  <si>
    <t>SLT 13.11.2021 - WH</t>
  </si>
  <si>
    <t>K2104053533B</t>
  </si>
  <si>
    <t>GU204469B6-7</t>
  </si>
  <si>
    <t>EX - CITRA MASINDO - 177/12-2020/LOC</t>
  </si>
  <si>
    <t>STOCK - PRODUKSI BARU - SISA DIPRETELI - 117/09-2021/LOC</t>
  </si>
  <si>
    <t>N210404AQ01</t>
  </si>
  <si>
    <t>SLT 25.05.2021 - WH</t>
  </si>
  <si>
    <t>K2012032328</t>
  </si>
  <si>
    <t>XG203976A2-5</t>
  </si>
  <si>
    <t>EX - CITRA MASINDO - 124/10-2020/LOC</t>
  </si>
  <si>
    <t>XGC-IMR20201111</t>
  </si>
  <si>
    <t>UETU2435750</t>
  </si>
  <si>
    <t>N201202AQ01</t>
  </si>
  <si>
    <t>XG203976B2-5</t>
  </si>
  <si>
    <t>SLT 18.08.2021 - WH</t>
  </si>
  <si>
    <t>K2102261506B</t>
  </si>
  <si>
    <t>GU204129B1-6</t>
  </si>
  <si>
    <t>KELEBIHAN PRODUKSI - 098/07-2021/LOC</t>
  </si>
  <si>
    <t>N210225AR02</t>
  </si>
  <si>
    <t>REP WH - SLT 11.01.2022 - WH</t>
  </si>
  <si>
    <t>N2011050421-1</t>
  </si>
  <si>
    <t>TI-GI304669A2</t>
  </si>
  <si>
    <t>STOCK - SISA LEBAR VIVAAN METALS 012/01-2021/EXP</t>
  </si>
  <si>
    <t>Y200814A03-1</t>
  </si>
  <si>
    <t>N2012100216-2</t>
  </si>
  <si>
    <t>TI-GI304664A2</t>
  </si>
  <si>
    <t>REP WH - SLT 12.01.2022 - WH</t>
  </si>
  <si>
    <t>N2011160335-1</t>
  </si>
  <si>
    <t>TI-GI304707B2</t>
  </si>
  <si>
    <t>Y201108D44-5</t>
  </si>
  <si>
    <t>C02</t>
  </si>
  <si>
    <t>N2011050129-1</t>
  </si>
  <si>
    <t>TI-GI304719B2</t>
  </si>
  <si>
    <t>Y201002C47-1</t>
  </si>
  <si>
    <t>TI-GI304669B2</t>
  </si>
  <si>
    <t>TI-GI304707A2</t>
  </si>
  <si>
    <t>SLT 09.02.2021 - WH</t>
  </si>
  <si>
    <t>K2010070929B</t>
  </si>
  <si>
    <t>XG203643A3+5</t>
  </si>
  <si>
    <t>XGC-IMR20200911-2</t>
  </si>
  <si>
    <t>N201005AR04</t>
  </si>
  <si>
    <t>SLT 19.12.2020 - WH</t>
  </si>
  <si>
    <t>K2009161805A</t>
  </si>
  <si>
    <t>XG203602A2-4</t>
  </si>
  <si>
    <t>XGC-IMR20200911-1</t>
  </si>
  <si>
    <t>EGHU3694459</t>
  </si>
  <si>
    <t>N200915AR172-04</t>
  </si>
  <si>
    <t>SLT 02.06.2021 - WH</t>
  </si>
  <si>
    <t>K2012040403B</t>
  </si>
  <si>
    <t>XG203940B1-4</t>
  </si>
  <si>
    <t>EITU0129795</t>
  </si>
  <si>
    <t>N201201AT13</t>
  </si>
  <si>
    <t>N2011050421-2</t>
  </si>
  <si>
    <t>TI-GI304670A2</t>
  </si>
  <si>
    <t>TI-GI304670B2</t>
  </si>
  <si>
    <t>TI-GI304664B2</t>
  </si>
  <si>
    <t>N2012100204-2</t>
  </si>
  <si>
    <t>TI-GI304750B2</t>
  </si>
  <si>
    <t>Y201027B11-1</t>
  </si>
  <si>
    <t>TI-GI304750A2</t>
  </si>
  <si>
    <t>TI-GI304719A2</t>
  </si>
  <si>
    <t>VD300962A7</t>
  </si>
  <si>
    <t>180107L11-4</t>
  </si>
  <si>
    <t>VD301031A7</t>
  </si>
  <si>
    <t>EITU0134702</t>
  </si>
  <si>
    <t>VD301031B7</t>
  </si>
  <si>
    <t>VD301020B7</t>
  </si>
  <si>
    <t>GU204456A1-5</t>
  </si>
  <si>
    <t>EM204276A1-5</t>
  </si>
  <si>
    <t>EM204276B1-5</t>
  </si>
  <si>
    <t>EM204279A1-5</t>
  </si>
  <si>
    <t>EM204279B1-5</t>
  </si>
  <si>
    <t>HK204369A1-6</t>
  </si>
  <si>
    <t>HK204369B1-6</t>
  </si>
  <si>
    <t>HK204372A1-6</t>
  </si>
  <si>
    <t>HK204372B1-6</t>
  </si>
  <si>
    <t>HK204629A1-5</t>
  </si>
  <si>
    <t>HK204629B1-5</t>
  </si>
  <si>
    <t>EM204728A1-5</t>
  </si>
  <si>
    <t>EM204728B1-5</t>
  </si>
  <si>
    <t>HK204589A1-7</t>
  </si>
  <si>
    <t>HK204589B1-7</t>
  </si>
  <si>
    <t>EM204539A1-5</t>
  </si>
  <si>
    <t>EM204539B1-5</t>
  </si>
  <si>
    <t>LTI-GI306377A1-9</t>
  </si>
  <si>
    <t>LTI-GI306377B1-9</t>
  </si>
  <si>
    <t>LTI-GI306377C1-9</t>
  </si>
  <si>
    <t>STOCK SHEETS</t>
  </si>
  <si>
    <t>CTL 21.12.2018 - WH</t>
  </si>
  <si>
    <t>HE1802053800-2</t>
  </si>
  <si>
    <t>GU400081</t>
  </si>
  <si>
    <t>SHEET</t>
  </si>
  <si>
    <t>STOCK SHEET DOM</t>
  </si>
  <si>
    <t>TEMU3590101</t>
  </si>
  <si>
    <t>INCOMING SHEETS 12.11.2019 - WH</t>
  </si>
  <si>
    <t>Q219090902AY2J</t>
  </si>
  <si>
    <t>XH202908</t>
  </si>
  <si>
    <t>STOCK SHEET</t>
  </si>
  <si>
    <t>XIANGHYU HONOUR WEALTH SUPPLY CHAIN CO, LTD</t>
  </si>
  <si>
    <t>F190900070</t>
  </si>
  <si>
    <t>FCIU3697877</t>
  </si>
  <si>
    <t>K191238045</t>
  </si>
  <si>
    <t>NET PL+GROSS PL</t>
  </si>
  <si>
    <t>INCOMING SHEETS 01.07.2021 - WH</t>
  </si>
  <si>
    <t>IM444</t>
  </si>
  <si>
    <t>LM410467</t>
  </si>
  <si>
    <t>210408IM04-2</t>
  </si>
  <si>
    <t>BSIU3261411</t>
  </si>
  <si>
    <t>B6811</t>
  </si>
  <si>
    <t>IM446</t>
  </si>
  <si>
    <t>LM410469</t>
  </si>
  <si>
    <t>BMOU1381367</t>
  </si>
  <si>
    <t>E6905</t>
  </si>
  <si>
    <t>IM447</t>
  </si>
  <si>
    <t>LM410470</t>
  </si>
  <si>
    <t>CAIU6318032</t>
  </si>
  <si>
    <t>G8207</t>
  </si>
  <si>
    <t>IM448</t>
  </si>
  <si>
    <t>LM410471</t>
  </si>
  <si>
    <t>J6504</t>
  </si>
  <si>
    <t>IM449</t>
  </si>
  <si>
    <t>LM410472</t>
  </si>
  <si>
    <t>H4569</t>
  </si>
  <si>
    <t>IM455</t>
  </si>
  <si>
    <t>LM410478</t>
  </si>
  <si>
    <t>YMMU1222015</t>
  </si>
  <si>
    <t>B7806</t>
  </si>
  <si>
    <t>IM456</t>
  </si>
  <si>
    <t>LM410479</t>
  </si>
  <si>
    <t>C9431</t>
  </si>
  <si>
    <t>IM457</t>
  </si>
  <si>
    <t>LM410480</t>
  </si>
  <si>
    <t>H3124</t>
  </si>
  <si>
    <t>IM458</t>
  </si>
  <si>
    <t>LM410481</t>
  </si>
  <si>
    <t>B4378</t>
  </si>
  <si>
    <t>IM459</t>
  </si>
  <si>
    <t>LM410482</t>
  </si>
  <si>
    <t>D5409</t>
  </si>
  <si>
    <t>IM460</t>
  </si>
  <si>
    <t>LM410483</t>
  </si>
  <si>
    <t>B6868</t>
  </si>
  <si>
    <t>IM461</t>
  </si>
  <si>
    <t>LM410484</t>
  </si>
  <si>
    <t>C2650</t>
  </si>
  <si>
    <t>IM462</t>
  </si>
  <si>
    <t>LM410485</t>
  </si>
  <si>
    <t>I9784</t>
  </si>
  <si>
    <t>IM463</t>
  </si>
  <si>
    <t>LM410486</t>
  </si>
  <si>
    <t>E7549</t>
  </si>
  <si>
    <t>IM464</t>
  </si>
  <si>
    <t>LM410487</t>
  </si>
  <si>
    <t>A8140</t>
  </si>
  <si>
    <t>IM465</t>
  </si>
  <si>
    <t>LM410488</t>
  </si>
  <si>
    <t>D2396</t>
  </si>
  <si>
    <t>IM466</t>
  </si>
  <si>
    <t>LM410489</t>
  </si>
  <si>
    <t>C7424</t>
  </si>
  <si>
    <t>IM467</t>
  </si>
  <si>
    <t>LM410490</t>
  </si>
  <si>
    <t>F9917</t>
  </si>
  <si>
    <t>IM468</t>
  </si>
  <si>
    <t>LM410491</t>
  </si>
  <si>
    <t>E2009</t>
  </si>
  <si>
    <t>IM470</t>
  </si>
  <si>
    <t>LM410493</t>
  </si>
  <si>
    <t>G6449</t>
  </si>
  <si>
    <t>IM471</t>
  </si>
  <si>
    <t>LM410494</t>
  </si>
  <si>
    <t>F2624</t>
  </si>
  <si>
    <t>IM472</t>
  </si>
  <si>
    <t>LM410495</t>
  </si>
  <si>
    <t>I4382</t>
  </si>
  <si>
    <t>IM473</t>
  </si>
  <si>
    <t>LM410496</t>
  </si>
  <si>
    <t>E2708</t>
  </si>
  <si>
    <t>IM474</t>
  </si>
  <si>
    <t>LM410497</t>
  </si>
  <si>
    <t>G6689</t>
  </si>
  <si>
    <t>INCOMING SHEETS 16.07.2021 - WH</t>
  </si>
  <si>
    <t>IM487</t>
  </si>
  <si>
    <t>LM410547</t>
  </si>
  <si>
    <t>210408IM04-3</t>
  </si>
  <si>
    <t>GLDU9308593</t>
  </si>
  <si>
    <t>IM488</t>
  </si>
  <si>
    <t>LM410548</t>
  </si>
  <si>
    <t>IM489</t>
  </si>
  <si>
    <t>LM410549</t>
  </si>
  <si>
    <t>IM490</t>
  </si>
  <si>
    <t>LM410550</t>
  </si>
  <si>
    <t>IM491</t>
  </si>
  <si>
    <t>LM410551</t>
  </si>
  <si>
    <t>INCOMING SHEETS 03.08.2021 - WH</t>
  </si>
  <si>
    <t>IM440</t>
  </si>
  <si>
    <t>LM410601</t>
  </si>
  <si>
    <t>210408IM04-4</t>
  </si>
  <si>
    <t>CMAU0910026</t>
  </si>
  <si>
    <t>C1287</t>
  </si>
  <si>
    <t>IM441</t>
  </si>
  <si>
    <t>LM410602</t>
  </si>
  <si>
    <t>D9806</t>
  </si>
  <si>
    <t>IM442</t>
  </si>
  <si>
    <t>LM410603</t>
  </si>
  <si>
    <t>F5714</t>
  </si>
  <si>
    <t>IM443</t>
  </si>
  <si>
    <t>LM410604</t>
  </si>
  <si>
    <t>J4677</t>
  </si>
  <si>
    <t>LM410605</t>
  </si>
  <si>
    <t>G5157</t>
  </si>
  <si>
    <t>IM445</t>
  </si>
  <si>
    <t>LM410606</t>
  </si>
  <si>
    <t>D2558</t>
  </si>
  <si>
    <t>LM410607</t>
  </si>
  <si>
    <t>B1225</t>
  </si>
  <si>
    <t>LM410608</t>
  </si>
  <si>
    <t>H7360</t>
  </si>
  <si>
    <t>LM410609</t>
  </si>
  <si>
    <t>I3412</t>
  </si>
  <si>
    <t>LM410610</t>
  </si>
  <si>
    <t>F5103</t>
  </si>
  <si>
    <t>INCOMING SHEETS 09.08.2021 - WH</t>
  </si>
  <si>
    <t>IM527</t>
  </si>
  <si>
    <t>LM410646</t>
  </si>
  <si>
    <t>210410IM05-2</t>
  </si>
  <si>
    <t>WHLU0685744</t>
  </si>
  <si>
    <t>A4373</t>
  </si>
  <si>
    <t>INCOMING COIL 23.08.2021 - WH</t>
  </si>
  <si>
    <t>QLZ21K02652A</t>
  </si>
  <si>
    <t>TI-GI305698</t>
  </si>
  <si>
    <t>PT INDONESIA RUIPU NICKEL AND CHROME ALLOY</t>
  </si>
  <si>
    <t>IRNC21/CC05007-ARC</t>
  </si>
  <si>
    <t>Y210607A20-5</t>
  </si>
  <si>
    <t>QLZ21K02657A</t>
  </si>
  <si>
    <t>TI-GI305700</t>
  </si>
  <si>
    <t>Y210616C06-6</t>
  </si>
  <si>
    <t>QLZ21K02657B</t>
  </si>
  <si>
    <t>TI-GI305701</t>
  </si>
  <si>
    <t>QLZ21K02659A</t>
  </si>
  <si>
    <t>TI-GI305702</t>
  </si>
  <si>
    <t>Y210606B22-3</t>
  </si>
  <si>
    <t>QLZ21K02659B</t>
  </si>
  <si>
    <t>TI-GI305703</t>
  </si>
  <si>
    <t>QLZ21K03067A</t>
  </si>
  <si>
    <t>TI-GI305704</t>
  </si>
  <si>
    <t>Y210628F08-6</t>
  </si>
  <si>
    <t>INCOMING COIL 27.09.2021 - WH</t>
  </si>
  <si>
    <t>QLZ21K03931A</t>
  </si>
  <si>
    <t>LTI-GI305960</t>
  </si>
  <si>
    <t>Y210722D53-2</t>
  </si>
  <si>
    <t>QLZ21K03931B</t>
  </si>
  <si>
    <t>LTI-GI305961</t>
  </si>
  <si>
    <t>INCOMING COIL 16.11.2021 - WH</t>
  </si>
  <si>
    <t>QLZ21K05402B</t>
  </si>
  <si>
    <t>LTI-GI306572</t>
  </si>
  <si>
    <t>AT WARE HOUSE MARGOMULYO - SBY</t>
  </si>
  <si>
    <t>IRNC21/CC06003-ARC</t>
  </si>
  <si>
    <t>Y210823C31-5</t>
  </si>
  <si>
    <t>EM204724B1-4</t>
  </si>
  <si>
    <t>EM204671A1-4</t>
  </si>
  <si>
    <t>EM204693A1-5</t>
  </si>
  <si>
    <t>EM204693B1-5</t>
  </si>
  <si>
    <t>TI-GI306603A1-7</t>
  </si>
  <si>
    <t>TI-GI306603B1-7</t>
  </si>
  <si>
    <t>TI-GI306603C1-7</t>
  </si>
  <si>
    <t>LTI-GI306514A1-6</t>
  </si>
  <si>
    <t>LTI-GI306514B1-6</t>
  </si>
  <si>
    <t>LTI-GI306514C1-6</t>
  </si>
  <si>
    <t>EKSPORT</t>
  </si>
  <si>
    <t>VIVAAN METALS - 270/10-2021/EXP</t>
  </si>
  <si>
    <t>SLT 24.11.2021 - WH</t>
  </si>
  <si>
    <t>N2106230513-1</t>
  </si>
  <si>
    <t>TI-GI305928B</t>
  </si>
  <si>
    <t>Y210612D27-3</t>
  </si>
  <si>
    <t>LTI-GI306556A</t>
  </si>
  <si>
    <t>LTI-GI306556B</t>
  </si>
  <si>
    <t>LTI-GI306539A</t>
  </si>
  <si>
    <t>LTI-GI306539B</t>
  </si>
  <si>
    <t>LTI-GI306077A</t>
  </si>
  <si>
    <t>LTI-GI306077B</t>
  </si>
  <si>
    <t>LTI-GI306157A</t>
  </si>
  <si>
    <t>LTI-GI306157B</t>
  </si>
  <si>
    <t>LTI-GI306121A</t>
  </si>
  <si>
    <t>LTI-GI306121B</t>
  </si>
  <si>
    <t>LTI-GI306183A</t>
  </si>
  <si>
    <t>LTI-GI306183B</t>
  </si>
  <si>
    <t>LTI-GI306558A</t>
  </si>
  <si>
    <t>LTI-GI306558B</t>
  </si>
  <si>
    <t>LTI-GI306474A</t>
  </si>
  <si>
    <t>LTI-GI306474B</t>
  </si>
  <si>
    <t>LTI-GI306562A</t>
  </si>
  <si>
    <t>LTI-GI306562B</t>
  </si>
  <si>
    <t>LTI-GI306413A</t>
  </si>
  <si>
    <t>LTI-GI306413B</t>
  </si>
  <si>
    <t>VIVAAN METALS - 250/10-2021/EXP</t>
  </si>
  <si>
    <t>LTI-GI306360A</t>
  </si>
  <si>
    <t>LTI-GI306360B</t>
  </si>
  <si>
    <t>LTI-GI306497A</t>
  </si>
  <si>
    <t>LTI-GI306497B</t>
  </si>
  <si>
    <t>LTI-GI306279A</t>
  </si>
  <si>
    <t>LTI-GI306279B</t>
  </si>
  <si>
    <t>LTI-GI306443A</t>
  </si>
  <si>
    <t>LTI-GI306443B</t>
  </si>
  <si>
    <t>LTI-GI306544A</t>
  </si>
  <si>
    <t>LTI-GI306544B</t>
  </si>
  <si>
    <t>LTI-GI306475A</t>
  </si>
  <si>
    <t>LTI-GI306475B</t>
  </si>
  <si>
    <t>LTI-GI306566A</t>
  </si>
  <si>
    <t>LTI-GI306566B</t>
  </si>
  <si>
    <t>LTI-GI306560A</t>
  </si>
  <si>
    <t>LTI-GI306560B</t>
  </si>
  <si>
    <t>LTI-GI306565A</t>
  </si>
  <si>
    <t>LTI-GI306565B</t>
  </si>
  <si>
    <t>LTI-GI306505B</t>
  </si>
  <si>
    <t>LTI-GI306505C</t>
  </si>
  <si>
    <t>SUNRISE</t>
  </si>
  <si>
    <t>LTI-GI306496B</t>
  </si>
  <si>
    <t>258/10-2021/EXP</t>
  </si>
  <si>
    <t>LTI-GI306391C</t>
  </si>
  <si>
    <t>LTI-GI306375B</t>
  </si>
  <si>
    <t>LTI-GI306375C</t>
  </si>
  <si>
    <t>LTI-GI306390A</t>
  </si>
  <si>
    <t>LTI-GI306390B</t>
  </si>
  <si>
    <t>LTI-GI306390C</t>
  </si>
  <si>
    <t>LTI-GI306070A</t>
  </si>
  <si>
    <t>LTI-GI306582B</t>
  </si>
  <si>
    <t>LTI-GI306635B</t>
  </si>
  <si>
    <t>LTI-GI306095A1</t>
  </si>
  <si>
    <t>LTI-GI306095A2</t>
  </si>
  <si>
    <t>TI-GI306389A</t>
  </si>
  <si>
    <t>013/01-2022/EXP-D4</t>
  </si>
  <si>
    <t>LTI-GI306483A</t>
  </si>
  <si>
    <t>LTI-GI306483B</t>
  </si>
  <si>
    <t>LTI-GI306084A</t>
  </si>
  <si>
    <t>LTI-GI306084B</t>
  </si>
  <si>
    <t>COIL STOCK</t>
  </si>
  <si>
    <t>SLT 02.04.2018 - FG</t>
  </si>
  <si>
    <t>FM61016260N01</t>
  </si>
  <si>
    <t>ZM400028B</t>
  </si>
  <si>
    <t xml:space="preserve">STOCK </t>
  </si>
  <si>
    <t>LEBAR SISA 760+SISA</t>
  </si>
  <si>
    <t>SINGAPORE ZHIMEI PTE. LTD</t>
  </si>
  <si>
    <t>1611/IND023</t>
  </si>
  <si>
    <t>FCIU 5920402</t>
  </si>
  <si>
    <t>A1604217</t>
  </si>
  <si>
    <t>FM61017260N01</t>
  </si>
  <si>
    <t>ZM400032B</t>
  </si>
  <si>
    <t>FCIU 5920022</t>
  </si>
  <si>
    <t>FM61017260N02</t>
  </si>
  <si>
    <t>ZM400033B</t>
  </si>
  <si>
    <t>FM61016250N02</t>
  </si>
  <si>
    <t>ZM400035B</t>
  </si>
  <si>
    <t>FCIU 5920357</t>
  </si>
  <si>
    <t>FM61017350N01</t>
  </si>
  <si>
    <t>ZM400036B</t>
  </si>
  <si>
    <t>FCIU 5917163</t>
  </si>
  <si>
    <t>SLT 21.04.2018 - WH</t>
  </si>
  <si>
    <t>171202N12-4</t>
  </si>
  <si>
    <t>VD301026A7</t>
  </si>
  <si>
    <t>76 - 78</t>
  </si>
  <si>
    <t>DRYU2988870</t>
  </si>
  <si>
    <t>Y171221N11-4</t>
  </si>
  <si>
    <t>VD301023B7</t>
  </si>
  <si>
    <t>TCLU3337523</t>
  </si>
  <si>
    <t>SLT 03.05.2018 - WH</t>
  </si>
  <si>
    <t>180308M01-2</t>
  </si>
  <si>
    <t>VD301117B7</t>
  </si>
  <si>
    <t>JRAIMR1801-001A</t>
  </si>
  <si>
    <t>180107N02-2</t>
  </si>
  <si>
    <t>VD301015A7</t>
  </si>
  <si>
    <t>DFSU1542015</t>
  </si>
  <si>
    <t>SLT 22.04.2018 - WH</t>
  </si>
  <si>
    <t>180109N14-4</t>
  </si>
  <si>
    <t>VD301014A7</t>
  </si>
  <si>
    <t>VD301014B7</t>
  </si>
  <si>
    <t>171219L03-6</t>
  </si>
  <si>
    <t>VD301028A7</t>
  </si>
  <si>
    <t>180109L07-2</t>
  </si>
  <si>
    <t>VD300980B7</t>
  </si>
  <si>
    <t>EMCU6049601</t>
  </si>
  <si>
    <t>180110P11-2</t>
  </si>
  <si>
    <t>VD300967A7</t>
  </si>
  <si>
    <t>IMTU3046594</t>
  </si>
  <si>
    <t>SLT 23.04.2018 - WH</t>
  </si>
  <si>
    <t>VD301048B7</t>
  </si>
  <si>
    <t>VD301015B7</t>
  </si>
  <si>
    <t>VD301023A7</t>
  </si>
  <si>
    <t>SLT 09.05.2018 - WH</t>
  </si>
  <si>
    <t>180110M11-6</t>
  </si>
  <si>
    <t>VD300998A4</t>
  </si>
  <si>
    <t>LEBAR SISA SLIT ISANO LOPO</t>
  </si>
  <si>
    <t>3/25/2018, 03.05.2018</t>
  </si>
  <si>
    <t>3/30/2018, 08.05.2018</t>
  </si>
  <si>
    <t>BMOU2361088</t>
  </si>
  <si>
    <t>VD300998B4</t>
  </si>
  <si>
    <t>VD300998C4</t>
  </si>
  <si>
    <t>SLT 10.03.2019 - WH</t>
  </si>
  <si>
    <t>GU400077C3</t>
  </si>
  <si>
    <t>WHITE FINISH, UNANNEALED FINISH,</t>
  </si>
  <si>
    <t>SLT 16.05.2019 - WH</t>
  </si>
  <si>
    <t>88S086001B-1</t>
  </si>
  <si>
    <t>HK400084A3</t>
  </si>
  <si>
    <t>REP - RETR 27.05.2019 - WH</t>
  </si>
  <si>
    <t>K1705070808B</t>
  </si>
  <si>
    <t>ZH200829B1.8</t>
  </si>
  <si>
    <t>SUN SING</t>
  </si>
  <si>
    <t>MATERIAL RETURN CITRA MASINDO 20-03-2018</t>
  </si>
  <si>
    <t>PACKING DONUTS</t>
  </si>
  <si>
    <t>8/8/2017, 25.08.2017</t>
  </si>
  <si>
    <t>8/9/2017, 28.08.2017</t>
  </si>
  <si>
    <t>8/13/2017, 28.08.2017</t>
  </si>
  <si>
    <t>8/20/2017, 28.08.2017</t>
  </si>
  <si>
    <t>ZHEJIANG STELLAR GLOBAL CO., LTD</t>
  </si>
  <si>
    <t>G17JLV0515-01C</t>
  </si>
  <si>
    <t>DFSU1013984</t>
  </si>
  <si>
    <t>N170506AQ081-3</t>
  </si>
  <si>
    <t>RETURN</t>
  </si>
  <si>
    <t>SLT 10.05.2020 - WH</t>
  </si>
  <si>
    <t>180623L09-2</t>
  </si>
  <si>
    <t>GU301255B10</t>
  </si>
  <si>
    <t>7/30/2018, 04.05.2020</t>
  </si>
  <si>
    <t>7/31/2018, 04.05.2020</t>
  </si>
  <si>
    <t>8/1/2018, 07.05.2020</t>
  </si>
  <si>
    <t>GXGJ-IMR-1812-PL</t>
  </si>
  <si>
    <t>offer to marketing</t>
  </si>
  <si>
    <t>RE SLT 17.05.2020 - WH</t>
  </si>
  <si>
    <t>88S087939-2</t>
  </si>
  <si>
    <t>HK400093A4</t>
  </si>
  <si>
    <t>LEBAR SISA ARWANA GEMILANG</t>
  </si>
  <si>
    <t>OOLU0788081</t>
  </si>
  <si>
    <t>HK400093B4</t>
  </si>
  <si>
    <t>HK400093C4</t>
  </si>
  <si>
    <t>HK400093D4</t>
  </si>
  <si>
    <t>GU301255A10</t>
  </si>
  <si>
    <t>SLT 19.05.2020 - WH</t>
  </si>
  <si>
    <t>88S087938-1</t>
  </si>
  <si>
    <t>HK400090B4</t>
  </si>
  <si>
    <t>OOLU1972961</t>
  </si>
  <si>
    <t>GU301255C10</t>
  </si>
  <si>
    <t>HK400090C4</t>
  </si>
  <si>
    <t>88S087937B-2</t>
  </si>
  <si>
    <t>HK400095A4</t>
  </si>
  <si>
    <t>OOLU2947794</t>
  </si>
  <si>
    <t>HK400095B4</t>
  </si>
  <si>
    <t>HK400095D4</t>
  </si>
  <si>
    <t>HK400095C4</t>
  </si>
  <si>
    <t>HK400090A4</t>
  </si>
  <si>
    <t>HK400090D4</t>
  </si>
  <si>
    <t>SLT 15.06.2020 - WH</t>
  </si>
  <si>
    <t>88S087938-2</t>
  </si>
  <si>
    <t>HK400091A4</t>
  </si>
  <si>
    <t>HK400091B4</t>
  </si>
  <si>
    <t>HK400091C4</t>
  </si>
  <si>
    <t>HK400091D4</t>
  </si>
  <si>
    <t>RM SLT - SLT 20.07.2020 - WH</t>
  </si>
  <si>
    <t>200623A069</t>
  </si>
  <si>
    <t>EM400106G3</t>
  </si>
  <si>
    <t>SISA LEBAR ARWANA GEMILANG</t>
  </si>
  <si>
    <t>INV-IMR20200608</t>
  </si>
  <si>
    <t>AAA1450</t>
  </si>
  <si>
    <t>200623A067</t>
  </si>
  <si>
    <t>EM400108B3</t>
  </si>
  <si>
    <t>EM400108C3</t>
  </si>
  <si>
    <t>EM400106E3</t>
  </si>
  <si>
    <t>EM400106F3</t>
  </si>
  <si>
    <t>EM400108A3</t>
  </si>
  <si>
    <t>RM SLT - SLT 30.08.2020 - WH</t>
  </si>
  <si>
    <t>EM400108D4</t>
  </si>
  <si>
    <t>EM400108E4</t>
  </si>
  <si>
    <t>EM400108F4</t>
  </si>
  <si>
    <t>SLT 04.09.2020 - WH</t>
  </si>
  <si>
    <t>N1908280272-2</t>
  </si>
  <si>
    <t>TI-TS303847B3</t>
  </si>
  <si>
    <t>SISA LEBAR MELI</t>
  </si>
  <si>
    <t>4/24/2020, 02.05.2020</t>
  </si>
  <si>
    <t>5/2/2020, 29.07.2020</t>
  </si>
  <si>
    <t>Y190722C04-6</t>
  </si>
  <si>
    <t>SLT 19.10.2020 - WH</t>
  </si>
  <si>
    <t>N1908280247-2</t>
  </si>
  <si>
    <t>LTI-TS304249B3</t>
  </si>
  <si>
    <t>8/29/2020, 25.09.2020, 01.10.2020</t>
  </si>
  <si>
    <t>8/29/2020, 28.09.2020, 02.10.2020</t>
  </si>
  <si>
    <t>9/4/2020, 29.09.2020</t>
  </si>
  <si>
    <t>Y190719D25-1</t>
  </si>
  <si>
    <t>RM SLT - SLT 02.09.2020 - WH</t>
  </si>
  <si>
    <t>K2007142208A</t>
  </si>
  <si>
    <t>XG203424C8</t>
  </si>
  <si>
    <t>?</t>
  </si>
  <si>
    <t>CSNU1985853</t>
  </si>
  <si>
    <t>N200714AR072-01</t>
  </si>
  <si>
    <t>SLT 01.12.2020 - WH</t>
  </si>
  <si>
    <t>K1809192221B</t>
  </si>
  <si>
    <t>GU240035A2.1-2</t>
  </si>
  <si>
    <t>79.2+49.3</t>
  </si>
  <si>
    <t>SISA LEBAR PRATAMA - 148/11-2020/LOC</t>
  </si>
  <si>
    <t>3/2/2019, 01.12.2020</t>
  </si>
  <si>
    <t>GXGJ-IMR-1815-1-PL</t>
  </si>
  <si>
    <t>TEMU0674195</t>
  </si>
  <si>
    <t>N180914AX021-03</t>
  </si>
  <si>
    <t>D04</t>
  </si>
  <si>
    <t>GU2400353.1-2</t>
  </si>
  <si>
    <t>GU240035B2.1</t>
  </si>
  <si>
    <t>SLT 02.12.2020 - WH</t>
  </si>
  <si>
    <t>N2010130152-2</t>
  </si>
  <si>
    <t>TI-GI304472A3</t>
  </si>
  <si>
    <t>SISA LEBAR BNM</t>
  </si>
  <si>
    <t>Y200930A06-4</t>
  </si>
  <si>
    <t>TI-GI304472B3</t>
  </si>
  <si>
    <t>SLT 18.12.2020 - WH</t>
  </si>
  <si>
    <t>N2010100428-2</t>
  </si>
  <si>
    <t>TI-GI304521B</t>
  </si>
  <si>
    <t>EX - SUPASIN 161/12-2020/EXP - GANTI THICKNES</t>
  </si>
  <si>
    <t>GCNS20/WC09001-ARC</t>
  </si>
  <si>
    <t>Y201004C48-4</t>
  </si>
  <si>
    <t>SLT 25.12.2020 - WH</t>
  </si>
  <si>
    <t>N2011050127-2</t>
  </si>
  <si>
    <t>TI-GI304561B5</t>
  </si>
  <si>
    <t>LEBAR SISA TRIYUDA</t>
  </si>
  <si>
    <t>Y200901D03-1</t>
  </si>
  <si>
    <t>SLT 26.12.2020 - WH</t>
  </si>
  <si>
    <t>N2011050406-2</t>
  </si>
  <si>
    <t>TI-GI304631A7</t>
  </si>
  <si>
    <t>STOCK TRIYUDA</t>
  </si>
  <si>
    <t>SISA LEBAR SPINDO</t>
  </si>
  <si>
    <t>Y200914A26-1</t>
  </si>
  <si>
    <t>TI-GI304631B7</t>
  </si>
  <si>
    <t>N2010020244-2</t>
  </si>
  <si>
    <t>TI-GI304523A2</t>
  </si>
  <si>
    <t>Y200926A08-6</t>
  </si>
  <si>
    <t>SLT 23.01.2021 - WH</t>
  </si>
  <si>
    <t>K2010070905B</t>
  </si>
  <si>
    <t>XG203639A-B</t>
  </si>
  <si>
    <t>LEBAR SISA MASPION LOGAM JAWA</t>
  </si>
  <si>
    <t>11/20/2020, 23.11.2020</t>
  </si>
  <si>
    <t>11/21/2020, 24.11.2020</t>
  </si>
  <si>
    <t>N201004AQ14</t>
  </si>
  <si>
    <t>K2010221331A</t>
  </si>
  <si>
    <t>XG203770A-B</t>
  </si>
  <si>
    <t>1/11/2021, 16.01.2021</t>
  </si>
  <si>
    <t>1/11/2021, 17.01.2021</t>
  </si>
  <si>
    <t>1/11/2021, 21.01.2021</t>
  </si>
  <si>
    <t>DRYU2701830</t>
  </si>
  <si>
    <t>N201021AR09</t>
  </si>
  <si>
    <t>SLT 29.01.2021 - WH</t>
  </si>
  <si>
    <t>N2001140448-2</t>
  </si>
  <si>
    <t>TI-TS203497D1</t>
  </si>
  <si>
    <t>HOLD - CRACK - TISCO</t>
  </si>
  <si>
    <t>ITSS19/12004-ARC</t>
  </si>
  <si>
    <t>Y191018D07-3</t>
  </si>
  <si>
    <t>SLT 15.02.2021 - WH</t>
  </si>
  <si>
    <t>K2010061834B</t>
  </si>
  <si>
    <t>XG203824A6</t>
  </si>
  <si>
    <t>HOLD - PISAU GUPIL - CITRA MASINDO</t>
  </si>
  <si>
    <t>XGC-IMR20200924-2</t>
  </si>
  <si>
    <t>TEMU1312483</t>
  </si>
  <si>
    <t>N201005AR02</t>
  </si>
  <si>
    <t>SLT 25.03.2021 - WH</t>
  </si>
  <si>
    <t>K2007142137A</t>
  </si>
  <si>
    <t>XG203545B</t>
  </si>
  <si>
    <t>11/11/2020, 25.03.2021</t>
  </si>
  <si>
    <t>XGC-IMR20200707-2</t>
  </si>
  <si>
    <t>CMAU0669201</t>
  </si>
  <si>
    <t>N200714AR061-03</t>
  </si>
  <si>
    <t>XG203545D</t>
  </si>
  <si>
    <t>SLT 22.02.2021 - WH</t>
  </si>
  <si>
    <t>K2012032314B</t>
  </si>
  <si>
    <t>XG203836A7</t>
  </si>
  <si>
    <t>HOLD - CITRA MASINDO</t>
  </si>
  <si>
    <t>2/15/2021, 17.02.2021</t>
  </si>
  <si>
    <t>2/16/2021, 18.02.2021</t>
  </si>
  <si>
    <t>XGC-IMR20201116-1</t>
  </si>
  <si>
    <t>EGHU3783941</t>
  </si>
  <si>
    <t>N201202AR02</t>
  </si>
  <si>
    <t>SLT 17.02.2021 - WH</t>
  </si>
  <si>
    <t>K2010061906A</t>
  </si>
  <si>
    <t>XG203802B14</t>
  </si>
  <si>
    <t>HOLD - METALUTAMA 024/02-2021/LOC - PISAU CUIL</t>
  </si>
  <si>
    <t>2/8/2021, 16.02.2021</t>
  </si>
  <si>
    <t>2/8/2021, 17.02.2021</t>
  </si>
  <si>
    <t>2/9/2021, 17.02.2021</t>
  </si>
  <si>
    <t>TEMU1832741</t>
  </si>
  <si>
    <t>N201005AR09</t>
  </si>
  <si>
    <t>SECURITY</t>
  </si>
  <si>
    <t>K2009172936A</t>
  </si>
  <si>
    <t>XG203796A14</t>
  </si>
  <si>
    <t>HOLD - METALUTAMA 024/02-2021/LOC - MELEOT</t>
  </si>
  <si>
    <t>1/23/2021, 09.02.2021, 13.02.2021</t>
  </si>
  <si>
    <t>1/23/2021, 09.02.2021, 15.02.2021</t>
  </si>
  <si>
    <t>1/28/2021, 10.02.2021, 15.02.2021</t>
  </si>
  <si>
    <t>TEMU1824200</t>
  </si>
  <si>
    <t>N200915AR15</t>
  </si>
  <si>
    <t>SLT 06.03.2021 - WH</t>
  </si>
  <si>
    <t>N2011050115-2</t>
  </si>
  <si>
    <t>TI-GI304698A3</t>
  </si>
  <si>
    <t>STOCK HEISEI</t>
  </si>
  <si>
    <t>Y201006D42-6</t>
  </si>
  <si>
    <t>N2011050115-1</t>
  </si>
  <si>
    <t>TI-GI304697A3</t>
  </si>
  <si>
    <t>RE SLT 29.03.2021 - WH</t>
  </si>
  <si>
    <t>NH2001140301-2</t>
  </si>
  <si>
    <t>TI-TS203375B2</t>
  </si>
  <si>
    <t>9/12/2020, 27.03.2021</t>
  </si>
  <si>
    <t>9/12/2020, 28.03.2021</t>
  </si>
  <si>
    <t>9/18/2020, 28.03.2021</t>
  </si>
  <si>
    <t>ITSS19/12005-ARC</t>
  </si>
  <si>
    <t>Y190929D06-7</t>
  </si>
  <si>
    <t>SLT 23.04.2021 - WH</t>
  </si>
  <si>
    <t>180320N09-6</t>
  </si>
  <si>
    <t>VD301161A3</t>
  </si>
  <si>
    <t>SISA LEBAR ISANO LOPO</t>
  </si>
  <si>
    <t>5/27/2018, 28.09.2020</t>
  </si>
  <si>
    <t>5/27/2018, 29.09.2020</t>
  </si>
  <si>
    <t>5/28/2018, 01.10.2020</t>
  </si>
  <si>
    <t>VD301161B3</t>
  </si>
  <si>
    <t>SLT 24.04.2021 - WH</t>
  </si>
  <si>
    <t>N2102270250-1</t>
  </si>
  <si>
    <t>TI-GI304943A3</t>
  </si>
  <si>
    <t>GCNS21/WC02005-ARC</t>
  </si>
  <si>
    <t>Y210224C07-7</t>
  </si>
  <si>
    <t>N2102270260-2</t>
  </si>
  <si>
    <t>TI-GI304940A3</t>
  </si>
  <si>
    <t>Y210224C06-1</t>
  </si>
  <si>
    <t>SLT 25.06.2021 - WH</t>
  </si>
  <si>
    <t>N2104090104-1</t>
  </si>
  <si>
    <t>TI-GI305163A1</t>
  </si>
  <si>
    <t>HOLD HEISEI - BUR - AFALAN TERLALU KECIL</t>
  </si>
  <si>
    <t>Y210403D53-4</t>
  </si>
  <si>
    <t>SLT 28.07.2021 - WH</t>
  </si>
  <si>
    <t>N2104090637-2</t>
  </si>
  <si>
    <t>TI-GI305353B3</t>
  </si>
  <si>
    <t>SISA LEBAR BNM - 084/06-2021/LOC</t>
  </si>
  <si>
    <t>Y210329D33-5</t>
  </si>
  <si>
    <t>N2105300783-2</t>
  </si>
  <si>
    <t>TI-GI305421A3</t>
  </si>
  <si>
    <t>Y210526F31-5</t>
  </si>
  <si>
    <t>SLT 29.07.2021 - WH</t>
  </si>
  <si>
    <t>TI-GI305353A3</t>
  </si>
  <si>
    <t>TI-GI305421B3</t>
  </si>
  <si>
    <t>SLT 24.08.2021 - WH</t>
  </si>
  <si>
    <t>N2103090632-2</t>
  </si>
  <si>
    <t>TI-GI305364A1+B1</t>
  </si>
  <si>
    <t>STOCK - MELI</t>
  </si>
  <si>
    <t>7/22/2021, 23.08.2021</t>
  </si>
  <si>
    <t>7/23/2021, 23.08.2021</t>
  </si>
  <si>
    <t>Y210226D41-1</t>
  </si>
  <si>
    <t>SLT 11.09.2021 - WH</t>
  </si>
  <si>
    <t>N2105260102-2</t>
  </si>
  <si>
    <t>GI360234B3</t>
  </si>
  <si>
    <t>6/27/2021, 02.09.2021, 09.09.2021</t>
  </si>
  <si>
    <t>6/27/2021, 03.09.2021, 09.09.2021</t>
  </si>
  <si>
    <t>6/29/2021, 05.09.2021, 10.09.2021</t>
  </si>
  <si>
    <t>6/30/2021, 05.09.2021</t>
  </si>
  <si>
    <t>GCNS21/WC03004-ARC</t>
  </si>
  <si>
    <t>Y210408B02-4</t>
  </si>
  <si>
    <t>SLT 12.09.2021 - WH</t>
  </si>
  <si>
    <t>N2008150108-2</t>
  </si>
  <si>
    <t>GI360156A3</t>
  </si>
  <si>
    <t>9/22/2020, 23.09.2020, 03.09.2021, 08.09.2021</t>
  </si>
  <si>
    <t>9/22/2020, 23.09.2020, 08.09.2021</t>
  </si>
  <si>
    <t>9/25/2020, 09.09.2021</t>
  </si>
  <si>
    <t>GCNS20/WC07005-ARC</t>
  </si>
  <si>
    <t>Y200807C27-1</t>
  </si>
  <si>
    <t>N2105260221-2</t>
  </si>
  <si>
    <t>GI360240A3</t>
  </si>
  <si>
    <t>9/3/2021, 07.09.2021</t>
  </si>
  <si>
    <t>9/3/2021, 08.09.2021</t>
  </si>
  <si>
    <t>9/5/2021, 09.09.2021</t>
  </si>
  <si>
    <t>Y210508A48-8</t>
  </si>
  <si>
    <t>N2107170110-1</t>
  </si>
  <si>
    <t>GI360245A3</t>
  </si>
  <si>
    <t>9/2/2021, 07.09.2021, 08.09.2021</t>
  </si>
  <si>
    <t>9/2/2021, 08.09.2021</t>
  </si>
  <si>
    <t>Y210711B44-5</t>
  </si>
  <si>
    <t>GI360240B3</t>
  </si>
  <si>
    <t>SLT 14.09.2021 - WH</t>
  </si>
  <si>
    <t>N2105280141-2</t>
  </si>
  <si>
    <t>TI-GI305475A3</t>
  </si>
  <si>
    <t>Y210418D31-1</t>
  </si>
  <si>
    <t>N2105280141-1</t>
  </si>
  <si>
    <t>TI-GI305474A3</t>
  </si>
  <si>
    <t>SLT 19.09.2021 - WH</t>
  </si>
  <si>
    <t>N2105040259-1</t>
  </si>
  <si>
    <t>TI-GI305502A1-8</t>
  </si>
  <si>
    <t>EX VIVAAN - SALAH SLITING SIZE</t>
  </si>
  <si>
    <t>Y210424D53-4</t>
  </si>
  <si>
    <t>SLT 21.06.2021 - WH</t>
  </si>
  <si>
    <t>N2104030136-2</t>
  </si>
  <si>
    <t>TI-GI305134B10-11</t>
  </si>
  <si>
    <t>SISA LEBAR HEISEI</t>
  </si>
  <si>
    <t>GCNS21/WC03001-ARC</t>
  </si>
  <si>
    <t>Y210329C24-2</t>
  </si>
  <si>
    <t>TI-GI305134A10-11</t>
  </si>
  <si>
    <t>TI-GI305134C10-11</t>
  </si>
  <si>
    <t>SLT 24.06.2021 - WH</t>
  </si>
  <si>
    <t>N2104090103-1</t>
  </si>
  <si>
    <t>TI-GI305173A10-11</t>
  </si>
  <si>
    <t>Y210403D53-2</t>
  </si>
  <si>
    <t>N2104030170-1</t>
  </si>
  <si>
    <t>TI-GI305127C10-11</t>
  </si>
  <si>
    <t>Y210329D04-6</t>
  </si>
  <si>
    <t>TI-GI305173B10-11</t>
  </si>
  <si>
    <t>TI-GI305173C10-11</t>
  </si>
  <si>
    <t>TI-GI305127B10-11</t>
  </si>
  <si>
    <t>TI-GI305127A10-11</t>
  </si>
  <si>
    <t>TI-GI305163A10-11</t>
  </si>
  <si>
    <t>N2103090724-2</t>
  </si>
  <si>
    <t>TI-GI304982A2.2.6-2.2.7</t>
  </si>
  <si>
    <t>GCNS21/WC02004-ARC</t>
  </si>
  <si>
    <t>Y210301C40-1</t>
  </si>
  <si>
    <t>N2106130303-1</t>
  </si>
  <si>
    <t>TI-GI305526A10-11</t>
  </si>
  <si>
    <t>8/29/2021, 13.09.2021</t>
  </si>
  <si>
    <t>8/29/2021, 15.09.2021</t>
  </si>
  <si>
    <t>9/1/2021, 19.09.2021</t>
  </si>
  <si>
    <t>Y210503A30-7</t>
  </si>
  <si>
    <t>SLT 20.09.2021 - WH</t>
  </si>
  <si>
    <t>TI-GI305526C10-11</t>
  </si>
  <si>
    <t>N2104050434-2</t>
  </si>
  <si>
    <t>TI-GI305654A9-10</t>
  </si>
  <si>
    <t>8/30/2021, 13.09.2021</t>
  </si>
  <si>
    <t>8/30/2021, 16.09.2021</t>
  </si>
  <si>
    <t>9/1/2021, 17.09.2021</t>
  </si>
  <si>
    <t>Y210331C03-1</t>
  </si>
  <si>
    <t>TI-GI305654B9-10</t>
  </si>
  <si>
    <t>TI-GI305526B10-11</t>
  </si>
  <si>
    <t>SLT 25.09.2021 - WH</t>
  </si>
  <si>
    <t>N2106230513-2</t>
  </si>
  <si>
    <t>TI-GI305929B</t>
  </si>
  <si>
    <t>EX - VIVAAN METALS - 149/07-2021/EXP</t>
  </si>
  <si>
    <t>9/22/2021, 23.09.2021</t>
  </si>
  <si>
    <t>9/22/2021, 24.09.2021</t>
  </si>
  <si>
    <t>9/23/2021, 25.09.2021</t>
  </si>
  <si>
    <t>SLT 07.10.2021 - WH</t>
  </si>
  <si>
    <t>K2103040119A</t>
  </si>
  <si>
    <t>EM204240B5</t>
  </si>
  <si>
    <t>SISA LEBAR PELANGI JAYA</t>
  </si>
  <si>
    <t>6/20/2021, 29.09.2021, 04.10.2021</t>
  </si>
  <si>
    <t>6/20/2021, 30.09.2021, 04.10.2021</t>
  </si>
  <si>
    <t>6/25/2021, 30.09.2021, 04.10.2021</t>
  </si>
  <si>
    <t>FTAU1568530</t>
  </si>
  <si>
    <t>N210301AQ01</t>
  </si>
  <si>
    <t>RE SLT 04.10.2021 - WH</t>
  </si>
  <si>
    <t>IM720</t>
  </si>
  <si>
    <t>LM410594A2.10A+A2.12</t>
  </si>
  <si>
    <t>HOLD - CV PELANGI JAYA STEEL</t>
  </si>
  <si>
    <t>D4030</t>
  </si>
  <si>
    <t>C03</t>
  </si>
  <si>
    <t>SLT 10.09.2021 - WH</t>
  </si>
  <si>
    <t>N2104260411-2</t>
  </si>
  <si>
    <t>TI-GI305287C5+C6</t>
  </si>
  <si>
    <t>EX - KALIBESAR - HOLD ADA HOLE</t>
  </si>
  <si>
    <t>7/21/2021, 02.09.2021</t>
  </si>
  <si>
    <t>7/22/2021, 02.09.2021</t>
  </si>
  <si>
    <t>8/19/2021, 03.09.2021</t>
  </si>
  <si>
    <t>Y210328C30-1</t>
  </si>
  <si>
    <t>SLT 12.08.2020 - WH</t>
  </si>
  <si>
    <t>N2001140452-1</t>
  </si>
  <si>
    <t>TI-TS203270A1-11</t>
  </si>
  <si>
    <t>DEVJAS - 045/02-2020/EXP</t>
  </si>
  <si>
    <t>not dispatch - max capacity kontainer by logistic</t>
  </si>
  <si>
    <t>4/25/2020, 14.05.2020, 07.08.2020</t>
  </si>
  <si>
    <t>4/25/2020, 15.05.2020, 07.08.2020</t>
  </si>
  <si>
    <t>4/26/2020, 04.08.2020, 11.08.2020</t>
  </si>
  <si>
    <t>ITSS19/12006-ARC</t>
  </si>
  <si>
    <t>Y191018C06-4</t>
  </si>
  <si>
    <t>SLT 11.11.2021 - WH</t>
  </si>
  <si>
    <t>LTI-GI306027C2</t>
  </si>
  <si>
    <t>C07-2</t>
  </si>
  <si>
    <t>SLT 05.12.2021 - WH</t>
  </si>
  <si>
    <t>N2110170242-1</t>
  </si>
  <si>
    <t>GI360288A3</t>
  </si>
  <si>
    <t>LEBAR SISA BNM 096/07-2021/LOC</t>
  </si>
  <si>
    <t>Y211005C23-5</t>
  </si>
  <si>
    <t>N2109150202-2</t>
  </si>
  <si>
    <t>GI360273A3</t>
  </si>
  <si>
    <t>Y210905C22-6</t>
  </si>
  <si>
    <t>N2109150201-2</t>
  </si>
  <si>
    <t>GI360277A3</t>
  </si>
  <si>
    <t>Y210905C22-1</t>
  </si>
  <si>
    <t>N2110170239-1</t>
  </si>
  <si>
    <t>GI360296A3</t>
  </si>
  <si>
    <t>Y211005D22-5</t>
  </si>
  <si>
    <t>N2110170350-2</t>
  </si>
  <si>
    <t>GI360293A3</t>
  </si>
  <si>
    <t>SLT 06.12.2021 - WH</t>
  </si>
  <si>
    <t>N2110170242-2</t>
  </si>
  <si>
    <t>GI360289A3</t>
  </si>
  <si>
    <t>N2110170236-1</t>
  </si>
  <si>
    <t>GI360290A3</t>
  </si>
  <si>
    <t>Y211005D22-4</t>
  </si>
  <si>
    <t>N2109150203-2</t>
  </si>
  <si>
    <t>GI360271A3</t>
  </si>
  <si>
    <t>Y210905D24-3</t>
  </si>
  <si>
    <t>N2109150201-1</t>
  </si>
  <si>
    <t>GI360276A3</t>
  </si>
  <si>
    <t>N2109150208-2</t>
  </si>
  <si>
    <t>GI360265A3</t>
  </si>
  <si>
    <t>SLT 16.12.2021 - WH</t>
  </si>
  <si>
    <t>K2103040113A</t>
  </si>
  <si>
    <t>EM204230C</t>
  </si>
  <si>
    <t>6/17/2021, 25.10.2021, 13.12.2021</t>
  </si>
  <si>
    <t>6/17/2021, 26.10.2021, 14.12.2021</t>
  </si>
  <si>
    <t>N210301AT05</t>
  </si>
  <si>
    <t>SLT 03.01.2022 - WH</t>
  </si>
  <si>
    <t>N2110170239-2</t>
  </si>
  <si>
    <t>GI360297A3</t>
  </si>
  <si>
    <t>SISA LEBAR BNM - 096/07-2021/LOC</t>
  </si>
  <si>
    <t>N2110170237-2</t>
  </si>
  <si>
    <t>GI360285A3</t>
  </si>
  <si>
    <t>Y211004C33-1</t>
  </si>
  <si>
    <t>N2110170238-1</t>
  </si>
  <si>
    <t>GI360294A13</t>
  </si>
  <si>
    <t>Y211005D23-4</t>
  </si>
  <si>
    <t>N2110170236-2</t>
  </si>
  <si>
    <t>GI360291A3</t>
  </si>
  <si>
    <t>SLT 04.01.2022 - WH</t>
  </si>
  <si>
    <t>N2109150203-1</t>
  </si>
  <si>
    <t>GI360270A3</t>
  </si>
  <si>
    <t>N2110170347-1</t>
  </si>
  <si>
    <t>GI360282A3</t>
  </si>
  <si>
    <t>N2110170238-2</t>
  </si>
  <si>
    <t>GI360295A3</t>
  </si>
  <si>
    <t>N2110170348-1</t>
  </si>
  <si>
    <t>GI360286A3</t>
  </si>
  <si>
    <t>Y211005C24-2</t>
  </si>
  <si>
    <t>N2110170237-1</t>
  </si>
  <si>
    <t>GI360284A3</t>
  </si>
  <si>
    <t>N2110170348-2</t>
  </si>
  <si>
    <t>GI360287A3</t>
  </si>
  <si>
    <t>N2108190613-1</t>
  </si>
  <si>
    <t>LTI-GI306494B1</t>
  </si>
  <si>
    <t>EX - HUGO METAL LANCAR JAYA 134/11-2021/LOC</t>
  </si>
  <si>
    <t>12/8/2021, 17.12.2021</t>
  </si>
  <si>
    <t>12/17/2021, 28.12.2021</t>
  </si>
  <si>
    <t>Y210812A47-6</t>
  </si>
  <si>
    <t>FH/2B/2D</t>
  </si>
  <si>
    <t>2D</t>
  </si>
  <si>
    <t>FG &gt;= 60 DAYS</t>
  </si>
  <si>
    <t>FG TO WIP</t>
  </si>
  <si>
    <t>KW 2 COIL</t>
  </si>
  <si>
    <t>STOCKAN 04.10</t>
  </si>
  <si>
    <t>STOCKAN 20.11.19</t>
  </si>
  <si>
    <t>25.11.2021</t>
  </si>
  <si>
    <t>COIL SECOND (KW 2)</t>
  </si>
  <si>
    <t>04.10.2017</t>
  </si>
  <si>
    <t>FA70102480N01</t>
  </si>
  <si>
    <t>TS 300570A5</t>
  </si>
  <si>
    <t>ex set citra masindo 30 Juni 2017</t>
  </si>
  <si>
    <t>DATA 04.10.2017</t>
  </si>
  <si>
    <t>booking metalwang</t>
  </si>
  <si>
    <t>PACK 05.10</t>
  </si>
  <si>
    <t xml:space="preserve">FA61117860N02 </t>
  </si>
  <si>
    <t>TS300471B</t>
  </si>
  <si>
    <t>ex lebar sisa wiharta (413.5 + SISA)</t>
  </si>
  <si>
    <t>18-03-2017, 09.05.2017, 12.05.2017</t>
  </si>
  <si>
    <t>18-03-2017, 13.05.2017</t>
  </si>
  <si>
    <t>5/9/2017, 10.07.2017</t>
  </si>
  <si>
    <t xml:space="preserve">MRSU0132620 </t>
  </si>
  <si>
    <t xml:space="preserve">A0604863 </t>
  </si>
  <si>
    <t>B8</t>
  </si>
  <si>
    <t>SLT 25.12.2019 - WH</t>
  </si>
  <si>
    <t>N1908240307-2</t>
  </si>
  <si>
    <t>TI-TS303439C1</t>
  </si>
  <si>
    <t>METAL WANG</t>
  </si>
  <si>
    <t>ITSS19/09001-ARC</t>
  </si>
  <si>
    <t>Y190816C09-7</t>
  </si>
  <si>
    <t>RE SLT 28.02.2020 - WH KW 2</t>
  </si>
  <si>
    <t>87S076535-1</t>
  </si>
  <si>
    <t>GU400076A</t>
  </si>
  <si>
    <t>SLT 17.05.2020 - WH KW 2</t>
  </si>
  <si>
    <t>88S087937B-1</t>
  </si>
  <si>
    <t>HK400094E</t>
  </si>
  <si>
    <t>LAMINASI</t>
  </si>
  <si>
    <t>SLT 18.05.2020 - WH KW 2</t>
  </si>
  <si>
    <t>GU301255A4</t>
  </si>
  <si>
    <t>HOLD - SISA HEISEI - ASPER QC KW 2 04.06.2020</t>
  </si>
  <si>
    <t>SCRACTH KILAP 0-700M,,,RIPPLE,,,HERINGBONE,,,,FLEK PUTIH(Acak),,,+ROLLMARK ZM 0-355</t>
  </si>
  <si>
    <t>BAL 29.06.2020 - WH KW 2</t>
  </si>
  <si>
    <t>171207P07-4</t>
  </si>
  <si>
    <t>HY300914B</t>
  </si>
  <si>
    <t>LEPAS SPOOL 10.11.2020</t>
  </si>
  <si>
    <t>ROLLSTOP ZM M 10,,,,BUTEK HIJAU,,RIPPLE,,,,ROLLMARK ZM,,,</t>
  </si>
  <si>
    <t>SLT 17.07.2020 - STOCK KW 2</t>
  </si>
  <si>
    <t>GU400076E</t>
  </si>
  <si>
    <t>ARWANA</t>
  </si>
  <si>
    <t>OKE KW 2 ASPER QC PAK ARIF BY WA</t>
  </si>
  <si>
    <t>WIP STOCK KW 2 TANSFER TO FG KW 2</t>
  </si>
  <si>
    <t>SLT 06.08.2020 - WH</t>
  </si>
  <si>
    <t>180323P06-6</t>
  </si>
  <si>
    <t>GU301185B6</t>
  </si>
  <si>
    <t>HOLD - TRIYUDA</t>
  </si>
  <si>
    <t>STOCK KW 2 AS PER QC</t>
  </si>
  <si>
    <t>5/25/2018, 21.06.2018</t>
  </si>
  <si>
    <t>5/26/2018, 24.06.2018</t>
  </si>
  <si>
    <t>GU301185A6</t>
  </si>
  <si>
    <t>TRANSFER WIP 07.09.2020 - STOCK KW 2</t>
  </si>
  <si>
    <t>TS300449B1</t>
  </si>
  <si>
    <t>STOCK YUANITA</t>
  </si>
  <si>
    <t>Less Thickness, Dull Surface</t>
  </si>
  <si>
    <t>3/17/2017, 31.03.17</t>
  </si>
  <si>
    <t>17-03-2017, 01.04.2017</t>
  </si>
  <si>
    <t>3/29/2017, 11.07.2017</t>
  </si>
  <si>
    <t>SLT  - transfer to FG KW2 08.09.2020</t>
  </si>
  <si>
    <t>B16</t>
  </si>
  <si>
    <t>EXIT SLT 06.10</t>
  </si>
  <si>
    <t>B13</t>
  </si>
  <si>
    <t>RM SLT - SLT 25.09.2020 - WH KW 2</t>
  </si>
  <si>
    <t>MFF20082601B</t>
  </si>
  <si>
    <t>EM490016B</t>
  </si>
  <si>
    <t>INV-IMR20200826</t>
  </si>
  <si>
    <t>LZ156612</t>
  </si>
  <si>
    <t>SLT 16.11.2020 - WH KW 2</t>
  </si>
  <si>
    <t>K1809211225B</t>
  </si>
  <si>
    <t>GU240025D2</t>
  </si>
  <si>
    <t>stock</t>
  </si>
  <si>
    <t>2/21/2019, 10.11.2020</t>
  </si>
  <si>
    <t>EGSU3008254</t>
  </si>
  <si>
    <t>N180919AX011-05</t>
  </si>
  <si>
    <t>SLT 16.11.2020 - WH</t>
  </si>
  <si>
    <t>GU240025D4</t>
  </si>
  <si>
    <t>Verification 18.11.2020</t>
  </si>
  <si>
    <t>N1909040105-2</t>
  </si>
  <si>
    <t>LTI-TS303487B3</t>
  </si>
  <si>
    <t>S30403</t>
  </si>
  <si>
    <t>ITSS19/08002-ARC</t>
  </si>
  <si>
    <t>Y190827D09-3</t>
  </si>
  <si>
    <t>L608150215A</t>
  </si>
  <si>
    <t>MS200457B1.12</t>
  </si>
  <si>
    <t>RETURN CM</t>
  </si>
  <si>
    <t>FUJIAN DINGXIN TECHNOLOGY CO</t>
  </si>
  <si>
    <t>M-PL-04271</t>
  </si>
  <si>
    <t>L160812V081-3</t>
  </si>
  <si>
    <t>L608180910A</t>
  </si>
  <si>
    <t>MS200455B8</t>
  </si>
  <si>
    <t>L160815Q122-3</t>
  </si>
  <si>
    <t>VD301026B7</t>
  </si>
  <si>
    <t>54S60216</t>
  </si>
  <si>
    <t>YU400020B</t>
  </si>
  <si>
    <t>YIEH UNITED STEEL CORPORATION (YUSCO)</t>
  </si>
  <si>
    <t>UK16009A</t>
  </si>
  <si>
    <t>YU274127</t>
  </si>
  <si>
    <t>N1808190333-1</t>
  </si>
  <si>
    <t>TI-TS301476</t>
  </si>
  <si>
    <t>Y180811C02-6</t>
  </si>
  <si>
    <t>L160726C008-4</t>
  </si>
  <si>
    <t>CK200223A3</t>
  </si>
  <si>
    <t>D16M4CK0232F01</t>
  </si>
  <si>
    <t>OOLU0657688</t>
  </si>
  <si>
    <t>K607130236A</t>
  </si>
  <si>
    <t>CK200223A2</t>
  </si>
  <si>
    <t>CK200223A1</t>
  </si>
  <si>
    <t>N1905100386-2</t>
  </si>
  <si>
    <t>LTI-TS303123C1.1</t>
  </si>
  <si>
    <t>ITSS19/06003-ARC</t>
  </si>
  <si>
    <t>Y190401D42-5</t>
  </si>
  <si>
    <t>LTI-TS303123C6.3</t>
  </si>
  <si>
    <t>K1807040520A</t>
  </si>
  <si>
    <t>GU201964C</t>
  </si>
  <si>
    <t>GXGJ-IMR-1808-3-PL</t>
  </si>
  <si>
    <t>N180702AT122-02</t>
  </si>
  <si>
    <t>K701250602A</t>
  </si>
  <si>
    <t>HY200556C8</t>
  </si>
  <si>
    <t>HYOSUNG CORPORATION</t>
  </si>
  <si>
    <t>6121-201703-0006-001</t>
  </si>
  <si>
    <t>170122R101-3</t>
  </si>
  <si>
    <t>HY200556C1.8</t>
  </si>
  <si>
    <t>Y1803183309</t>
  </si>
  <si>
    <t>TI-TH301241B2.1</t>
  </si>
  <si>
    <t>TSINGSHAN HOLDING GROUP</t>
  </si>
  <si>
    <t>KG18/WC904001-IMR-F</t>
  </si>
  <si>
    <t>Y180101B10-5</t>
  </si>
  <si>
    <t>TI-TH301241B1.3</t>
  </si>
  <si>
    <t>TI-TH301241B2.4</t>
  </si>
  <si>
    <t>ZJ030082</t>
  </si>
  <si>
    <t>SZ202449A1.1</t>
  </si>
  <si>
    <t>SINOSTEEL SHENZHEN CO.,LTD</t>
  </si>
  <si>
    <t>20190306001EX</t>
  </si>
  <si>
    <t>ZIMU3034770</t>
  </si>
  <si>
    <t>K1803251325A</t>
  </si>
  <si>
    <t>GU201689</t>
  </si>
  <si>
    <t>GXGJ-IMR-1802</t>
  </si>
  <si>
    <t>N180322AQ052-01</t>
  </si>
  <si>
    <t>N1904270574-1</t>
  </si>
  <si>
    <t>LTI-TS302549B2.1</t>
  </si>
  <si>
    <t>ITSS19/03001-ARC</t>
  </si>
  <si>
    <t>Y190423C28-4</t>
  </si>
  <si>
    <t>N1903280253-1</t>
  </si>
  <si>
    <t>LTI-TS302464A3</t>
  </si>
  <si>
    <t>ITSS19/02001-ARC</t>
  </si>
  <si>
    <t>Y190307E01-3</t>
  </si>
  <si>
    <t>171109M12-4</t>
  </si>
  <si>
    <t>HY300872B1</t>
  </si>
  <si>
    <t>JRAHC17102001</t>
  </si>
  <si>
    <t>TRHU3165148</t>
  </si>
  <si>
    <t>HY300872B6</t>
  </si>
  <si>
    <t>K701260809A</t>
  </si>
  <si>
    <t>HY200563A14</t>
  </si>
  <si>
    <t>170123R012-1</t>
  </si>
  <si>
    <t>180113L13-6</t>
  </si>
  <si>
    <t>ZT301075B11</t>
  </si>
  <si>
    <t>ZHEIJIANG TSINGLAND METAL TECHNOLOGY LTD.</t>
  </si>
  <si>
    <t>20180129IM-2</t>
  </si>
  <si>
    <t>NO NUMBER - QC 27</t>
  </si>
  <si>
    <t>SM20160415S-11</t>
  </si>
  <si>
    <t>SS 200080A1</t>
  </si>
  <si>
    <t>CI-SM20160530S</t>
  </si>
  <si>
    <t>YMLU3030086</t>
  </si>
  <si>
    <t>BA0025</t>
  </si>
  <si>
    <t>NO NUMBER - QC 26</t>
  </si>
  <si>
    <t>K606080736A</t>
  </si>
  <si>
    <t>CK 200265A1</t>
  </si>
  <si>
    <t>Return CM</t>
  </si>
  <si>
    <t>ATINV160804A-1</t>
  </si>
  <si>
    <t>OOLU1432367</t>
  </si>
  <si>
    <t>160604X091-3</t>
  </si>
  <si>
    <t>NO NUMBER - QC 01</t>
  </si>
  <si>
    <t>SS200080A4</t>
  </si>
  <si>
    <t>Return Triyuda</t>
  </si>
  <si>
    <t>NO NUMBER - QC 02</t>
  </si>
  <si>
    <t>GU301185C1</t>
  </si>
  <si>
    <t>NO NUMBER - QC 30</t>
  </si>
  <si>
    <t>180702P06-2</t>
  </si>
  <si>
    <t>GU301325A1</t>
  </si>
  <si>
    <t>GXGJ-IMR-1813-2-PL</t>
  </si>
  <si>
    <t>HMCU3079776</t>
  </si>
  <si>
    <t>NO NUMBER - QC 31</t>
  </si>
  <si>
    <t xml:space="preserve">FA61118530N01 </t>
  </si>
  <si>
    <t>TS300434A1</t>
  </si>
  <si>
    <t>1701/INDO08B</t>
  </si>
  <si>
    <t xml:space="preserve">MSKU2995363 </t>
  </si>
  <si>
    <t xml:space="preserve">A1604846 </t>
  </si>
  <si>
    <t>NO NUMBER - TI-TS304182C</t>
  </si>
  <si>
    <t>N1912180431-1</t>
  </si>
  <si>
    <t>TI-TS304182C</t>
  </si>
  <si>
    <t>Y191208B20-1</t>
  </si>
  <si>
    <t>NO NUMBER - QC 04</t>
  </si>
  <si>
    <t>K701260805A</t>
  </si>
  <si>
    <t>HY 200565A3</t>
  </si>
  <si>
    <t>TCLU3668795</t>
  </si>
  <si>
    <t>170122R071-3</t>
  </si>
  <si>
    <t>NO NUMBER - QC 05</t>
  </si>
  <si>
    <t>SS200080A5</t>
  </si>
  <si>
    <t>NO NUMBER - QC 10</t>
  </si>
  <si>
    <t>SM20160415S-23</t>
  </si>
  <si>
    <t>SS200092A1</t>
  </si>
  <si>
    <t>CI-SM20160603</t>
  </si>
  <si>
    <t>YMLU3350310</t>
  </si>
  <si>
    <t>BA0031</t>
  </si>
  <si>
    <t>NO NUMBER - QC 11</t>
  </si>
  <si>
    <t>K607160739A</t>
  </si>
  <si>
    <t>AT200211A3</t>
  </si>
  <si>
    <t>ATINV160415B-3</t>
  </si>
  <si>
    <t>TCLU3779124</t>
  </si>
  <si>
    <t>160715R131-3</t>
  </si>
  <si>
    <t>SLT 18.12.2020 - WH KW 2</t>
  </si>
  <si>
    <t>K1809030106A</t>
  </si>
  <si>
    <t>GU240030B2</t>
  </si>
  <si>
    <t>12/14/2020, 15.12.2020</t>
  </si>
  <si>
    <t>12/14/2020, 16.12.2020</t>
  </si>
  <si>
    <t>2/23/2019, 15.12.2020, 16.12.2020</t>
  </si>
  <si>
    <t>2/23/2019, 15.12.2020</t>
  </si>
  <si>
    <t>TGCU2035746</t>
  </si>
  <si>
    <t>N180831AY021-02</t>
  </si>
  <si>
    <t>GU240030B4</t>
  </si>
  <si>
    <t>GU240030B6</t>
  </si>
  <si>
    <t>SLT 23.12.2020 - WH KW 2</t>
  </si>
  <si>
    <t>N2010100348-2</t>
  </si>
  <si>
    <t>TI-GI304629C</t>
  </si>
  <si>
    <t>Y201005D43-1</t>
  </si>
  <si>
    <t>SLT 04.01.2021 - WH KW 2</t>
  </si>
  <si>
    <t>N2011050409-2</t>
  </si>
  <si>
    <t>TI-GI304637C</t>
  </si>
  <si>
    <t>Y200821D09-5</t>
  </si>
  <si>
    <t>SLT 15.01.2021 - WH KW 2</t>
  </si>
  <si>
    <t>K2009073408B</t>
  </si>
  <si>
    <t>XG203573A2</t>
  </si>
  <si>
    <t>LEBAR SISA PRATAMA</t>
  </si>
  <si>
    <t>ECMU1665878</t>
  </si>
  <si>
    <t>N200906AQ081-02</t>
  </si>
  <si>
    <t>XG203573B2</t>
  </si>
  <si>
    <t>K2009050604B</t>
  </si>
  <si>
    <t>XG203599A2</t>
  </si>
  <si>
    <t>ECMU1736930</t>
  </si>
  <si>
    <t>N200901AR152-04</t>
  </si>
  <si>
    <t>XG203599B2</t>
  </si>
  <si>
    <t>K2007142134A</t>
  </si>
  <si>
    <t>XG203543B3</t>
  </si>
  <si>
    <t>TGHU1311405</t>
  </si>
  <si>
    <t>N200714AT012-02</t>
  </si>
  <si>
    <t>BBY JAN '21</t>
  </si>
  <si>
    <t>BBY - BAL 21.01.2021 - WH KW 2</t>
  </si>
  <si>
    <t>K2010092625B</t>
  </si>
  <si>
    <t>XG203730</t>
  </si>
  <si>
    <t>STOCK BABY COIL</t>
  </si>
  <si>
    <t>12/28/2020, 06.01.2021</t>
  </si>
  <si>
    <t>EITU0366204</t>
  </si>
  <si>
    <t>N201008AT10</t>
  </si>
  <si>
    <t>BBY NOV '20</t>
  </si>
  <si>
    <t>K2010070933A</t>
  </si>
  <si>
    <t>XG203630</t>
  </si>
  <si>
    <t>N201005AT05</t>
  </si>
  <si>
    <t>BBY DES '20</t>
  </si>
  <si>
    <t>K2010221308A</t>
  </si>
  <si>
    <t>XG203657B</t>
  </si>
  <si>
    <t>XGC-IMR20200911-3</t>
  </si>
  <si>
    <t>DFSU2288986</t>
  </si>
  <si>
    <t>N201021AQ01</t>
  </si>
  <si>
    <t>SLT 29.01.2021 - WH KW 2</t>
  </si>
  <si>
    <t>N2001140265-1</t>
  </si>
  <si>
    <t>TI-TS203504A</t>
  </si>
  <si>
    <t>Y191019C06-3</t>
  </si>
  <si>
    <t>BAL 04.02.2021 - WH KW 2</t>
  </si>
  <si>
    <t>K2009172927B</t>
  </si>
  <si>
    <t>XG203603A</t>
  </si>
  <si>
    <t>TARIK MUNDUR MATERIAL EDGE CRACK,,</t>
  </si>
  <si>
    <t>11/5/2020, 01.02.2021</t>
  </si>
  <si>
    <t>11/6/2020, 01.02.2021</t>
  </si>
  <si>
    <t>EGHU3880406</t>
  </si>
  <si>
    <t>N200916AQ052-02</t>
  </si>
  <si>
    <t>Area Loading</t>
  </si>
  <si>
    <t>SLT 05.02.2021 - WH KW 2</t>
  </si>
  <si>
    <t>N2011050407-2</t>
  </si>
  <si>
    <t>TI-GI304641B</t>
  </si>
  <si>
    <t>1/14/2021, 04.02.2021</t>
  </si>
  <si>
    <t>1/14/2021, 05.02.2021</t>
  </si>
  <si>
    <t>Y200822D24-5</t>
  </si>
  <si>
    <t>BAL 14.02.2021 - WH KW 2</t>
  </si>
  <si>
    <t>K2012050139A</t>
  </si>
  <si>
    <t>XG203931A</t>
  </si>
  <si>
    <t>BUTEK</t>
  </si>
  <si>
    <t>HMCU3069166</t>
  </si>
  <si>
    <t>N201202AT01</t>
  </si>
  <si>
    <t>SLT 15.02.2021 - WH KW 2</t>
  </si>
  <si>
    <t>N2001140355-1</t>
  </si>
  <si>
    <t>TI-TS203454E</t>
  </si>
  <si>
    <t>9/9/2020, 08.11.2020, 09.11.2020</t>
  </si>
  <si>
    <t>9/10/2020, 08.11.2020, 10.11.2020</t>
  </si>
  <si>
    <t>11/9/2020, 11.12.2020</t>
  </si>
  <si>
    <t>Y191018C05-3</t>
  </si>
  <si>
    <t>SLT 17.02.2021 - WH KW 2</t>
  </si>
  <si>
    <t>XG203796D</t>
  </si>
  <si>
    <t>SLT 23.02.2021 - WH KW 2</t>
  </si>
  <si>
    <t>K2012032319B</t>
  </si>
  <si>
    <t>XG203833C</t>
  </si>
  <si>
    <t>2/16/2021, 19.02.2021</t>
  </si>
  <si>
    <t>2/16/2021, 21.02.2021</t>
  </si>
  <si>
    <t>2/17/2021, 21.02.2021</t>
  </si>
  <si>
    <t>EGHU3708193</t>
  </si>
  <si>
    <t>SLT 28.02.2021 - WH KW 2</t>
  </si>
  <si>
    <t>K2010061913A</t>
  </si>
  <si>
    <t>XG203720C</t>
  </si>
  <si>
    <t>12/27/2020, 01.02.2021</t>
  </si>
  <si>
    <t>12/28/2020, 06.02.2021</t>
  </si>
  <si>
    <t>1/1/2021, 07.02.2021</t>
  </si>
  <si>
    <t>XGC-IMR20200924-1</t>
  </si>
  <si>
    <t>TRHU2153477</t>
  </si>
  <si>
    <t>N201005AT06</t>
  </si>
  <si>
    <t>SLT 04.03.2021 - WH KW 2</t>
  </si>
  <si>
    <t>K2012030211B</t>
  </si>
  <si>
    <t>XG203832C</t>
  </si>
  <si>
    <t>2/15/2021, 18.02.2021</t>
  </si>
  <si>
    <t>SLT 07.03.2021 - WH KW 2</t>
  </si>
  <si>
    <t>K2012030218A</t>
  </si>
  <si>
    <t>XG203866D</t>
  </si>
  <si>
    <t>2/16/2021, 23.02.2021</t>
  </si>
  <si>
    <t>2/16/2021, 26.02.2021</t>
  </si>
  <si>
    <t>OCGU2084363</t>
  </si>
  <si>
    <t>N201202AQ03</t>
  </si>
  <si>
    <t>SLT 25.03.2021 - WH KW 2</t>
  </si>
  <si>
    <t>K2012050133A</t>
  </si>
  <si>
    <t>XG203907C</t>
  </si>
  <si>
    <t>2/28/2021, 21.03.2021</t>
  </si>
  <si>
    <t>2/28/2021, 22.03.2021</t>
  </si>
  <si>
    <t>3/2/2021, 25.03.2021</t>
  </si>
  <si>
    <t>EGHU3289348</t>
  </si>
  <si>
    <t>N201201AR11</t>
  </si>
  <si>
    <t>SLT 27.03.2021 - WH KW 2</t>
  </si>
  <si>
    <t>K2012030208A</t>
  </si>
  <si>
    <t>XG203853C</t>
  </si>
  <si>
    <t>1/28/2021, 06.02.2021</t>
  </si>
  <si>
    <t>1/28/2021, 08.02.2021</t>
  </si>
  <si>
    <t>1/30/2021, 08.02.2021</t>
  </si>
  <si>
    <t>EITU0309499</t>
  </si>
  <si>
    <t>N201201AT12</t>
  </si>
  <si>
    <t>RE SLT 29.03.2021 - WH KW 2</t>
  </si>
  <si>
    <t>TI-TS203375B1</t>
  </si>
  <si>
    <t>SLT 01.04.2021 - WH KW 2</t>
  </si>
  <si>
    <t>N2102070123-1</t>
  </si>
  <si>
    <t>TI-GI304761C</t>
  </si>
  <si>
    <t>Y201209B24-6</t>
  </si>
  <si>
    <t>REP WH - SLT 01.04.2021 - WH KW 2</t>
  </si>
  <si>
    <t>N2101300842-2</t>
  </si>
  <si>
    <t>TI-GI304820B1</t>
  </si>
  <si>
    <t>EX-SK NETWORKS 023/02-2021/EXP</t>
  </si>
  <si>
    <t>Y201231E03-7</t>
  </si>
  <si>
    <t>RE SLT 22.03.2021 - WH KW 2</t>
  </si>
  <si>
    <t>N1908080126-1</t>
  </si>
  <si>
    <t>LTI-TS304260B2</t>
  </si>
  <si>
    <t>SUPASIN</t>
  </si>
  <si>
    <t>8/31/2020, 05.09.2020, 26.02.2021</t>
  </si>
  <si>
    <t>8/31/2020, 05.09.2020, 01.03.2021</t>
  </si>
  <si>
    <t>9/2/2020, 06.09.2020, 16.03.2021</t>
  </si>
  <si>
    <t>9/3/2020, 12.11.2020, 20.02.2021, 22.03.2021</t>
  </si>
  <si>
    <t>Y190622A27-1</t>
  </si>
  <si>
    <t>SLT 28.03.2021 - WH</t>
  </si>
  <si>
    <t>K2012010146B</t>
  </si>
  <si>
    <t>EM204023A9</t>
  </si>
  <si>
    <t>HOLD METALUTAMA - PISAU GUPIL</t>
  </si>
  <si>
    <t>3/25/2021, 26.03.2021</t>
  </si>
  <si>
    <t>3/26/2021, 27.03.2021</t>
  </si>
  <si>
    <t>ERM-IMR20201211-1</t>
  </si>
  <si>
    <t>EGSU3030999</t>
  </si>
  <si>
    <t>N201201AT10</t>
  </si>
  <si>
    <t>SLT 06.04.2021 - WH</t>
  </si>
  <si>
    <t>K2012032318B</t>
  </si>
  <si>
    <t>XG203884A4</t>
  </si>
  <si>
    <t>HOLD - TRIYUDA - BUCKLING</t>
  </si>
  <si>
    <t>2/4/2021, 15.02.2021</t>
  </si>
  <si>
    <t>2/5/2021, 16.02.2021</t>
  </si>
  <si>
    <t>2/7/2021, 16.02.2021</t>
  </si>
  <si>
    <t>EITU0117963</t>
  </si>
  <si>
    <t>SLT 09.04.2021 - WH KW 2</t>
  </si>
  <si>
    <t>K2012050118B</t>
  </si>
  <si>
    <t>EM204019D</t>
  </si>
  <si>
    <t>3/24/2021, 26.03.2021</t>
  </si>
  <si>
    <t>EMCU3905690</t>
  </si>
  <si>
    <t>N201201AT14</t>
  </si>
  <si>
    <t>SLT 12.04.2021 - WH KW 2</t>
  </si>
  <si>
    <t>K2012032318A</t>
  </si>
  <si>
    <t>XG203887C</t>
  </si>
  <si>
    <t>EISU2042772</t>
  </si>
  <si>
    <t>BBY - BAL 13.04.2021 - WH KW 2</t>
  </si>
  <si>
    <t>K2010061835B</t>
  </si>
  <si>
    <t>XG203826C</t>
  </si>
  <si>
    <t>1/26/2021, 09.02.2021</t>
  </si>
  <si>
    <t>TEMU1350014</t>
  </si>
  <si>
    <t>REP WH - SLT 20.04.2021 - WH KW 2</t>
  </si>
  <si>
    <t>N2102270225-2</t>
  </si>
  <si>
    <t>TI-GI304834B3</t>
  </si>
  <si>
    <t>HOLD - KALIBESAR - VELVET GOSONG</t>
  </si>
  <si>
    <t>Y210224C02-2</t>
  </si>
  <si>
    <t>REP WH - SLT 22.04.2021 - WH KW 2</t>
  </si>
  <si>
    <t>TI-GI304834B1</t>
  </si>
  <si>
    <t>BERSIHKAN BUR SLIT</t>
  </si>
  <si>
    <t>SLT 06.05.2021 - WH</t>
  </si>
  <si>
    <t>K21011631140A</t>
  </si>
  <si>
    <t>EM204072A8</t>
  </si>
  <si>
    <t>EGSU3002180</t>
  </si>
  <si>
    <t>N210114AR08</t>
  </si>
  <si>
    <t>SLT 03.06.2021 - WH KW 2</t>
  </si>
  <si>
    <t>K2101163137B</t>
  </si>
  <si>
    <t>EM204067C</t>
  </si>
  <si>
    <t>EGHU3081380</t>
  </si>
  <si>
    <t>B1</t>
  </si>
  <si>
    <t>SLT 07.06.2021 - WH KW 2</t>
  </si>
  <si>
    <t>K2103093017A</t>
  </si>
  <si>
    <t>EM204175C</t>
  </si>
  <si>
    <t>N210308AT11</t>
  </si>
  <si>
    <t>SLT 14.06.2021 - WH KW 2</t>
  </si>
  <si>
    <t>K2012040403A</t>
  </si>
  <si>
    <t>XG203944C</t>
  </si>
  <si>
    <t>EMCU6097533</t>
  </si>
  <si>
    <t>SLT 23.06.2021 - WH KW 2</t>
  </si>
  <si>
    <t>K2102220308A</t>
  </si>
  <si>
    <t>EM240055A3</t>
  </si>
  <si>
    <t>5/28/2021, 17.06.2021</t>
  </si>
  <si>
    <t>4/12/2021, 01.06.2021, 22.06.2021</t>
  </si>
  <si>
    <t>INV-IMR20201224-2</t>
  </si>
  <si>
    <t>DRYU2978851</t>
  </si>
  <si>
    <t>N210221AT032-02</t>
  </si>
  <si>
    <t>K2009073409B</t>
  </si>
  <si>
    <t>XG203560D</t>
  </si>
  <si>
    <t>APZU3250194</t>
  </si>
  <si>
    <t>N200906AQ132-01</t>
  </si>
  <si>
    <t>HOLD SLT 29.06.2021 - WH KW 2</t>
  </si>
  <si>
    <t>N2105260102-1</t>
  </si>
  <si>
    <t>GI360233B1</t>
  </si>
  <si>
    <t>SLT 12.07.2021 - WH KW 2</t>
  </si>
  <si>
    <t>N2103180451-2</t>
  </si>
  <si>
    <t>TI-GI305256C</t>
  </si>
  <si>
    <t>Y210209D40-1</t>
  </si>
  <si>
    <t>N2104120547-2</t>
  </si>
  <si>
    <t>TI-GI305299C</t>
  </si>
  <si>
    <t>Y210330D26-6</t>
  </si>
  <si>
    <t>SLT 16.07.2021 - WH KW 2</t>
  </si>
  <si>
    <t>N2105300783-1</t>
  </si>
  <si>
    <t>TI-GI305420C</t>
  </si>
  <si>
    <t>N2105130354-2</t>
  </si>
  <si>
    <t>TI-GI305260C</t>
  </si>
  <si>
    <t>Y210426C41-2</t>
  </si>
  <si>
    <t>N2104090321-1</t>
  </si>
  <si>
    <t>TI-GI305314C</t>
  </si>
  <si>
    <t>Y210404D42-5</t>
  </si>
  <si>
    <t>SLT 21.07.2021 - WH KW 2</t>
  </si>
  <si>
    <t>N2104040401-2</t>
  </si>
  <si>
    <t>TI-GI305295C</t>
  </si>
  <si>
    <t>Y210322E13-6</t>
  </si>
  <si>
    <t>SLT 23.07.2021 - WH KW 2</t>
  </si>
  <si>
    <t>N2105300782-2</t>
  </si>
  <si>
    <t>TI-GI305393C</t>
  </si>
  <si>
    <t>Y210526F31-6</t>
  </si>
  <si>
    <t>HOLD SLT 25.07.2021 - WH KW 2</t>
  </si>
  <si>
    <t>N2104080863-2</t>
  </si>
  <si>
    <t>TI-GI305369C</t>
  </si>
  <si>
    <t>Y210403C44-2</t>
  </si>
  <si>
    <t>SLT 27.07.2021 - WH KW 2</t>
  </si>
  <si>
    <t>N2105220269-1</t>
  </si>
  <si>
    <t>TI-GI305362B</t>
  </si>
  <si>
    <t>Y210509C31-3</t>
  </si>
  <si>
    <t>NH2104260414-1</t>
  </si>
  <si>
    <t>TI-GI305302B1</t>
  </si>
  <si>
    <t>MANSA ALDERMAN</t>
  </si>
  <si>
    <t>7/21/2021, 23.07.2021, 26.07.2021</t>
  </si>
  <si>
    <t>7/21/2021, 24.07.2021, 26.07.2021</t>
  </si>
  <si>
    <t>7/22/2021, 25.07.2021, 27.07.2021</t>
  </si>
  <si>
    <t>Y210319D46-7</t>
  </si>
  <si>
    <t>SLT 28.07.2021 - WH KW 2</t>
  </si>
  <si>
    <t>N2104250811-1</t>
  </si>
  <si>
    <t>TI-GI305376C</t>
  </si>
  <si>
    <t>Y210402D44-1</t>
  </si>
  <si>
    <t>SLT 29.07.2021 - WH KW 2</t>
  </si>
  <si>
    <t>TI-GI305353B</t>
  </si>
  <si>
    <t>SLT 30.07.2021 - WH KW 2</t>
  </si>
  <si>
    <t>N2105060305-2</t>
  </si>
  <si>
    <t>TI-GI305269C</t>
  </si>
  <si>
    <t>Y210501A28-4</t>
  </si>
  <si>
    <t>SLT 12.08.2021 - WH KW 2</t>
  </si>
  <si>
    <t>K2012120336B</t>
  </si>
  <si>
    <t>EM204084A2</t>
  </si>
  <si>
    <t>4/8/2021, 18.06.2021</t>
  </si>
  <si>
    <t>4/9/2021, 21.06.2021</t>
  </si>
  <si>
    <t>4/10/2021, 23.06.2021</t>
  </si>
  <si>
    <t>INV-IMR20210128-1</t>
  </si>
  <si>
    <t>EITU0317215</t>
  </si>
  <si>
    <t>N201210AT051-03</t>
  </si>
  <si>
    <t>SLT 16.08.2021 - WH KW 2</t>
  </si>
  <si>
    <t>N2104260421-1</t>
  </si>
  <si>
    <t>TI-GI305310A</t>
  </si>
  <si>
    <t>Y210330D20-1</t>
  </si>
  <si>
    <t>SLT 30.08.2021 - WH K W</t>
  </si>
  <si>
    <t>N2104260503-1</t>
  </si>
  <si>
    <t>TI-GI305627C</t>
  </si>
  <si>
    <t>Y210315D43-5</t>
  </si>
  <si>
    <t>SLT 01.09.2021 - WH KW 2</t>
  </si>
  <si>
    <t>N2105290604-2</t>
  </si>
  <si>
    <t>TI-GI305589C</t>
  </si>
  <si>
    <t>Y210503A25-1</t>
  </si>
  <si>
    <t>HOLD SLT 02.09.2021 - WH KW 2</t>
  </si>
  <si>
    <t>N2104250809-1</t>
  </si>
  <si>
    <t>TI-GI305482C</t>
  </si>
  <si>
    <t>Y210404A40-1</t>
  </si>
  <si>
    <t>SLT 03.09.2021 - WH KW 2</t>
  </si>
  <si>
    <t>N2105280138-1</t>
  </si>
  <si>
    <t>TI-GI305490C</t>
  </si>
  <si>
    <t>Y210506B51-5</t>
  </si>
  <si>
    <t>BAL 14.09.2021 - WH KW 2</t>
  </si>
  <si>
    <t>TI-GI305669A</t>
  </si>
  <si>
    <t>SK NETWORKS - MATERIAL GOSONG - DIPOTONG</t>
  </si>
  <si>
    <t>SLT 16.09.2021 - WH KW 2</t>
  </si>
  <si>
    <t>N2105130351-2</t>
  </si>
  <si>
    <t>TI-GI305595C</t>
  </si>
  <si>
    <t>9/9/2021, 13.09.2021</t>
  </si>
  <si>
    <t>9/9/2021, 15.09.2021</t>
  </si>
  <si>
    <t>Y210429D47-3</t>
  </si>
  <si>
    <t>N2105130349-2</t>
  </si>
  <si>
    <t>TI-GI305599C</t>
  </si>
  <si>
    <t>9/10/2021, 15.09.2021</t>
  </si>
  <si>
    <t>Y210426C43-6</t>
  </si>
  <si>
    <t>TI-GI305402B1-2</t>
  </si>
  <si>
    <t>HOLD SLT 17.09.2021 - WH KW 2</t>
  </si>
  <si>
    <t>N2105280120-2</t>
  </si>
  <si>
    <t>TI-GI305614B1</t>
  </si>
  <si>
    <t>Y210506B52-1</t>
  </si>
  <si>
    <t>N2104260413-2</t>
  </si>
  <si>
    <t>TI-GI305652C</t>
  </si>
  <si>
    <t>Y210328C22-1</t>
  </si>
  <si>
    <t>SLT 18.09.2021 - WH KW 2</t>
  </si>
  <si>
    <t>N2105290604-1</t>
  </si>
  <si>
    <t>TI-GI305588C</t>
  </si>
  <si>
    <t>N2105040367-2</t>
  </si>
  <si>
    <t>TI-GI305571C</t>
  </si>
  <si>
    <t>Y210425D51-1</t>
  </si>
  <si>
    <t>SLT 20.09.2021 - WH KW 2</t>
  </si>
  <si>
    <t>K2104062315B</t>
  </si>
  <si>
    <t>GU204492A</t>
  </si>
  <si>
    <t>SLT 22.09.2021 - WH KW 2</t>
  </si>
  <si>
    <t>N2105180425-1</t>
  </si>
  <si>
    <t>TI-GI305760A</t>
  </si>
  <si>
    <t>Y210512C31-5</t>
  </si>
  <si>
    <t>N2107010236-1</t>
  </si>
  <si>
    <t>TI-GI305861A</t>
  </si>
  <si>
    <t>Y210514C49-4</t>
  </si>
  <si>
    <t>TI-GI305861D</t>
  </si>
  <si>
    <t>N2104020641-2</t>
  </si>
  <si>
    <t>TI-GI305281A1</t>
  </si>
  <si>
    <t>WORLS STAINLESS</t>
  </si>
  <si>
    <t>7/25/2021, 14.09.2021, 17.09.2021</t>
  </si>
  <si>
    <t>7/25/2021, 14.09.2021, 18.09.2021</t>
  </si>
  <si>
    <t>7/28/2021, 16.09.2021, 19.09.2021</t>
  </si>
  <si>
    <t>7/30/2021, 02.08.2021, 17.09.2021</t>
  </si>
  <si>
    <t>Y210329C01-4</t>
  </si>
  <si>
    <t>SLT 23.09.2021 - WH KW 2</t>
  </si>
  <si>
    <t>N2104260412-2</t>
  </si>
  <si>
    <t>TI-GI305650C</t>
  </si>
  <si>
    <t>Y210326C27-1</t>
  </si>
  <si>
    <t>SLT 25.09.2021 - WH KW 2</t>
  </si>
  <si>
    <t>N2105280137-1</t>
  </si>
  <si>
    <t>TI-GI305494C</t>
  </si>
  <si>
    <t>Y210410A12-6</t>
  </si>
  <si>
    <t>SLT 27.09.2021 - WH KW 2</t>
  </si>
  <si>
    <t>N2106230558-2</t>
  </si>
  <si>
    <t>TI-GI305811B</t>
  </si>
  <si>
    <t>9/22/2021, 25.04.2021</t>
  </si>
  <si>
    <t>9/24/2021, 27.09.2021</t>
  </si>
  <si>
    <t>Y210609D40-1</t>
  </si>
  <si>
    <t>HOLD SLT 28.09.2021 - WH KW 2</t>
  </si>
  <si>
    <t>N2107010232-2</t>
  </si>
  <si>
    <t>TI-GI305904C1</t>
  </si>
  <si>
    <t>Y210603B51-1</t>
  </si>
  <si>
    <t>SLT 03.10.2021 - WH KW 2</t>
  </si>
  <si>
    <t>N2105290616-2</t>
  </si>
  <si>
    <t>TI-GI305797C</t>
  </si>
  <si>
    <t>Y210424D50-1</t>
  </si>
  <si>
    <t>N2105290619-2</t>
  </si>
  <si>
    <t>TI-GI305783C</t>
  </si>
  <si>
    <t>Y210505A23-1</t>
  </si>
  <si>
    <t>N2107010245-2</t>
  </si>
  <si>
    <t>TI-GI305747C</t>
  </si>
  <si>
    <t>Y210513C50-1</t>
  </si>
  <si>
    <t>SLT 06.10.2021 - WH KW 2</t>
  </si>
  <si>
    <t>N2104080807-1</t>
  </si>
  <si>
    <t>TI-GI305930C</t>
  </si>
  <si>
    <t>9/30/2021, 03.10.2021</t>
  </si>
  <si>
    <t>9/30/2021, 04.10.2021</t>
  </si>
  <si>
    <t>10/1/2021, 04.10.2021</t>
  </si>
  <si>
    <t>Y210401D50-6</t>
  </si>
  <si>
    <t>HOLD SLT 07.10.2021 - WH KW 2</t>
  </si>
  <si>
    <t>N2106260225-2</t>
  </si>
  <si>
    <t>TI-GI305743B1</t>
  </si>
  <si>
    <t>Y210524E27-5</t>
  </si>
  <si>
    <t>SLT 07.10.2021 - WH KW 2</t>
  </si>
  <si>
    <t>N2106260218-2</t>
  </si>
  <si>
    <t>TI-GI305890D</t>
  </si>
  <si>
    <t>Y210609C07-4</t>
  </si>
  <si>
    <t>SLT 08.10.2021 - WH KW 2</t>
  </si>
  <si>
    <t>N2105290628-2</t>
  </si>
  <si>
    <t>LTI-GI305971B1</t>
  </si>
  <si>
    <t>SCRATH SLIP</t>
  </si>
  <si>
    <t>Y210501B20-1</t>
  </si>
  <si>
    <t>RE SLT 10.10.2021 - WH KW 2</t>
  </si>
  <si>
    <t>N2106250742-1</t>
  </si>
  <si>
    <t>TI-GI306052B1</t>
  </si>
  <si>
    <t>Y210620D06-4</t>
  </si>
  <si>
    <t>N2105180412-1</t>
  </si>
  <si>
    <t>TI-GI305794C1.1</t>
  </si>
  <si>
    <t>EX - KALIBESAR - BUANG SCART SLIP</t>
  </si>
  <si>
    <t>Y210513D20-5</t>
  </si>
  <si>
    <t>SLT 15.10.2021 - WH KW 2</t>
  </si>
  <si>
    <t>K2104180627A</t>
  </si>
  <si>
    <t>EM204553B</t>
  </si>
  <si>
    <t>FCIU6186818</t>
  </si>
  <si>
    <t>N210417AR08</t>
  </si>
  <si>
    <t>N2106230566-2</t>
  </si>
  <si>
    <t>LTI-GI305975C</t>
  </si>
  <si>
    <t>SLIP</t>
  </si>
  <si>
    <t>Y210609D40-2</t>
  </si>
  <si>
    <t>SLT 18.10.2021 - WH KW 2</t>
  </si>
  <si>
    <t>N2105220333-1</t>
  </si>
  <si>
    <t>LTI-GI306004A</t>
  </si>
  <si>
    <t>Y210509C29-5</t>
  </si>
  <si>
    <t>N2107010231-1</t>
  </si>
  <si>
    <t>TI-GI305734B</t>
  </si>
  <si>
    <t>Y210514D43-2</t>
  </si>
  <si>
    <t>SLT 21.10.2021 - WH KW 2</t>
  </si>
  <si>
    <t>TI-GI305500A</t>
  </si>
  <si>
    <t>N2105280125-2</t>
  </si>
  <si>
    <t>TI-GI305640B1</t>
  </si>
  <si>
    <t>9/9/2021, 21.09.2021, 24.09.2021</t>
  </si>
  <si>
    <t>9/10/2021, 21.09.2021, 24.09.2021</t>
  </si>
  <si>
    <t>9/10/2021, 23.09.2021, 25.09.2021</t>
  </si>
  <si>
    <t>9/14/2021, 23.09.2021</t>
  </si>
  <si>
    <t>Y210421C28-6</t>
  </si>
  <si>
    <t>SLT 22.10.2021 - WH KW 2</t>
  </si>
  <si>
    <t>N2107010231-2</t>
  </si>
  <si>
    <t>TI-GI305735B1</t>
  </si>
  <si>
    <t>SLT 24.10.2021 - WH KW 2</t>
  </si>
  <si>
    <t>N2104110568-1</t>
  </si>
  <si>
    <t>LTI-GI306002C</t>
  </si>
  <si>
    <t>Y210404B46-5</t>
  </si>
  <si>
    <t>N2105280129-1</t>
  </si>
  <si>
    <t>TI-GI305968A</t>
  </si>
  <si>
    <t>Y210202A44-5</t>
  </si>
  <si>
    <t>RM SLT - SLT 26.10.2021 - WH KW 2</t>
  </si>
  <si>
    <t>IM706</t>
  </si>
  <si>
    <t>LM410580A</t>
  </si>
  <si>
    <t>D8810</t>
  </si>
  <si>
    <t>SLT 27.10.2021 - WH KW 2</t>
  </si>
  <si>
    <t>K2103040139A</t>
  </si>
  <si>
    <t>EM204218C</t>
  </si>
  <si>
    <t>6/26/2021, 01.07.2021</t>
  </si>
  <si>
    <t>6/27/2021, 01.07.2021</t>
  </si>
  <si>
    <t>6/27/2021, 03.07.2021</t>
  </si>
  <si>
    <t>OOLU0374939</t>
  </si>
  <si>
    <t>N210228AQ15</t>
  </si>
  <si>
    <t>BAL 04.11.2021 - WH KW 2</t>
  </si>
  <si>
    <t>N2107250859-2</t>
  </si>
  <si>
    <t>TI-GI306153A</t>
  </si>
  <si>
    <t>Y210720C01-5</t>
  </si>
  <si>
    <t>B01</t>
  </si>
  <si>
    <t>SLT 31.10.2021 - WH</t>
  </si>
  <si>
    <t>K2103030727B</t>
  </si>
  <si>
    <t>GU204122B7</t>
  </si>
  <si>
    <t>TRIYUDA - BUANG RUST</t>
  </si>
  <si>
    <t>N210301AQ06</t>
  </si>
  <si>
    <t>BAL 10.11.2021 - WH KW 2</t>
  </si>
  <si>
    <t>N2107010216-1</t>
  </si>
  <si>
    <t>TI-GI305885</t>
  </si>
  <si>
    <t>10/1/2021, 04.11.2021, 07.11.2021</t>
  </si>
  <si>
    <t>10/1/2021, 04.11.2021, 08.11.2021</t>
  </si>
  <si>
    <t>10/6/2021, 07.11.2021</t>
  </si>
  <si>
    <t>10/10/2021, 07.11.2021</t>
  </si>
  <si>
    <t>Y210523D48-4</t>
  </si>
  <si>
    <t>D02</t>
  </si>
  <si>
    <t>BAL 11.11.2021 - WH KW 2</t>
  </si>
  <si>
    <t>TI-GI305820A2</t>
  </si>
  <si>
    <t>SISA PUTUS DI MILL</t>
  </si>
  <si>
    <t>N2010270152-1</t>
  </si>
  <si>
    <t>TI-GI305640B2</t>
  </si>
  <si>
    <t>Y201022B23-7</t>
  </si>
  <si>
    <t>RE SLT 12.11.2021 - WH KW 2</t>
  </si>
  <si>
    <t>LTI-GI306027A1</t>
  </si>
  <si>
    <t>10/27/2021, 11.11.2021</t>
  </si>
  <si>
    <t>SLT 15.11.2021 - WH KW 2</t>
  </si>
  <si>
    <t>K2103153517B</t>
  </si>
  <si>
    <t>GU204249A1</t>
  </si>
  <si>
    <t>N210308AR10</t>
  </si>
  <si>
    <t>BAL 17.11.2021 - WH KW 2</t>
  </si>
  <si>
    <t>N2104240753-2</t>
  </si>
  <si>
    <t>LTI-GI305991</t>
  </si>
  <si>
    <t>Y210405A45-3</t>
  </si>
  <si>
    <t>RM SLT - SLT 20.11.2021 - WH KW 2</t>
  </si>
  <si>
    <t>IM716</t>
  </si>
  <si>
    <t>LM410590C</t>
  </si>
  <si>
    <t>BELAH COIL JADI 2</t>
  </si>
  <si>
    <t>11/5/2021, 20.11.2021</t>
  </si>
  <si>
    <t>PRSU1579956</t>
  </si>
  <si>
    <t>J5519</t>
  </si>
  <si>
    <t>RE SLT 30.11.2021 - WH KW 2</t>
  </si>
  <si>
    <t>GU301186A1.1-3</t>
  </si>
  <si>
    <t>GU301186B1.1-3</t>
  </si>
  <si>
    <t>SLT 07.12.2021 - WH KW 2</t>
  </si>
  <si>
    <t>N2108040128-2</t>
  </si>
  <si>
    <t>LTI-GI306209C</t>
  </si>
  <si>
    <t>Y210514C49-2</t>
  </si>
  <si>
    <t>SLT 15.12.2021 - WH KW 2</t>
  </si>
  <si>
    <t>N2105290611-1</t>
  </si>
  <si>
    <t>LTI-GI306164B1</t>
  </si>
  <si>
    <t>Y210413A42-5</t>
  </si>
  <si>
    <t>RM SLT - SLT 15.12.2021 - WH KW 2</t>
  </si>
  <si>
    <t>EM204752A1-5</t>
  </si>
  <si>
    <t>84.0+157.7+197.3+117.8+48.0</t>
  </si>
  <si>
    <t>SLT 19.12.2021 - WH KW 2</t>
  </si>
  <si>
    <t>LTI-GI305991B1-7</t>
  </si>
  <si>
    <t>157.7+237.4+117.8+98.0*2+48.0</t>
  </si>
  <si>
    <t>SLT 20.12.2021 - WH KW 2</t>
  </si>
  <si>
    <t>K2104053510B</t>
  </si>
  <si>
    <t>GU204429B2</t>
  </si>
  <si>
    <t>6/29/2021, 02.07.2021</t>
  </si>
  <si>
    <t>6/30/2021, 26.10.2021</t>
  </si>
  <si>
    <t>6/30/2021, 12.12.2021</t>
  </si>
  <si>
    <t>GLDU5757364</t>
  </si>
  <si>
    <t>SLT 27.12.2021 - WH KW 2</t>
  </si>
  <si>
    <t>K2104053503B</t>
  </si>
  <si>
    <t>GU204441C</t>
  </si>
  <si>
    <t>BEAU2149109</t>
  </si>
  <si>
    <t>SLT 29.12.2021 - WH KW 2</t>
  </si>
  <si>
    <t>N2109150209-1</t>
  </si>
  <si>
    <t>GI360278C</t>
  </si>
  <si>
    <t>Y210905D25-2</t>
  </si>
  <si>
    <t>BAL 12.01.2022 - WH KW 2</t>
  </si>
  <si>
    <t>N2107250305-2</t>
  </si>
  <si>
    <t>LTI-GI306071B</t>
  </si>
  <si>
    <t>FH/2B</t>
  </si>
  <si>
    <t>LENGTH</t>
  </si>
  <si>
    <t>FG KW2 SHEET</t>
  </si>
  <si>
    <t>CTL 16.05.2019 - WH KW 2</t>
  </si>
  <si>
    <t>HK400084A1.1</t>
  </si>
  <si>
    <t>HK400084B1.1</t>
  </si>
  <si>
    <t>CTL 30.03.2021 - WH KW 2</t>
  </si>
  <si>
    <t>XG203573A14</t>
  </si>
  <si>
    <t>NO COIL CAMPURAN (XG 203573A14; XG 203573B14)</t>
  </si>
  <si>
    <t>CTL 31.08.2021 - WH KW 2</t>
  </si>
  <si>
    <t>K2103205046B</t>
  </si>
  <si>
    <t>HK204666A</t>
  </si>
  <si>
    <t>N210319AT07</t>
  </si>
  <si>
    <t>HK204666F</t>
  </si>
  <si>
    <t>K2103205046A</t>
  </si>
  <si>
    <t>HK204665A</t>
  </si>
  <si>
    <t>EISU3989360</t>
  </si>
  <si>
    <t>HK204665F</t>
  </si>
  <si>
    <t>IM834</t>
  </si>
  <si>
    <t>LM204805D</t>
  </si>
  <si>
    <t>CSNU1147207</t>
  </si>
  <si>
    <t>B2763</t>
  </si>
  <si>
    <t>IM831</t>
  </si>
  <si>
    <t>LM204802D</t>
  </si>
  <si>
    <t>A3487</t>
  </si>
  <si>
    <t>IM838</t>
  </si>
  <si>
    <t>LM204809D</t>
  </si>
  <si>
    <t>G9877</t>
  </si>
  <si>
    <t>IM835</t>
  </si>
  <si>
    <t>LM204806D</t>
  </si>
  <si>
    <t>E2249</t>
  </si>
  <si>
    <t>IM832</t>
  </si>
  <si>
    <t>LM204803A3</t>
  </si>
  <si>
    <t>J2678</t>
  </si>
  <si>
    <t>IM840</t>
  </si>
  <si>
    <t>LM204811D</t>
  </si>
  <si>
    <t>E5368</t>
  </si>
  <si>
    <t>IM836</t>
  </si>
  <si>
    <t>LM204807D</t>
  </si>
  <si>
    <t>J4989</t>
  </si>
  <si>
    <t>IM833</t>
  </si>
  <si>
    <t>LM204804D</t>
  </si>
  <si>
    <t>C3718</t>
  </si>
  <si>
    <t>IM450</t>
  </si>
  <si>
    <t>LM410611</t>
  </si>
  <si>
    <t>RE CHEK QC - AMBIL DENT</t>
  </si>
  <si>
    <t>I4726</t>
  </si>
  <si>
    <t>IM451</t>
  </si>
  <si>
    <t>LM410612</t>
  </si>
  <si>
    <t>B6965</t>
  </si>
  <si>
    <t>IM452</t>
  </si>
  <si>
    <t>LM410613</t>
  </si>
  <si>
    <t>I9631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</si>
</sst>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00"/>
    <numFmt numFmtId="166" formatCode="0.0"/>
    <numFmt numFmtId="167" formatCode="[$-409]d\-mmm\-yy;@"/>
    <numFmt numFmtId="168" formatCode="0.0000"/>
    <numFmt numFmtId="169" formatCode="0.00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8"/>
      <color rgb="FF00B0F0"/>
      <name val="Arial"/>
      <family val="2"/>
    </font>
    <font>
      <sz val="10"/>
      <color theme="0" tint="-0.3499862666707357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6"/>
      <color theme="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color rgb="FFFF0000"/>
      <name val="Arial Narrow"/>
      <family val="2"/>
    </font>
    <font>
      <sz val="9"/>
      <color rgb="FF000000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0"/>
      <color theme="1"/>
      <name val="Arial Narrow"/>
      <family val="2"/>
    </font>
    <font>
      <sz val="9"/>
      <color theme="1"/>
      <name val="Calibri"/>
      <family val="2"/>
      <scheme val="minor"/>
    </font>
    <font>
      <sz val="11"/>
      <color rgb="FFFF0000"/>
      <name val="Arial Narrow"/>
      <family val="2"/>
    </font>
    <font>
      <b/>
      <sz val="10"/>
      <name val="Tahoma"/>
      <family val="2"/>
    </font>
    <font>
      <b/>
      <sz val="11"/>
      <color rgb="FFFF0000"/>
      <name val="Arial Narrow"/>
      <family val="2"/>
    </font>
    <font>
      <b/>
      <sz val="10"/>
      <color theme="1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2"/>
      <name val="Arial"/>
      <family val="2"/>
    </font>
    <font>
      <b/>
      <sz val="20"/>
      <color theme="1"/>
      <name val="Arial Narrow"/>
      <family val="2"/>
    </font>
    <font>
      <b/>
      <sz val="15"/>
      <color theme="1"/>
      <name val="Arial Narrow"/>
      <family val="2"/>
    </font>
    <font>
      <sz val="11"/>
      <color rgb="FF0070C0"/>
      <name val="Arial Narrow"/>
      <family val="2"/>
    </font>
    <font>
      <sz val="9"/>
      <name val="Arial Narrow"/>
      <family val="2"/>
    </font>
    <font>
      <sz val="11"/>
      <color rgb="FF00B050"/>
      <name val="Arial Narrow"/>
      <family val="2"/>
    </font>
    <font>
      <sz val="11"/>
      <color rgb="FFFFC000"/>
      <name val="Arial Narrow"/>
      <family val="2"/>
    </font>
    <font>
      <sz val="11"/>
      <color rgb="FF00B0F0"/>
      <name val="Arial Narrow"/>
      <family val="2"/>
    </font>
    <font>
      <sz val="9"/>
      <name val="Calibri"/>
      <family val="2"/>
      <scheme val="minor"/>
    </font>
    <font>
      <sz val="11"/>
      <color rgb="FF000000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</cellStyleXfs>
  <cellXfs count="846">
    <xf numFmtId="0" fontId="0" fillId="0" borderId="0" xfId="0"/>
    <xf numFmtId="0" fontId="5" fillId="0" borderId="0" xfId="2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15" fontId="8" fillId="0" borderId="0" xfId="2" applyNumberFormat="1" applyFont="1" applyAlignment="1">
      <alignment horizontal="center" vertical="center"/>
    </xf>
    <xf numFmtId="0" fontId="5" fillId="0" borderId="0" xfId="2" applyAlignment="1">
      <alignment horizontal="left" vertical="center"/>
    </xf>
    <xf numFmtId="15" fontId="5" fillId="0" borderId="0" xfId="2" applyNumberForma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9" fillId="2" borderId="2" xfId="2" applyFont="1" applyFill="1" applyBorder="1" applyAlignment="1">
      <alignment horizontal="center" vertical="center"/>
    </xf>
    <xf numFmtId="15" fontId="9" fillId="2" borderId="2" xfId="2" applyNumberFormat="1" applyFont="1" applyFill="1" applyBorder="1" applyAlignment="1">
      <alignment horizontal="center" vertical="center"/>
    </xf>
    <xf numFmtId="15" fontId="9" fillId="2" borderId="2" xfId="2" applyNumberFormat="1" applyFont="1" applyFill="1" applyBorder="1" applyAlignment="1">
      <alignment horizontal="center" vertical="center" wrapText="1"/>
    </xf>
    <xf numFmtId="165" fontId="5" fillId="0" borderId="2" xfId="2" applyNumberForma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1" fillId="0" borderId="0" xfId="2" applyFont="1" applyAlignment="1">
      <alignment horizontal="center" vertical="center" wrapText="1"/>
    </xf>
    <xf numFmtId="165" fontId="9" fillId="0" borderId="0" xfId="2" applyNumberFormat="1" applyFont="1" applyAlignment="1">
      <alignment horizontal="center" vertical="center"/>
    </xf>
    <xf numFmtId="165" fontId="5" fillId="0" borderId="0" xfId="2" applyNumberForma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5" fillId="0" borderId="2" xfId="2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12" fillId="0" borderId="0" xfId="2" applyNumberFormat="1" applyFont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1" fontId="5" fillId="0" borderId="0" xfId="2" applyNumberFormat="1" applyAlignment="1">
      <alignment horizontal="center" vertical="center"/>
    </xf>
    <xf numFmtId="15" fontId="9" fillId="3" borderId="2" xfId="2" applyNumberFormat="1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 wrapText="1"/>
    </xf>
    <xf numFmtId="1" fontId="5" fillId="0" borderId="2" xfId="2" applyNumberFormat="1" applyBorder="1" applyAlignment="1">
      <alignment horizontal="center" vertical="center"/>
    </xf>
    <xf numFmtId="1" fontId="10" fillId="0" borderId="2" xfId="3" applyNumberFormat="1" applyFont="1" applyBorder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9" fillId="0" borderId="2" xfId="2" applyFont="1" applyBorder="1" applyAlignment="1">
      <alignment horizontal="center" vertical="center"/>
    </xf>
    <xf numFmtId="1" fontId="9" fillId="0" borderId="2" xfId="2" applyNumberFormat="1" applyFont="1" applyBorder="1" applyAlignment="1">
      <alignment horizontal="center" vertical="center"/>
    </xf>
    <xf numFmtId="0" fontId="9" fillId="4" borderId="7" xfId="2" applyFont="1" applyFill="1" applyBorder="1" applyAlignment="1">
      <alignment horizontal="center" vertical="center"/>
    </xf>
    <xf numFmtId="0" fontId="9" fillId="4" borderId="7" xfId="2" applyFont="1" applyFill="1" applyBorder="1" applyAlignment="1">
      <alignment horizontal="center" vertical="center" wrapText="1"/>
    </xf>
    <xf numFmtId="1" fontId="5" fillId="0" borderId="2" xfId="4" applyNumberFormat="1" applyBorder="1" applyAlignment="1">
      <alignment horizontal="center" vertical="center"/>
    </xf>
    <xf numFmtId="1" fontId="9" fillId="0" borderId="0" xfId="2" applyNumberFormat="1" applyFont="1" applyAlignment="1">
      <alignment horizontal="center" vertical="center"/>
    </xf>
    <xf numFmtId="0" fontId="9" fillId="5" borderId="2" xfId="2" applyFont="1" applyFill="1" applyBorder="1" applyAlignment="1">
      <alignment horizontal="center" vertical="center" wrapText="1"/>
    </xf>
    <xf numFmtId="0" fontId="9" fillId="5" borderId="4" xfId="2" applyFont="1" applyFill="1" applyBorder="1" applyAlignment="1">
      <alignment horizontal="center" vertical="center" wrapText="1"/>
    </xf>
    <xf numFmtId="0" fontId="9" fillId="5" borderId="4" xfId="2" applyFont="1" applyFill="1" applyBorder="1" applyAlignment="1">
      <alignment horizontal="center" vertical="center"/>
    </xf>
    <xf numFmtId="0" fontId="9" fillId="5" borderId="2" xfId="2" applyFont="1" applyFill="1" applyBorder="1" applyAlignment="1">
      <alignment horizontal="center" vertical="center"/>
    </xf>
    <xf numFmtId="1" fontId="5" fillId="0" borderId="0" xfId="4" applyNumberFormat="1" applyAlignment="1">
      <alignment horizontal="center" vertical="center"/>
    </xf>
    <xf numFmtId="0" fontId="1" fillId="0" borderId="0" xfId="5" applyAlignment="1">
      <alignment horizontal="center" vertical="center"/>
    </xf>
    <xf numFmtId="0" fontId="1" fillId="0" borderId="2" xfId="5" applyBorder="1" applyAlignment="1">
      <alignment horizontal="center" vertical="center"/>
    </xf>
    <xf numFmtId="0" fontId="10" fillId="0" borderId="2" xfId="5" applyFont="1" applyBorder="1" applyAlignment="1">
      <alignment horizontal="center" vertical="center"/>
    </xf>
    <xf numFmtId="0" fontId="3" fillId="0" borderId="0" xfId="5" applyFont="1" applyAlignment="1">
      <alignment horizontal="center" vertical="center"/>
    </xf>
    <xf numFmtId="0" fontId="1" fillId="0" borderId="0" xfId="5"/>
    <xf numFmtId="1" fontId="1" fillId="0" borderId="0" xfId="3" applyNumberFormat="1" applyAlignment="1">
      <alignment horizontal="center" vertical="center"/>
    </xf>
    <xf numFmtId="165" fontId="1" fillId="0" borderId="0" xfId="5" applyNumberForma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" fontId="3" fillId="2" borderId="6" xfId="3" applyNumberFormat="1" applyFont="1" applyFill="1" applyBorder="1" applyAlignment="1">
      <alignment horizontal="center" vertical="center"/>
    </xf>
    <xf numFmtId="1" fontId="3" fillId="2" borderId="3" xfId="3" applyNumberFormat="1" applyFont="1" applyFill="1" applyBorder="1" applyAlignment="1">
      <alignment horizontal="center" vertical="center"/>
    </xf>
    <xf numFmtId="1" fontId="1" fillId="0" borderId="0" xfId="5" applyNumberFormat="1" applyAlignment="1">
      <alignment horizontal="center"/>
    </xf>
    <xf numFmtId="165" fontId="10" fillId="0" borderId="2" xfId="5" applyNumberFormat="1" applyFont="1" applyBorder="1" applyAlignment="1">
      <alignment horizontal="center"/>
    </xf>
    <xf numFmtId="0" fontId="3" fillId="2" borderId="10" xfId="3" applyFont="1" applyFill="1" applyBorder="1" applyAlignment="1">
      <alignment horizontal="center" vertical="center"/>
    </xf>
    <xf numFmtId="1" fontId="1" fillId="0" borderId="0" xfId="5" applyNumberFormat="1" applyAlignment="1">
      <alignment horizontal="center" vertical="center"/>
    </xf>
    <xf numFmtId="0" fontId="3" fillId="6" borderId="11" xfId="5" applyFont="1" applyFill="1" applyBorder="1" applyAlignment="1">
      <alignment horizontal="center" vertical="center"/>
    </xf>
    <xf numFmtId="0" fontId="3" fillId="6" borderId="6" xfId="5" applyFont="1" applyFill="1" applyBorder="1" applyAlignment="1">
      <alignment horizontal="center" vertical="center"/>
    </xf>
    <xf numFmtId="0" fontId="3" fillId="6" borderId="3" xfId="5" applyFont="1" applyFill="1" applyBorder="1" applyAlignment="1">
      <alignment horizontal="center" vertical="center"/>
    </xf>
    <xf numFmtId="0" fontId="3" fillId="8" borderId="7" xfId="5" applyFont="1" applyFill="1" applyBorder="1" applyAlignment="1">
      <alignment horizontal="center" vertical="center"/>
    </xf>
    <xf numFmtId="0" fontId="3" fillId="8" borderId="2" xfId="5" applyFont="1" applyFill="1" applyBorder="1" applyAlignment="1">
      <alignment horizontal="center" vertical="center"/>
    </xf>
    <xf numFmtId="1" fontId="3" fillId="9" borderId="7" xfId="5" applyNumberFormat="1" applyFont="1" applyFill="1" applyBorder="1" applyAlignment="1">
      <alignment horizontal="center" vertical="center"/>
    </xf>
    <xf numFmtId="1" fontId="3" fillId="9" borderId="2" xfId="5" applyNumberFormat="1" applyFont="1" applyFill="1" applyBorder="1" applyAlignment="1">
      <alignment horizontal="center" vertical="center"/>
    </xf>
    <xf numFmtId="1" fontId="3" fillId="10" borderId="7" xfId="5" applyNumberFormat="1" applyFont="1" applyFill="1" applyBorder="1" applyAlignment="1">
      <alignment horizontal="center" vertical="center"/>
    </xf>
    <xf numFmtId="1" fontId="3" fillId="10" borderId="2" xfId="5" applyNumberFormat="1" applyFont="1" applyFill="1" applyBorder="1" applyAlignment="1">
      <alignment horizontal="center" vertical="center"/>
    </xf>
    <xf numFmtId="1" fontId="3" fillId="0" borderId="0" xfId="5" applyNumberFormat="1" applyFont="1"/>
    <xf numFmtId="1" fontId="3" fillId="2" borderId="7" xfId="5" applyNumberFormat="1" applyFont="1" applyFill="1" applyBorder="1" applyAlignment="1">
      <alignment horizontal="center" vertical="center"/>
    </xf>
    <xf numFmtId="1" fontId="0" fillId="6" borderId="7" xfId="5" applyNumberFormat="1" applyFont="1" applyFill="1" applyBorder="1" applyAlignment="1">
      <alignment horizontal="center" vertical="center"/>
    </xf>
    <xf numFmtId="1" fontId="3" fillId="6" borderId="2" xfId="5" applyNumberFormat="1" applyFont="1" applyFill="1" applyBorder="1" applyAlignment="1">
      <alignment horizontal="center" vertical="center"/>
    </xf>
    <xf numFmtId="1" fontId="0" fillId="11" borderId="7" xfId="5" applyNumberFormat="1" applyFont="1" applyFill="1" applyBorder="1" applyAlignment="1">
      <alignment horizontal="center" vertical="center"/>
    </xf>
    <xf numFmtId="1" fontId="3" fillId="11" borderId="2" xfId="5" applyNumberFormat="1" applyFont="1" applyFill="1" applyBorder="1" applyAlignment="1">
      <alignment horizontal="center" vertical="center"/>
    </xf>
    <xf numFmtId="1" fontId="0" fillId="12" borderId="7" xfId="5" applyNumberFormat="1" applyFont="1" applyFill="1" applyBorder="1" applyAlignment="1">
      <alignment horizontal="center" vertical="center"/>
    </xf>
    <xf numFmtId="1" fontId="3" fillId="12" borderId="2" xfId="5" applyNumberFormat="1" applyFont="1" applyFill="1" applyBorder="1" applyAlignment="1">
      <alignment horizontal="center" vertical="center"/>
    </xf>
    <xf numFmtId="1" fontId="1" fillId="13" borderId="7" xfId="5" applyNumberFormat="1" applyFill="1" applyBorder="1" applyAlignment="1">
      <alignment horizontal="center" vertical="center"/>
    </xf>
    <xf numFmtId="1" fontId="3" fillId="13" borderId="2" xfId="5" applyNumberFormat="1" applyFont="1" applyFill="1" applyBorder="1" applyAlignment="1">
      <alignment horizontal="center" vertical="center"/>
    </xf>
    <xf numFmtId="1" fontId="3" fillId="8" borderId="7" xfId="5" applyNumberFormat="1" applyFont="1" applyFill="1" applyBorder="1" applyAlignment="1">
      <alignment horizontal="center" vertical="center"/>
    </xf>
    <xf numFmtId="1" fontId="3" fillId="8" borderId="2" xfId="5" applyNumberFormat="1" applyFont="1" applyFill="1" applyBorder="1" applyAlignment="1">
      <alignment horizontal="center" vertical="center"/>
    </xf>
    <xf numFmtId="1" fontId="0" fillId="13" borderId="7" xfId="5" applyNumberFormat="1" applyFont="1" applyFill="1" applyBorder="1" applyAlignment="1">
      <alignment horizontal="center" vertical="center"/>
    </xf>
    <xf numFmtId="1" fontId="0" fillId="15" borderId="7" xfId="5" applyNumberFormat="1" applyFont="1" applyFill="1" applyBorder="1" applyAlignment="1">
      <alignment horizontal="center" vertical="center"/>
    </xf>
    <xf numFmtId="1" fontId="3" fillId="15" borderId="2" xfId="5" applyNumberFormat="1" applyFont="1" applyFill="1" applyBorder="1" applyAlignment="1">
      <alignment horizontal="center" vertical="center"/>
    </xf>
    <xf numFmtId="0" fontId="1" fillId="13" borderId="7" xfId="5" applyFill="1" applyBorder="1" applyAlignment="1">
      <alignment horizontal="center" vertical="center"/>
    </xf>
    <xf numFmtId="0" fontId="3" fillId="13" borderId="2" xfId="5" applyFont="1" applyFill="1" applyBorder="1" applyAlignment="1">
      <alignment horizontal="center" vertical="center"/>
    </xf>
    <xf numFmtId="0" fontId="3" fillId="0" borderId="0" xfId="5" applyFont="1"/>
    <xf numFmtId="1" fontId="1" fillId="0" borderId="0" xfId="5" applyNumberFormat="1"/>
    <xf numFmtId="0" fontId="1" fillId="0" borderId="0" xfId="5" applyAlignment="1">
      <alignment horizontal="center"/>
    </xf>
    <xf numFmtId="0" fontId="17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16" fontId="17" fillId="0" borderId="0" xfId="3" applyNumberFormat="1" applyFont="1" applyAlignment="1">
      <alignment vertical="center"/>
    </xf>
    <xf numFmtId="0" fontId="20" fillId="0" borderId="0" xfId="3" applyFont="1" applyAlignment="1">
      <alignment horizontal="center" vertical="center"/>
    </xf>
    <xf numFmtId="0" fontId="20" fillId="17" borderId="0" xfId="3" applyFont="1" applyFill="1" applyAlignment="1">
      <alignment horizontal="center" vertical="center"/>
    </xf>
    <xf numFmtId="0" fontId="21" fillId="0" borderId="0" xfId="3" applyFont="1" applyAlignment="1">
      <alignment horizontal="center" vertical="center"/>
    </xf>
    <xf numFmtId="166" fontId="20" fillId="0" borderId="0" xfId="3" applyNumberFormat="1" applyFont="1" applyAlignment="1">
      <alignment horizontal="center" vertical="center"/>
    </xf>
    <xf numFmtId="2" fontId="20" fillId="0" borderId="0" xfId="3" applyNumberFormat="1" applyFont="1" applyAlignment="1">
      <alignment horizontal="center" vertical="center"/>
    </xf>
    <xf numFmtId="1" fontId="20" fillId="0" borderId="0" xfId="3" applyNumberFormat="1" applyFont="1" applyAlignment="1">
      <alignment horizontal="center" vertical="center"/>
    </xf>
    <xf numFmtId="165" fontId="20" fillId="0" borderId="0" xfId="3" applyNumberFormat="1" applyFont="1" applyAlignment="1">
      <alignment horizontal="center" vertical="center"/>
    </xf>
    <xf numFmtId="166" fontId="20" fillId="0" borderId="0" xfId="3" applyNumberFormat="1" applyFont="1" applyAlignment="1">
      <alignment horizontal="left" vertical="center"/>
    </xf>
    <xf numFmtId="16" fontId="20" fillId="0" borderId="0" xfId="3" applyNumberFormat="1" applyFont="1" applyAlignment="1">
      <alignment horizontal="center" vertical="center"/>
    </xf>
    <xf numFmtId="165" fontId="21" fillId="0" borderId="0" xfId="3" applyNumberFormat="1" applyFont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9" fillId="18" borderId="0" xfId="3" applyFont="1" applyFill="1" applyAlignment="1">
      <alignment horizontal="center" vertical="center"/>
    </xf>
    <xf numFmtId="0" fontId="19" fillId="19" borderId="0" xfId="3" applyFont="1" applyFill="1" applyAlignment="1">
      <alignment horizontal="center" vertical="center"/>
    </xf>
    <xf numFmtId="0" fontId="22" fillId="18" borderId="0" xfId="3" applyFont="1" applyFill="1" applyAlignment="1">
      <alignment horizontal="center" vertical="center"/>
    </xf>
    <xf numFmtId="0" fontId="22" fillId="4" borderId="0" xfId="3" applyFont="1" applyFill="1" applyAlignment="1">
      <alignment horizontal="center" vertical="center"/>
    </xf>
    <xf numFmtId="166" fontId="19" fillId="18" borderId="0" xfId="3" applyNumberFormat="1" applyFont="1" applyFill="1" applyAlignment="1">
      <alignment horizontal="center" vertical="center" wrapText="1"/>
    </xf>
    <xf numFmtId="2" fontId="19" fillId="10" borderId="0" xfId="3" applyNumberFormat="1" applyFont="1" applyFill="1" applyAlignment="1">
      <alignment horizontal="center" vertical="center" wrapText="1"/>
    </xf>
    <xf numFmtId="1" fontId="19" fillId="18" borderId="0" xfId="3" applyNumberFormat="1" applyFont="1" applyFill="1" applyAlignment="1">
      <alignment horizontal="center" vertical="center" wrapText="1"/>
    </xf>
    <xf numFmtId="165" fontId="19" fillId="18" borderId="0" xfId="3" applyNumberFormat="1" applyFont="1" applyFill="1" applyAlignment="1">
      <alignment horizontal="center" vertical="center" wrapText="1"/>
    </xf>
    <xf numFmtId="166" fontId="19" fillId="20" borderId="0" xfId="3" applyNumberFormat="1" applyFont="1" applyFill="1" applyAlignment="1">
      <alignment horizontal="center" vertical="center" wrapText="1"/>
    </xf>
    <xf numFmtId="16" fontId="19" fillId="12" borderId="0" xfId="3" applyNumberFormat="1" applyFont="1" applyFill="1" applyAlignment="1">
      <alignment horizontal="center" vertical="center" wrapText="1"/>
    </xf>
    <xf numFmtId="166" fontId="19" fillId="10" borderId="0" xfId="3" applyNumberFormat="1" applyFont="1" applyFill="1" applyAlignment="1">
      <alignment horizontal="center" vertical="center" wrapText="1"/>
    </xf>
    <xf numFmtId="166" fontId="19" fillId="6" borderId="0" xfId="3" applyNumberFormat="1" applyFont="1" applyFill="1" applyAlignment="1">
      <alignment horizontal="center" vertical="center" wrapText="1"/>
    </xf>
    <xf numFmtId="166" fontId="19" fillId="4" borderId="0" xfId="3" applyNumberFormat="1" applyFont="1" applyFill="1" applyAlignment="1">
      <alignment horizontal="center" vertical="center" wrapText="1"/>
    </xf>
    <xf numFmtId="0" fontId="19" fillId="18" borderId="0" xfId="3" applyFont="1" applyFill="1" applyAlignment="1">
      <alignment horizontal="center" vertical="center" wrapText="1"/>
    </xf>
    <xf numFmtId="0" fontId="19" fillId="4" borderId="0" xfId="3" applyFont="1" applyFill="1" applyAlignment="1">
      <alignment horizontal="center" vertical="center" wrapText="1"/>
    </xf>
    <xf numFmtId="165" fontId="22" fillId="18" borderId="0" xfId="3" applyNumberFormat="1" applyFont="1" applyFill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  <xf numFmtId="0" fontId="21" fillId="0" borderId="0" xfId="3" applyFont="1" applyAlignment="1">
      <alignment horizontal="center" vertical="center" wrapText="1"/>
    </xf>
    <xf numFmtId="0" fontId="21" fillId="0" borderId="2" xfId="3" applyFont="1" applyBorder="1" applyAlignment="1">
      <alignment horizontal="center" vertical="center"/>
    </xf>
    <xf numFmtId="2" fontId="21" fillId="0" borderId="2" xfId="3" applyNumberFormat="1" applyFont="1" applyBorder="1" applyAlignment="1">
      <alignment horizontal="center" vertical="center"/>
    </xf>
    <xf numFmtId="1" fontId="21" fillId="0" borderId="2" xfId="3" applyNumberFormat="1" applyFont="1" applyBorder="1" applyAlignment="1">
      <alignment horizontal="center" vertical="center"/>
    </xf>
    <xf numFmtId="165" fontId="21" fillId="0" borderId="2" xfId="3" applyNumberFormat="1" applyFont="1" applyBorder="1" applyAlignment="1">
      <alignment horizontal="center" vertical="center"/>
    </xf>
    <xf numFmtId="0" fontId="21" fillId="0" borderId="2" xfId="5" applyFont="1" applyBorder="1" applyAlignment="1">
      <alignment horizontal="left" vertical="center"/>
    </xf>
    <xf numFmtId="166" fontId="21" fillId="0" borderId="2" xfId="3" applyNumberFormat="1" applyFont="1" applyBorder="1" applyAlignment="1">
      <alignment horizontal="left" vertical="center" wrapText="1"/>
    </xf>
    <xf numFmtId="16" fontId="25" fillId="0" borderId="2" xfId="3" applyNumberFormat="1" applyFont="1" applyBorder="1" applyAlignment="1">
      <alignment horizontal="center" vertical="center" wrapText="1"/>
    </xf>
    <xf numFmtId="167" fontId="21" fillId="0" borderId="2" xfId="3" applyNumberFormat="1" applyFont="1" applyBorder="1" applyAlignment="1">
      <alignment horizontal="center" vertical="center" wrapText="1"/>
    </xf>
    <xf numFmtId="15" fontId="21" fillId="0" borderId="2" xfId="3" applyNumberFormat="1" applyFont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165" fontId="21" fillId="0" borderId="2" xfId="3" applyNumberFormat="1" applyFont="1" applyBorder="1" applyAlignment="1">
      <alignment horizontal="left" vertical="center"/>
    </xf>
    <xf numFmtId="168" fontId="21" fillId="0" borderId="2" xfId="3" applyNumberFormat="1" applyFont="1" applyBorder="1" applyAlignment="1">
      <alignment horizontal="center" vertical="center"/>
    </xf>
    <xf numFmtId="166" fontId="21" fillId="0" borderId="2" xfId="3" applyNumberFormat="1" applyFont="1" applyBorder="1" applyAlignment="1">
      <alignment horizontal="center" vertical="center" wrapText="1"/>
    </xf>
    <xf numFmtId="168" fontId="21" fillId="0" borderId="0" xfId="3" applyNumberFormat="1" applyFont="1" applyAlignment="1">
      <alignment horizontal="center" vertical="center"/>
    </xf>
    <xf numFmtId="2" fontId="21" fillId="0" borderId="0" xfId="3" applyNumberFormat="1" applyFont="1" applyAlignment="1">
      <alignment horizontal="center" vertical="center"/>
    </xf>
    <xf numFmtId="1" fontId="21" fillId="0" borderId="0" xfId="3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" fontId="20" fillId="0" borderId="2" xfId="0" applyNumberFormat="1" applyFont="1" applyBorder="1" applyAlignment="1">
      <alignment horizontal="center" vertical="center"/>
    </xf>
    <xf numFmtId="165" fontId="20" fillId="0" borderId="2" xfId="0" applyNumberFormat="1" applyFont="1" applyBorder="1" applyAlignment="1">
      <alignment horizontal="center" vertical="center"/>
    </xf>
    <xf numFmtId="0" fontId="27" fillId="0" borderId="0" xfId="0" applyFont="1"/>
    <xf numFmtId="0" fontId="28" fillId="21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2" fontId="21" fillId="0" borderId="2" xfId="5" applyNumberFormat="1" applyFont="1" applyBorder="1" applyAlignment="1">
      <alignment horizontal="center" vertical="center"/>
    </xf>
    <xf numFmtId="15" fontId="21" fillId="0" borderId="2" xfId="4" applyNumberFormat="1" applyFont="1" applyBorder="1" applyAlignment="1">
      <alignment horizontal="center" vertical="center"/>
    </xf>
    <xf numFmtId="0" fontId="21" fillId="17" borderId="0" xfId="3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1" fillId="0" borderId="0" xfId="5" applyFont="1" applyAlignment="1">
      <alignment horizontal="left" vertical="center"/>
    </xf>
    <xf numFmtId="166" fontId="21" fillId="0" borderId="0" xfId="3" applyNumberFormat="1" applyFont="1" applyAlignment="1">
      <alignment horizontal="left" vertical="center" wrapText="1"/>
    </xf>
    <xf numFmtId="16" fontId="25" fillId="0" borderId="0" xfId="3" applyNumberFormat="1" applyFont="1" applyAlignment="1">
      <alignment horizontal="center" vertical="center" wrapText="1"/>
    </xf>
    <xf numFmtId="167" fontId="21" fillId="0" borderId="0" xfId="3" applyNumberFormat="1" applyFont="1" applyAlignment="1">
      <alignment horizontal="center" vertical="center" wrapText="1"/>
    </xf>
    <xf numFmtId="15" fontId="21" fillId="0" borderId="0" xfId="3" applyNumberFormat="1" applyFont="1" applyAlignment="1">
      <alignment horizontal="center" vertical="center"/>
    </xf>
    <xf numFmtId="165" fontId="19" fillId="0" borderId="0" xfId="3" applyNumberFormat="1" applyFont="1" applyAlignment="1">
      <alignment horizontal="center" vertical="center"/>
    </xf>
    <xf numFmtId="1" fontId="20" fillId="0" borderId="0" xfId="3" applyNumberFormat="1" applyFont="1" applyAlignment="1">
      <alignment horizontal="left" vertical="center"/>
    </xf>
    <xf numFmtId="16" fontId="29" fillId="0" borderId="0" xfId="3" applyNumberFormat="1" applyFont="1" applyAlignment="1">
      <alignment horizontal="center" vertical="center"/>
    </xf>
    <xf numFmtId="166" fontId="20" fillId="17" borderId="0" xfId="3" applyNumberFormat="1" applyFont="1" applyFill="1" applyAlignment="1">
      <alignment horizontal="center" vertical="center"/>
    </xf>
    <xf numFmtId="0" fontId="20" fillId="10" borderId="0" xfId="3" applyFont="1" applyFill="1" applyAlignment="1">
      <alignment horizontal="center" vertical="center"/>
    </xf>
    <xf numFmtId="0" fontId="21" fillId="10" borderId="0" xfId="3" applyFont="1" applyFill="1" applyAlignment="1">
      <alignment horizontal="center" vertical="center"/>
    </xf>
    <xf numFmtId="166" fontId="20" fillId="10" borderId="0" xfId="3" applyNumberFormat="1" applyFont="1" applyFill="1" applyAlignment="1">
      <alignment horizontal="center" vertical="center"/>
    </xf>
    <xf numFmtId="2" fontId="20" fillId="10" borderId="0" xfId="3" applyNumberFormat="1" applyFont="1" applyFill="1" applyAlignment="1">
      <alignment horizontal="center" vertical="center"/>
    </xf>
    <xf numFmtId="1" fontId="20" fillId="10" borderId="0" xfId="3" applyNumberFormat="1" applyFont="1" applyFill="1" applyAlignment="1">
      <alignment horizontal="center" vertical="center"/>
    </xf>
    <xf numFmtId="165" fontId="20" fillId="10" borderId="0" xfId="3" applyNumberFormat="1" applyFont="1" applyFill="1" applyAlignment="1">
      <alignment horizontal="center" vertical="center"/>
    </xf>
    <xf numFmtId="166" fontId="20" fillId="10" borderId="0" xfId="3" applyNumberFormat="1" applyFont="1" applyFill="1" applyAlignment="1">
      <alignment horizontal="left" vertical="center"/>
    </xf>
    <xf numFmtId="16" fontId="20" fillId="10" borderId="0" xfId="3" applyNumberFormat="1" applyFont="1" applyFill="1" applyAlignment="1">
      <alignment horizontal="center" vertical="center"/>
    </xf>
    <xf numFmtId="165" fontId="21" fillId="10" borderId="0" xfId="3" applyNumberFormat="1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15" fontId="20" fillId="0" borderId="0" xfId="0" applyNumberFormat="1" applyFont="1" applyAlignment="1">
      <alignment horizontal="center" vertical="center"/>
    </xf>
    <xf numFmtId="0" fontId="9" fillId="5" borderId="2" xfId="4" applyFont="1" applyFill="1" applyBorder="1" applyAlignment="1">
      <alignment horizontal="center" vertical="center" wrapText="1"/>
    </xf>
    <xf numFmtId="0" fontId="9" fillId="5" borderId="4" xfId="4" applyFont="1" applyFill="1" applyBorder="1" applyAlignment="1">
      <alignment horizontal="center" vertical="center" wrapText="1"/>
    </xf>
    <xf numFmtId="0" fontId="9" fillId="5" borderId="4" xfId="4" applyFont="1" applyFill="1" applyBorder="1" applyAlignment="1">
      <alignment horizontal="center" vertical="center"/>
    </xf>
    <xf numFmtId="0" fontId="9" fillId="5" borderId="2" xfId="4" applyFont="1" applyFill="1" applyBorder="1" applyAlignment="1">
      <alignment horizontal="center" vertical="center"/>
    </xf>
    <xf numFmtId="0" fontId="9" fillId="0" borderId="2" xfId="4" applyFont="1" applyBorder="1" applyAlignment="1">
      <alignment horizontal="center" vertical="center"/>
    </xf>
    <xf numFmtId="0" fontId="3" fillId="0" borderId="0" xfId="0" applyFont="1"/>
    <xf numFmtId="0" fontId="9" fillId="4" borderId="7" xfId="4" applyFont="1" applyFill="1" applyBorder="1" applyAlignment="1">
      <alignment horizontal="center" vertical="center"/>
    </xf>
    <xf numFmtId="0" fontId="9" fillId="4" borderId="7" xfId="4" applyFont="1" applyFill="1" applyBorder="1" applyAlignment="1">
      <alignment horizontal="center" vertical="center" wrapText="1"/>
    </xf>
    <xf numFmtId="0" fontId="5" fillId="0" borderId="2" xfId="4" applyBorder="1" applyAlignment="1">
      <alignment horizontal="center" vertical="center"/>
    </xf>
    <xf numFmtId="165" fontId="5" fillId="0" borderId="2" xfId="4" applyNumberFormat="1" applyBorder="1" applyAlignment="1">
      <alignment horizontal="center" vertical="center"/>
    </xf>
    <xf numFmtId="165" fontId="19" fillId="0" borderId="2" xfId="3" applyNumberFormat="1" applyFon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9" fillId="0" borderId="2" xfId="4" applyNumberFormat="1" applyFont="1" applyBorder="1" applyAlignment="1">
      <alignment horizontal="center" vertical="center"/>
    </xf>
    <xf numFmtId="165" fontId="5" fillId="0" borderId="0" xfId="4" applyNumberFormat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0" fillId="7" borderId="2" xfId="6" applyFont="1" applyFill="1" applyBorder="1" applyAlignment="1">
      <alignment horizontal="center" vertical="center" wrapText="1"/>
    </xf>
    <xf numFmtId="0" fontId="30" fillId="3" borderId="2" xfId="6" applyFont="1" applyFill="1" applyBorder="1" applyAlignment="1">
      <alignment horizontal="center" vertical="center"/>
    </xf>
    <xf numFmtId="0" fontId="30" fillId="22" borderId="2" xfId="6" applyFont="1" applyFill="1" applyBorder="1" applyAlignment="1">
      <alignment horizontal="center" vertical="center" wrapText="1"/>
    </xf>
    <xf numFmtId="1" fontId="4" fillId="8" borderId="5" xfId="0" applyNumberFormat="1" applyFont="1" applyFill="1" applyBorder="1" applyAlignment="1">
      <alignment vertical="center"/>
    </xf>
    <xf numFmtId="1" fontId="0" fillId="18" borderId="2" xfId="0" applyNumberFormat="1" applyFill="1" applyBorder="1" applyAlignment="1">
      <alignment horizontal="center" vertical="center"/>
    </xf>
    <xf numFmtId="0" fontId="0" fillId="0" borderId="2" xfId="0" applyBorder="1"/>
    <xf numFmtId="0" fontId="0" fillId="3" borderId="2" xfId="0" applyFill="1" applyBorder="1"/>
    <xf numFmtId="1" fontId="4" fillId="8" borderId="2" xfId="0" applyNumberFormat="1" applyFont="1" applyFill="1" applyBorder="1" applyAlignment="1">
      <alignment horizontal="center" vertical="center"/>
    </xf>
    <xf numFmtId="1" fontId="4" fillId="8" borderId="13" xfId="0" applyNumberFormat="1" applyFont="1" applyFill="1" applyBorder="1" applyAlignment="1">
      <alignment horizontal="center" vertical="center"/>
    </xf>
    <xf numFmtId="0" fontId="4" fillId="23" borderId="2" xfId="0" applyFont="1" applyFill="1" applyBorder="1" applyAlignment="1">
      <alignment horizontal="center" vertical="center"/>
    </xf>
    <xf numFmtId="1" fontId="4" fillId="8" borderId="7" xfId="0" applyNumberFormat="1" applyFont="1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0" fontId="4" fillId="24" borderId="2" xfId="0" applyFont="1" applyFill="1" applyBorder="1" applyAlignment="1">
      <alignment horizontal="center" vertical="center"/>
    </xf>
    <xf numFmtId="0" fontId="4" fillId="23" borderId="5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2" fontId="0" fillId="3" borderId="2" xfId="0" applyNumberFormat="1" applyFill="1" applyBorder="1"/>
    <xf numFmtId="0" fontId="4" fillId="23" borderId="13" xfId="0" applyFont="1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24" borderId="5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65" fontId="20" fillId="25" borderId="0" xfId="3" applyNumberFormat="1" applyFont="1" applyFill="1" applyAlignment="1">
      <alignment horizontal="center" vertical="center"/>
    </xf>
    <xf numFmtId="166" fontId="20" fillId="25" borderId="0" xfId="3" applyNumberFormat="1" applyFont="1" applyFill="1" applyAlignment="1">
      <alignment horizontal="left" vertical="center"/>
    </xf>
    <xf numFmtId="0" fontId="4" fillId="24" borderId="1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" fontId="9" fillId="0" borderId="2" xfId="4" applyNumberFormat="1" applyFont="1" applyBorder="1" applyAlignment="1">
      <alignment horizontal="center" vertical="center"/>
    </xf>
    <xf numFmtId="0" fontId="4" fillId="16" borderId="2" xfId="0" applyFont="1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4" fillId="26" borderId="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27" borderId="2" xfId="0" applyFont="1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4" fillId="28" borderId="2" xfId="0" applyFont="1" applyFill="1" applyBorder="1" applyAlignment="1">
      <alignment horizontal="center" vertical="center"/>
    </xf>
    <xf numFmtId="0" fontId="21" fillId="25" borderId="0" xfId="3" applyFont="1" applyFill="1" applyAlignment="1">
      <alignment horizontal="center" vertical="center"/>
    </xf>
    <xf numFmtId="0" fontId="20" fillId="25" borderId="0" xfId="3" applyFont="1" applyFill="1" applyAlignment="1">
      <alignment horizontal="center" vertical="center"/>
    </xf>
    <xf numFmtId="166" fontId="20" fillId="25" borderId="0" xfId="3" applyNumberFormat="1" applyFont="1" applyFill="1" applyAlignment="1">
      <alignment horizontal="center" vertical="center"/>
    </xf>
    <xf numFmtId="2" fontId="20" fillId="25" borderId="0" xfId="3" applyNumberFormat="1" applyFont="1" applyFill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30" fillId="10" borderId="2" xfId="6" applyFont="1" applyFill="1" applyBorder="1" applyAlignment="1">
      <alignment horizontal="center"/>
    </xf>
    <xf numFmtId="2" fontId="0" fillId="10" borderId="2" xfId="0" applyNumberFormat="1" applyFill="1" applyBorder="1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3" borderId="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1" fontId="19" fillId="0" borderId="2" xfId="3" applyNumberFormat="1" applyFont="1" applyBorder="1" applyAlignment="1">
      <alignment horizontal="center" vertical="center"/>
    </xf>
    <xf numFmtId="166" fontId="31" fillId="0" borderId="0" xfId="3" applyNumberFormat="1" applyFont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2" fontId="9" fillId="0" borderId="2" xfId="4" applyNumberFormat="1" applyFont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4" fillId="26" borderId="5" xfId="0" applyFont="1" applyFill="1" applyBorder="1" applyAlignment="1">
      <alignment horizontal="center" vertical="center"/>
    </xf>
    <xf numFmtId="0" fontId="4" fillId="26" borderId="13" xfId="0" applyFont="1" applyFill="1" applyBorder="1" applyAlignment="1">
      <alignment horizontal="center" vertical="center"/>
    </xf>
    <xf numFmtId="0" fontId="4" fillId="26" borderId="7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27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2" fontId="10" fillId="0" borderId="0" xfId="4" applyNumberFormat="1" applyFont="1" applyAlignment="1">
      <alignment horizontal="center" vertical="center" wrapText="1"/>
    </xf>
    <xf numFmtId="0" fontId="4" fillId="27" borderId="13" xfId="0" applyFont="1" applyFill="1" applyBorder="1" applyAlignment="1">
      <alignment horizontal="center" vertical="center"/>
    </xf>
    <xf numFmtId="0" fontId="4" fillId="27" borderId="7" xfId="0" applyFont="1" applyFill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/>
    </xf>
    <xf numFmtId="0" fontId="4" fillId="28" borderId="8" xfId="0" applyFont="1" applyFill="1" applyBorder="1" applyAlignment="1">
      <alignment horizontal="center" vertical="center"/>
    </xf>
    <xf numFmtId="0" fontId="0" fillId="10" borderId="2" xfId="0" applyFill="1" applyBorder="1"/>
    <xf numFmtId="0" fontId="17" fillId="0" borderId="0" xfId="5" applyFont="1" applyAlignment="1">
      <alignment vertical="center"/>
    </xf>
    <xf numFmtId="0" fontId="17" fillId="0" borderId="0" xfId="5" applyFont="1" applyAlignment="1">
      <alignment horizontal="left" vertical="center"/>
    </xf>
    <xf numFmtId="0" fontId="20" fillId="0" borderId="0" xfId="5" applyFont="1" applyAlignment="1">
      <alignment horizontal="center" vertical="center"/>
    </xf>
    <xf numFmtId="0" fontId="19" fillId="18" borderId="0" xfId="5" applyFont="1" applyFill="1" applyAlignment="1">
      <alignment horizontal="center" vertical="center"/>
    </xf>
    <xf numFmtId="166" fontId="19" fillId="18" borderId="0" xfId="5" applyNumberFormat="1" applyFont="1" applyFill="1" applyAlignment="1">
      <alignment horizontal="center" vertical="center" wrapText="1"/>
    </xf>
    <xf numFmtId="2" fontId="19" fillId="10" borderId="0" xfId="0" applyNumberFormat="1" applyFont="1" applyFill="1" applyAlignment="1">
      <alignment horizontal="center" vertical="center" wrapText="1"/>
    </xf>
    <xf numFmtId="1" fontId="19" fillId="18" borderId="0" xfId="5" applyNumberFormat="1" applyFont="1" applyFill="1" applyAlignment="1">
      <alignment horizontal="center" vertical="center" wrapText="1"/>
    </xf>
    <xf numFmtId="165" fontId="19" fillId="18" borderId="0" xfId="5" applyNumberFormat="1" applyFont="1" applyFill="1" applyAlignment="1">
      <alignment horizontal="center" vertical="center" wrapText="1"/>
    </xf>
    <xf numFmtId="166" fontId="19" fillId="20" borderId="0" xfId="5" applyNumberFormat="1" applyFont="1" applyFill="1" applyAlignment="1">
      <alignment horizontal="center" vertical="center" wrapText="1"/>
    </xf>
    <xf numFmtId="166" fontId="19" fillId="12" borderId="0" xfId="5" applyNumberFormat="1" applyFont="1" applyFill="1" applyAlignment="1">
      <alignment horizontal="center" vertical="center" wrapText="1"/>
    </xf>
    <xf numFmtId="166" fontId="19" fillId="10" borderId="0" xfId="5" applyNumberFormat="1" applyFont="1" applyFill="1" applyAlignment="1">
      <alignment horizontal="center" vertical="center" wrapText="1"/>
    </xf>
    <xf numFmtId="166" fontId="19" fillId="6" borderId="0" xfId="5" applyNumberFormat="1" applyFont="1" applyFill="1" applyAlignment="1">
      <alignment horizontal="center" vertical="center" wrapText="1"/>
    </xf>
    <xf numFmtId="166" fontId="19" fillId="4" borderId="0" xfId="5" applyNumberFormat="1" applyFont="1" applyFill="1" applyAlignment="1">
      <alignment horizontal="center" vertical="center" wrapText="1"/>
    </xf>
    <xf numFmtId="0" fontId="19" fillId="18" borderId="0" xfId="5" applyFont="1" applyFill="1" applyAlignment="1">
      <alignment horizontal="center" vertical="center" wrapText="1"/>
    </xf>
    <xf numFmtId="165" fontId="22" fillId="18" borderId="0" xfId="5" applyNumberFormat="1" applyFont="1" applyFill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/>
    </xf>
    <xf numFmtId="166" fontId="20" fillId="0" borderId="0" xfId="5" applyNumberFormat="1" applyFont="1" applyAlignment="1">
      <alignment horizontal="center" vertical="center"/>
    </xf>
    <xf numFmtId="1" fontId="20" fillId="0" borderId="0" xfId="5" applyNumberFormat="1" applyFont="1" applyAlignment="1">
      <alignment horizontal="center" vertical="center"/>
    </xf>
    <xf numFmtId="165" fontId="20" fillId="0" borderId="0" xfId="5" applyNumberFormat="1" applyFont="1" applyAlignment="1">
      <alignment horizontal="center" vertical="center"/>
    </xf>
    <xf numFmtId="165" fontId="22" fillId="0" borderId="2" xfId="5" applyNumberFormat="1" applyFont="1" applyBorder="1" applyAlignment="1">
      <alignment horizontal="center" vertical="center"/>
    </xf>
    <xf numFmtId="166" fontId="20" fillId="0" borderId="0" xfId="5" applyNumberFormat="1" applyFont="1" applyAlignment="1">
      <alignment horizontal="left" vertical="center"/>
    </xf>
    <xf numFmtId="169" fontId="20" fillId="0" borderId="0" xfId="5" applyNumberFormat="1" applyFont="1" applyAlignment="1">
      <alignment horizontal="center" vertical="center"/>
    </xf>
    <xf numFmtId="0" fontId="19" fillId="0" borderId="0" xfId="5" applyFont="1" applyAlignment="1">
      <alignment horizontal="center" vertical="center"/>
    </xf>
    <xf numFmtId="167" fontId="21" fillId="0" borderId="5" xfId="3" applyNumberFormat="1" applyFont="1" applyBorder="1" applyAlignment="1">
      <alignment horizontal="center" vertical="center"/>
    </xf>
    <xf numFmtId="166" fontId="21" fillId="0" borderId="2" xfId="2" applyNumberFormat="1" applyFont="1" applyBorder="1" applyAlignment="1">
      <alignment horizontal="left" vertical="center" wrapText="1"/>
    </xf>
    <xf numFmtId="166" fontId="32" fillId="18" borderId="0" xfId="5" applyNumberFormat="1" applyFont="1" applyFill="1" applyAlignment="1">
      <alignment horizontal="center" vertical="center" wrapText="1"/>
    </xf>
    <xf numFmtId="15" fontId="21" fillId="0" borderId="2" xfId="2" applyNumberFormat="1" applyFont="1" applyBorder="1" applyAlignment="1">
      <alignment horizontal="center" vertical="center"/>
    </xf>
    <xf numFmtId="0" fontId="34" fillId="0" borderId="0" xfId="5" applyFont="1" applyAlignment="1">
      <alignment horizontal="center" vertical="center"/>
    </xf>
    <xf numFmtId="165" fontId="19" fillId="0" borderId="2" xfId="5" applyNumberFormat="1" applyFont="1" applyBorder="1" applyAlignment="1">
      <alignment horizontal="center" vertical="center"/>
    </xf>
    <xf numFmtId="0" fontId="17" fillId="29" borderId="0" xfId="5" applyFont="1" applyFill="1" applyAlignment="1">
      <alignment vertical="center"/>
    </xf>
    <xf numFmtId="10" fontId="17" fillId="0" borderId="0" xfId="5" applyNumberFormat="1" applyFont="1" applyAlignment="1">
      <alignment vertical="center"/>
    </xf>
    <xf numFmtId="0" fontId="20" fillId="0" borderId="0" xfId="5" applyFont="1" applyAlignment="1">
      <alignment horizontal="left" vertical="center"/>
    </xf>
    <xf numFmtId="0" fontId="17" fillId="5" borderId="0" xfId="5" applyFont="1" applyFill="1" applyAlignment="1">
      <alignment vertical="center"/>
    </xf>
    <xf numFmtId="10" fontId="20" fillId="0" borderId="0" xfId="5" applyNumberFormat="1" applyFont="1" applyAlignment="1">
      <alignment horizontal="center" vertical="center"/>
    </xf>
    <xf numFmtId="165" fontId="19" fillId="16" borderId="0" xfId="5" applyNumberFormat="1" applyFont="1" applyFill="1" applyAlignment="1">
      <alignment horizontal="center" vertical="center" wrapText="1"/>
    </xf>
    <xf numFmtId="10" fontId="32" fillId="18" borderId="0" xfId="5" applyNumberFormat="1" applyFont="1" applyFill="1" applyAlignment="1">
      <alignment horizontal="center" vertical="center" wrapText="1"/>
    </xf>
    <xf numFmtId="0" fontId="21" fillId="0" borderId="2" xfId="5" applyFont="1" applyBorder="1" applyAlignment="1">
      <alignment horizontal="center" vertical="center"/>
    </xf>
    <xf numFmtId="166" fontId="21" fillId="0" borderId="2" xfId="3" applyNumberFormat="1" applyFont="1" applyBorder="1" applyAlignment="1">
      <alignment horizontal="center" vertical="center"/>
    </xf>
    <xf numFmtId="165" fontId="21" fillId="10" borderId="2" xfId="5" applyNumberFormat="1" applyFont="1" applyFill="1" applyBorder="1" applyAlignment="1">
      <alignment horizontal="center" vertical="center"/>
    </xf>
    <xf numFmtId="165" fontId="21" fillId="0" borderId="2" xfId="5" applyNumberFormat="1" applyFont="1" applyBorder="1" applyAlignment="1">
      <alignment horizontal="center" vertical="center"/>
    </xf>
    <xf numFmtId="10" fontId="21" fillId="0" borderId="2" xfId="3" applyNumberFormat="1" applyFont="1" applyBorder="1" applyAlignment="1">
      <alignment horizontal="center" vertical="center"/>
    </xf>
    <xf numFmtId="166" fontId="21" fillId="0" borderId="2" xfId="5" applyNumberFormat="1" applyFont="1" applyBorder="1" applyAlignment="1">
      <alignment horizontal="center" vertical="center"/>
    </xf>
    <xf numFmtId="166" fontId="21" fillId="0" borderId="2" xfId="2" applyNumberFormat="1" applyFont="1" applyBorder="1" applyAlignment="1">
      <alignment horizontal="left" vertical="center"/>
    </xf>
    <xf numFmtId="166" fontId="21" fillId="0" borderId="0" xfId="3" applyNumberFormat="1" applyFont="1" applyAlignment="1">
      <alignment horizontal="center" vertical="center" wrapText="1"/>
    </xf>
    <xf numFmtId="0" fontId="21" fillId="0" borderId="0" xfId="5" applyFont="1" applyAlignment="1">
      <alignment horizontal="center" vertical="center"/>
    </xf>
    <xf numFmtId="2" fontId="19" fillId="10" borderId="0" xfId="5" applyNumberFormat="1" applyFont="1" applyFill="1" applyAlignment="1">
      <alignment horizontal="center" vertical="center" wrapText="1"/>
    </xf>
    <xf numFmtId="2" fontId="20" fillId="0" borderId="0" xfId="5" applyNumberFormat="1" applyFont="1" applyAlignment="1">
      <alignment horizontal="center" vertical="center"/>
    </xf>
    <xf numFmtId="165" fontId="21" fillId="0" borderId="0" xfId="5" applyNumberFormat="1" applyFont="1" applyAlignment="1">
      <alignment horizontal="center" vertical="center"/>
    </xf>
    <xf numFmtId="14" fontId="21" fillId="0" borderId="0" xfId="5" applyNumberFormat="1" applyFont="1" applyAlignment="1">
      <alignment horizontal="center" vertical="center"/>
    </xf>
    <xf numFmtId="165" fontId="19" fillId="7" borderId="0" xfId="5" applyNumberFormat="1" applyFont="1" applyFill="1" applyAlignment="1">
      <alignment horizontal="center" vertical="center" wrapText="1"/>
    </xf>
    <xf numFmtId="166" fontId="19" fillId="2" borderId="0" xfId="5" applyNumberFormat="1" applyFont="1" applyFill="1" applyAlignment="1">
      <alignment horizontal="center" vertical="center" wrapText="1"/>
    </xf>
    <xf numFmtId="0" fontId="20" fillId="0" borderId="0" xfId="5" applyFont="1" applyAlignment="1">
      <alignment horizontal="center" vertical="center" wrapText="1"/>
    </xf>
    <xf numFmtId="0" fontId="20" fillId="28" borderId="0" xfId="5" applyFont="1" applyFill="1" applyAlignment="1">
      <alignment horizontal="center" vertical="center" wrapText="1"/>
    </xf>
    <xf numFmtId="0" fontId="37" fillId="7" borderId="0" xfId="5" applyFont="1" applyFill="1" applyAlignment="1">
      <alignment horizontal="left" vertical="center"/>
    </xf>
    <xf numFmtId="0" fontId="20" fillId="7" borderId="0" xfId="5" applyFont="1" applyFill="1" applyAlignment="1">
      <alignment horizontal="center" vertical="center"/>
    </xf>
    <xf numFmtId="166" fontId="20" fillId="7" borderId="0" xfId="5" applyNumberFormat="1" applyFont="1" applyFill="1" applyAlignment="1">
      <alignment horizontal="center" vertical="center"/>
    </xf>
    <xf numFmtId="2" fontId="20" fillId="7" borderId="0" xfId="5" applyNumberFormat="1" applyFont="1" applyFill="1" applyAlignment="1">
      <alignment horizontal="center" vertical="center"/>
    </xf>
    <xf numFmtId="1" fontId="20" fillId="7" borderId="0" xfId="5" applyNumberFormat="1" applyFont="1" applyFill="1" applyAlignment="1">
      <alignment horizontal="center" vertical="center"/>
    </xf>
    <xf numFmtId="165" fontId="20" fillId="7" borderId="0" xfId="5" applyNumberFormat="1" applyFont="1" applyFill="1" applyAlignment="1">
      <alignment horizontal="center" vertical="center"/>
    </xf>
    <xf numFmtId="165" fontId="21" fillId="7" borderId="0" xfId="5" applyNumberFormat="1" applyFont="1" applyFill="1" applyAlignment="1">
      <alignment horizontal="center" vertical="center"/>
    </xf>
    <xf numFmtId="0" fontId="22" fillId="0" borderId="0" xfId="3" applyFont="1" applyAlignment="1">
      <alignment horizontal="left" vertical="center"/>
    </xf>
    <xf numFmtId="1" fontId="21" fillId="0" borderId="0" xfId="5" applyNumberFormat="1" applyFont="1" applyAlignment="1">
      <alignment horizontal="center" vertical="center"/>
    </xf>
    <xf numFmtId="15" fontId="21" fillId="0" borderId="0" xfId="5" applyNumberFormat="1" applyFont="1" applyAlignment="1">
      <alignment horizontal="center" vertical="center"/>
    </xf>
    <xf numFmtId="2" fontId="21" fillId="0" borderId="0" xfId="5" applyNumberFormat="1" applyFont="1" applyAlignment="1">
      <alignment horizontal="center" vertical="center"/>
    </xf>
    <xf numFmtId="165" fontId="22" fillId="0" borderId="0" xfId="3" applyNumberFormat="1" applyFont="1" applyAlignment="1">
      <alignment horizontal="center" vertical="center"/>
    </xf>
    <xf numFmtId="165" fontId="21" fillId="0" borderId="0" xfId="5" applyNumberFormat="1" applyFont="1" applyAlignment="1">
      <alignment horizontal="center" vertical="center" wrapText="1"/>
    </xf>
    <xf numFmtId="1" fontId="21" fillId="0" borderId="0" xfId="3" applyNumberFormat="1" applyFont="1" applyAlignment="1">
      <alignment horizontal="center" vertical="center" wrapText="1"/>
    </xf>
    <xf numFmtId="0" fontId="21" fillId="0" borderId="0" xfId="3" quotePrefix="1" applyFont="1" applyAlignment="1">
      <alignment horizontal="center" vertical="center" wrapText="1"/>
    </xf>
    <xf numFmtId="1" fontId="21" fillId="0" borderId="0" xfId="5" applyNumberFormat="1" applyFont="1" applyAlignment="1">
      <alignment horizontal="center" vertical="center" wrapText="1"/>
    </xf>
    <xf numFmtId="166" fontId="21" fillId="0" borderId="0" xfId="5" applyNumberFormat="1" applyFont="1" applyAlignment="1">
      <alignment horizontal="center" vertical="center"/>
    </xf>
    <xf numFmtId="166" fontId="21" fillId="0" borderId="0" xfId="2" applyNumberFormat="1" applyFont="1" applyAlignment="1">
      <alignment horizontal="left" vertical="center" wrapText="1"/>
    </xf>
    <xf numFmtId="16" fontId="25" fillId="0" borderId="0" xfId="2" applyNumberFormat="1" applyFont="1" applyAlignment="1">
      <alignment horizontal="center" vertical="center" wrapText="1"/>
    </xf>
    <xf numFmtId="167" fontId="21" fillId="0" borderId="0" xfId="2" applyNumberFormat="1" applyFont="1" applyAlignment="1">
      <alignment horizontal="center" vertical="center" wrapText="1"/>
    </xf>
    <xf numFmtId="0" fontId="21" fillId="0" borderId="0" xfId="2" applyFont="1" applyAlignment="1">
      <alignment horizontal="center" vertical="center"/>
    </xf>
    <xf numFmtId="15" fontId="21" fillId="0" borderId="0" xfId="2" applyNumberFormat="1" applyFont="1" applyAlignment="1">
      <alignment horizontal="center" vertical="center"/>
    </xf>
    <xf numFmtId="165" fontId="21" fillId="0" borderId="0" xfId="2" applyNumberFormat="1" applyFont="1" applyAlignment="1">
      <alignment horizontal="center" vertical="center"/>
    </xf>
    <xf numFmtId="15" fontId="21" fillId="0" borderId="2" xfId="5" applyNumberFormat="1" applyFont="1" applyBorder="1" applyAlignment="1">
      <alignment horizontal="center" vertical="center"/>
    </xf>
    <xf numFmtId="1" fontId="21" fillId="0" borderId="2" xfId="5" applyNumberFormat="1" applyFont="1" applyBorder="1" applyAlignment="1">
      <alignment horizontal="center" vertical="center"/>
    </xf>
    <xf numFmtId="0" fontId="38" fillId="0" borderId="2" xfId="5" applyFont="1" applyBorder="1" applyAlignment="1">
      <alignment horizontal="center" vertical="center"/>
    </xf>
    <xf numFmtId="0" fontId="20" fillId="0" borderId="2" xfId="5" applyFont="1" applyBorder="1" applyAlignment="1">
      <alignment horizontal="center" vertical="center"/>
    </xf>
    <xf numFmtId="0" fontId="21" fillId="3" borderId="2" xfId="3" quotePrefix="1" applyFont="1" applyFill="1" applyBorder="1" applyAlignment="1">
      <alignment horizontal="center" vertical="center" wrapText="1"/>
    </xf>
    <xf numFmtId="1" fontId="21" fillId="0" borderId="2" xfId="5" applyNumberFormat="1" applyFont="1" applyBorder="1" applyAlignment="1">
      <alignment horizontal="center" vertical="center" wrapText="1"/>
    </xf>
    <xf numFmtId="16" fontId="25" fillId="0" borderId="2" xfId="2" applyNumberFormat="1" applyFont="1" applyBorder="1" applyAlignment="1">
      <alignment horizontal="center" vertical="center" wrapText="1"/>
    </xf>
    <xf numFmtId="167" fontId="21" fillId="0" borderId="2" xfId="2" applyNumberFormat="1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/>
    </xf>
    <xf numFmtId="165" fontId="21" fillId="0" borderId="2" xfId="2" applyNumberFormat="1" applyFont="1" applyBorder="1" applyAlignment="1">
      <alignment horizontal="center" vertical="center"/>
    </xf>
    <xf numFmtId="166" fontId="21" fillId="3" borderId="2" xfId="3" applyNumberFormat="1" applyFont="1" applyFill="1" applyBorder="1" applyAlignment="1">
      <alignment horizontal="center" vertical="center" wrapText="1"/>
    </xf>
    <xf numFmtId="165" fontId="21" fillId="0" borderId="2" xfId="5" applyNumberFormat="1" applyFont="1" applyBorder="1" applyAlignment="1">
      <alignment horizontal="center" vertical="center" wrapText="1"/>
    </xf>
    <xf numFmtId="166" fontId="21" fillId="0" borderId="2" xfId="5" applyNumberFormat="1" applyFont="1" applyBorder="1" applyAlignment="1">
      <alignment horizontal="left" vertical="center"/>
    </xf>
    <xf numFmtId="0" fontId="39" fillId="0" borderId="2" xfId="4" applyFont="1" applyBorder="1" applyAlignment="1">
      <alignment horizontal="center" vertical="center"/>
    </xf>
    <xf numFmtId="166" fontId="21" fillId="0" borderId="2" xfId="5" applyNumberFormat="1" applyFont="1" applyBorder="1" applyAlignment="1">
      <alignment horizontal="center" vertical="center" wrapText="1"/>
    </xf>
    <xf numFmtId="15" fontId="33" fillId="0" borderId="0" xfId="5" applyNumberFormat="1" applyFont="1" applyAlignment="1">
      <alignment horizontal="center" vertical="center"/>
    </xf>
    <xf numFmtId="1" fontId="33" fillId="0" borderId="0" xfId="5" applyNumberFormat="1" applyFont="1" applyAlignment="1">
      <alignment horizontal="center" vertical="center"/>
    </xf>
    <xf numFmtId="0" fontId="33" fillId="0" borderId="0" xfId="5" applyFont="1" applyAlignment="1">
      <alignment horizontal="center" vertical="center"/>
    </xf>
    <xf numFmtId="2" fontId="33" fillId="0" borderId="0" xfId="5" applyNumberFormat="1" applyFont="1" applyAlignment="1">
      <alignment horizontal="center" vertical="center"/>
    </xf>
    <xf numFmtId="165" fontId="22" fillId="0" borderId="0" xfId="5" applyNumberFormat="1" applyFont="1" applyAlignment="1">
      <alignment horizontal="center" vertical="center" wrapText="1"/>
    </xf>
    <xf numFmtId="165" fontId="33" fillId="0" borderId="0" xfId="5" applyNumberFormat="1" applyFont="1" applyAlignment="1">
      <alignment horizontal="center" vertical="center" wrapText="1"/>
    </xf>
    <xf numFmtId="1" fontId="33" fillId="0" borderId="0" xfId="3" applyNumberFormat="1" applyFont="1" applyAlignment="1">
      <alignment horizontal="center" vertical="center" wrapText="1"/>
    </xf>
    <xf numFmtId="0" fontId="33" fillId="0" borderId="0" xfId="3" quotePrefix="1" applyFont="1" applyAlignment="1">
      <alignment horizontal="center" vertical="center" wrapText="1"/>
    </xf>
    <xf numFmtId="1" fontId="33" fillId="0" borderId="0" xfId="5" applyNumberFormat="1" applyFont="1" applyAlignment="1">
      <alignment horizontal="center" vertical="center" wrapText="1"/>
    </xf>
    <xf numFmtId="166" fontId="33" fillId="0" borderId="0" xfId="5" applyNumberFormat="1" applyFont="1" applyAlignment="1">
      <alignment horizontal="center" vertical="center"/>
    </xf>
    <xf numFmtId="166" fontId="33" fillId="0" borderId="0" xfId="2" applyNumberFormat="1" applyFont="1" applyAlignment="1">
      <alignment horizontal="left" vertical="center" wrapText="1"/>
    </xf>
    <xf numFmtId="16" fontId="35" fillId="0" borderId="0" xfId="2" applyNumberFormat="1" applyFont="1" applyAlignment="1">
      <alignment horizontal="center" vertical="center" wrapText="1"/>
    </xf>
    <xf numFmtId="167" fontId="33" fillId="0" borderId="0" xfId="2" applyNumberFormat="1" applyFont="1" applyAlignment="1">
      <alignment horizontal="center" vertical="center" wrapText="1"/>
    </xf>
    <xf numFmtId="0" fontId="33" fillId="0" borderId="0" xfId="2" applyFont="1" applyAlignment="1">
      <alignment horizontal="center" vertical="center"/>
    </xf>
    <xf numFmtId="15" fontId="33" fillId="0" borderId="0" xfId="2" applyNumberFormat="1" applyFont="1" applyAlignment="1">
      <alignment horizontal="center" vertical="center"/>
    </xf>
    <xf numFmtId="165" fontId="33" fillId="0" borderId="0" xfId="2" applyNumberFormat="1" applyFont="1" applyAlignment="1">
      <alignment horizontal="center" vertical="center"/>
    </xf>
    <xf numFmtId="15" fontId="22" fillId="0" borderId="0" xfId="5" applyNumberFormat="1" applyFont="1" applyAlignment="1">
      <alignment horizontal="left" vertical="center"/>
    </xf>
    <xf numFmtId="0" fontId="21" fillId="0" borderId="2" xfId="3" quotePrefix="1" applyFont="1" applyBorder="1" applyAlignment="1">
      <alignment horizontal="center" vertical="center" wrapText="1"/>
    </xf>
    <xf numFmtId="165" fontId="21" fillId="21" borderId="2" xfId="5" applyNumberFormat="1" applyFont="1" applyFill="1" applyBorder="1" applyAlignment="1">
      <alignment horizontal="center" vertical="center"/>
    </xf>
    <xf numFmtId="0" fontId="39" fillId="0" borderId="0" xfId="4" applyFont="1" applyAlignment="1">
      <alignment horizontal="center" vertical="center"/>
    </xf>
    <xf numFmtId="0" fontId="17" fillId="7" borderId="0" xfId="5" applyFont="1" applyFill="1" applyAlignment="1">
      <alignment horizontal="left" vertical="center"/>
    </xf>
    <xf numFmtId="166" fontId="21" fillId="0" borderId="0" xfId="2" applyNumberFormat="1" applyFont="1" applyAlignment="1">
      <alignment horizontal="center" vertical="center" wrapText="1"/>
    </xf>
    <xf numFmtId="15" fontId="22" fillId="0" borderId="0" xfId="5" applyNumberFormat="1" applyFont="1" applyAlignment="1">
      <alignment vertical="center"/>
    </xf>
    <xf numFmtId="0" fontId="21" fillId="0" borderId="2" xfId="3" applyFont="1" applyBorder="1" applyAlignment="1">
      <alignment horizontal="center" vertical="center" wrapText="1"/>
    </xf>
    <xf numFmtId="0" fontId="40" fillId="0" borderId="2" xfId="5" applyFont="1" applyBorder="1" applyAlignment="1">
      <alignment horizontal="center" vertical="center"/>
    </xf>
    <xf numFmtId="165" fontId="21" fillId="0" borderId="2" xfId="5" applyNumberFormat="1" applyFont="1" applyBorder="1" applyAlignment="1">
      <alignment vertical="center" wrapText="1"/>
    </xf>
    <xf numFmtId="165" fontId="21" fillId="0" borderId="5" xfId="5" applyNumberFormat="1" applyFont="1" applyBorder="1" applyAlignment="1">
      <alignment vertical="center" wrapText="1"/>
    </xf>
    <xf numFmtId="0" fontId="41" fillId="0" borderId="2" xfId="3" quotePrefix="1" applyFont="1" applyBorder="1" applyAlignment="1">
      <alignment horizontal="center" vertical="center" wrapText="1"/>
    </xf>
    <xf numFmtId="15" fontId="21" fillId="12" borderId="2" xfId="5" applyNumberFormat="1" applyFont="1" applyFill="1" applyBorder="1" applyAlignment="1">
      <alignment horizontal="center" vertical="center"/>
    </xf>
    <xf numFmtId="165" fontId="21" fillId="0" borderId="13" xfId="5" applyNumberFormat="1" applyFont="1" applyBorder="1" applyAlignment="1">
      <alignment vertical="center" wrapText="1"/>
    </xf>
    <xf numFmtId="165" fontId="21" fillId="0" borderId="7" xfId="5" applyNumberFormat="1" applyFont="1" applyBorder="1" applyAlignment="1">
      <alignment vertical="center" wrapText="1"/>
    </xf>
    <xf numFmtId="16" fontId="21" fillId="0" borderId="0" xfId="5" applyNumberFormat="1" applyFont="1" applyAlignment="1">
      <alignment horizontal="center" vertical="center"/>
    </xf>
    <xf numFmtId="0" fontId="38" fillId="0" borderId="0" xfId="5" applyFont="1" applyAlignment="1">
      <alignment horizontal="center" vertical="center"/>
    </xf>
    <xf numFmtId="165" fontId="22" fillId="0" borderId="0" xfId="5" applyNumberFormat="1" applyFont="1" applyAlignment="1">
      <alignment horizontal="center" vertical="center"/>
    </xf>
    <xf numFmtId="0" fontId="21" fillId="0" borderId="0" xfId="5" applyFont="1" applyAlignment="1">
      <alignment horizontal="left" vertical="center" wrapText="1"/>
    </xf>
    <xf numFmtId="165" fontId="21" fillId="0" borderId="0" xfId="5" applyNumberFormat="1" applyFont="1" applyAlignment="1">
      <alignment horizontal="left" vertical="center"/>
    </xf>
    <xf numFmtId="16" fontId="25" fillId="0" borderId="0" xfId="5" applyNumberFormat="1" applyFont="1" applyAlignment="1">
      <alignment horizontal="center" vertical="center" wrapText="1"/>
    </xf>
    <xf numFmtId="168" fontId="21" fillId="0" borderId="0" xfId="5" applyNumberFormat="1" applyFont="1" applyAlignment="1">
      <alignment horizontal="center" vertical="center"/>
    </xf>
    <xf numFmtId="16" fontId="20" fillId="0" borderId="0" xfId="5" applyNumberFormat="1" applyFont="1" applyAlignment="1">
      <alignment horizontal="center" vertical="center"/>
    </xf>
    <xf numFmtId="165" fontId="19" fillId="0" borderId="0" xfId="5" applyNumberFormat="1" applyFont="1" applyAlignment="1">
      <alignment horizontal="center" vertical="center"/>
    </xf>
    <xf numFmtId="166" fontId="21" fillId="0" borderId="0" xfId="5" applyNumberFormat="1" applyFont="1" applyAlignment="1">
      <alignment horizontal="left" vertical="center" wrapText="1"/>
    </xf>
    <xf numFmtId="167" fontId="21" fillId="0" borderId="0" xfId="5" applyNumberFormat="1" applyFont="1" applyAlignment="1">
      <alignment horizontal="center" vertical="center" wrapText="1"/>
    </xf>
    <xf numFmtId="166" fontId="21" fillId="0" borderId="0" xfId="3" applyNumberFormat="1" applyFont="1" applyAlignment="1">
      <alignment horizontal="center" vertical="center"/>
    </xf>
    <xf numFmtId="10" fontId="21" fillId="0" borderId="0" xfId="3" applyNumberFormat="1" applyFont="1" applyAlignment="1">
      <alignment horizontal="center" vertical="center"/>
    </xf>
    <xf numFmtId="0" fontId="19" fillId="0" borderId="0" xfId="5" applyFont="1" applyAlignment="1">
      <alignment horizontal="left" vertical="center"/>
    </xf>
    <xf numFmtId="0" fontId="30" fillId="7" borderId="2" xfId="6" applyFont="1" applyFill="1" applyBorder="1" applyAlignment="1">
      <alignment horizontal="center" vertical="center"/>
    </xf>
    <xf numFmtId="0" fontId="30" fillId="3" borderId="2" xfId="6" applyFont="1" applyFill="1" applyBorder="1" applyAlignment="1">
      <alignment horizontal="center"/>
    </xf>
    <xf numFmtId="0" fontId="4" fillId="8" borderId="5" xfId="0" applyFont="1" applyFill="1" applyBorder="1" applyAlignment="1">
      <alignment vertical="center"/>
    </xf>
    <xf numFmtId="0" fontId="0" fillId="18" borderId="2" xfId="0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67" fontId="29" fillId="0" borderId="0" xfId="5" applyNumberFormat="1" applyFont="1" applyAlignment="1">
      <alignment horizontal="center" vertical="center"/>
    </xf>
    <xf numFmtId="1" fontId="0" fillId="0" borderId="2" xfId="0" applyNumberFormat="1" applyBorder="1"/>
    <xf numFmtId="0" fontId="0" fillId="30" borderId="5" xfId="0" applyFill="1" applyBorder="1" applyAlignment="1">
      <alignment horizontal="center" vertical="center"/>
    </xf>
    <xf numFmtId="0" fontId="0" fillId="30" borderId="13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28" borderId="5" xfId="0" applyFont="1" applyFill="1" applyBorder="1" applyAlignment="1">
      <alignment horizontal="center" vertical="center"/>
    </xf>
    <xf numFmtId="0" fontId="4" fillId="28" borderId="13" xfId="0" applyFont="1" applyFill="1" applyBorder="1" applyAlignment="1">
      <alignment horizontal="center" vertical="center"/>
    </xf>
    <xf numFmtId="0" fontId="4" fillId="28" borderId="7" xfId="0" applyFont="1" applyFill="1" applyBorder="1" applyAlignment="1">
      <alignment horizontal="center" vertical="center"/>
    </xf>
    <xf numFmtId="0" fontId="20" fillId="10" borderId="2" xfId="5" applyFont="1" applyFill="1" applyBorder="1" applyAlignment="1">
      <alignment horizontal="center" vertical="center"/>
    </xf>
    <xf numFmtId="0" fontId="19" fillId="3" borderId="0" xfId="5" applyFont="1" applyFill="1" applyAlignment="1">
      <alignment horizontal="left" vertical="center"/>
    </xf>
    <xf numFmtId="0" fontId="20" fillId="3" borderId="0" xfId="5" applyFont="1" applyFill="1" applyAlignment="1">
      <alignment horizontal="center" vertical="center"/>
    </xf>
    <xf numFmtId="0" fontId="22" fillId="0" borderId="0" xfId="5" applyFont="1" applyAlignment="1">
      <alignment horizontal="center" vertical="center"/>
    </xf>
    <xf numFmtId="0" fontId="19" fillId="19" borderId="0" xfId="5" applyFont="1" applyFill="1" applyAlignment="1">
      <alignment horizontal="center" vertical="center"/>
    </xf>
    <xf numFmtId="0" fontId="19" fillId="0" borderId="0" xfId="5" applyFont="1" applyAlignment="1">
      <alignment horizontal="center" vertical="center" wrapText="1"/>
    </xf>
    <xf numFmtId="0" fontId="21" fillId="0" borderId="2" xfId="5" applyFont="1" applyBorder="1" applyAlignment="1">
      <alignment horizontal="left" vertical="center" wrapText="1"/>
    </xf>
    <xf numFmtId="166" fontId="21" fillId="0" borderId="2" xfId="5" applyNumberFormat="1" applyFont="1" applyBorder="1" applyAlignment="1">
      <alignment horizontal="left" vertical="center" wrapText="1"/>
    </xf>
    <xf numFmtId="16" fontId="25" fillId="0" borderId="2" xfId="5" applyNumberFormat="1" applyFont="1" applyBorder="1" applyAlignment="1">
      <alignment horizontal="center" vertical="center" wrapText="1"/>
    </xf>
    <xf numFmtId="167" fontId="21" fillId="0" borderId="2" xfId="5" applyNumberFormat="1" applyFont="1" applyBorder="1" applyAlignment="1">
      <alignment horizontal="center" vertical="center" wrapText="1"/>
    </xf>
    <xf numFmtId="167" fontId="21" fillId="0" borderId="0" xfId="5" applyNumberFormat="1" applyFont="1" applyAlignment="1">
      <alignment horizontal="center" vertical="center"/>
    </xf>
    <xf numFmtId="0" fontId="42" fillId="0" borderId="2" xfId="5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0" borderId="0" xfId="0" applyFont="1" applyAlignment="1">
      <alignment horizontal="center" wrapText="1"/>
    </xf>
    <xf numFmtId="166" fontId="29" fillId="0" borderId="2" xfId="2" applyNumberFormat="1" applyFont="1" applyBorder="1" applyAlignment="1">
      <alignment horizontal="left" vertical="center" wrapText="1"/>
    </xf>
    <xf numFmtId="166" fontId="43" fillId="0" borderId="2" xfId="2" applyNumberFormat="1" applyFont="1" applyBorder="1" applyAlignment="1">
      <alignment horizontal="left" vertical="center" wrapText="1"/>
    </xf>
    <xf numFmtId="0" fontId="44" fillId="0" borderId="15" xfId="0" applyFont="1" applyBorder="1" applyAlignment="1">
      <alignment vertical="center"/>
    </xf>
    <xf numFmtId="0" fontId="21" fillId="0" borderId="0" xfId="2" applyFont="1" applyAlignment="1">
      <alignment horizontal="left" vertical="center"/>
    </xf>
    <xf numFmtId="2" fontId="21" fillId="4" borderId="2" xfId="5" applyNumberFormat="1" applyFont="1" applyFill="1" applyBorder="1" applyAlignment="1">
      <alignment horizontal="center" vertical="center"/>
    </xf>
    <xf numFmtId="165" fontId="21" fillId="4" borderId="2" xfId="5" applyNumberFormat="1" applyFont="1" applyFill="1" applyBorder="1" applyAlignment="1">
      <alignment horizontal="center" vertical="center"/>
    </xf>
    <xf numFmtId="166" fontId="21" fillId="4" borderId="2" xfId="3" applyNumberFormat="1" applyFont="1" applyFill="1" applyBorder="1" applyAlignment="1">
      <alignment horizontal="center" vertical="center" wrapText="1"/>
    </xf>
    <xf numFmtId="1" fontId="21" fillId="0" borderId="2" xfId="5" applyNumberFormat="1" applyFont="1" applyBorder="1" applyAlignment="1">
      <alignment horizontal="left" vertical="center" wrapText="1"/>
    </xf>
    <xf numFmtId="166" fontId="21" fillId="0" borderId="2" xfId="2" applyNumberFormat="1" applyFont="1" applyBorder="1" applyAlignment="1">
      <alignment horizontal="center" vertical="center" wrapText="1"/>
    </xf>
    <xf numFmtId="165" fontId="0" fillId="0" borderId="2" xfId="0" applyNumberFormat="1" applyBorder="1"/>
    <xf numFmtId="165" fontId="0" fillId="10" borderId="2" xfId="0" applyNumberFormat="1" applyFill="1" applyBorder="1"/>
    <xf numFmtId="165" fontId="0" fillId="3" borderId="2" xfId="0" applyNumberFormat="1" applyFill="1" applyBorder="1"/>
    <xf numFmtId="0" fontId="19" fillId="4" borderId="0" xfId="5" applyFont="1" applyFill="1" applyAlignment="1">
      <alignment horizontal="center" vertical="center" wrapText="1"/>
    </xf>
    <xf numFmtId="0" fontId="45" fillId="7" borderId="0" xfId="5" applyFont="1" applyFill="1" applyAlignment="1">
      <alignment horizontal="center" vertical="center"/>
    </xf>
    <xf numFmtId="2" fontId="45" fillId="7" borderId="0" xfId="5" applyNumberFormat="1" applyFont="1" applyFill="1" applyAlignment="1">
      <alignment horizontal="center" vertical="center"/>
    </xf>
    <xf numFmtId="1" fontId="45" fillId="7" borderId="0" xfId="5" applyNumberFormat="1" applyFont="1" applyFill="1" applyAlignment="1">
      <alignment horizontal="center" vertical="center"/>
    </xf>
    <xf numFmtId="165" fontId="45" fillId="7" borderId="0" xfId="5" applyNumberFormat="1" applyFont="1" applyFill="1" applyAlignment="1">
      <alignment horizontal="center" vertical="center"/>
    </xf>
    <xf numFmtId="166" fontId="45" fillId="7" borderId="0" xfId="5" applyNumberFormat="1" applyFont="1" applyFill="1" applyAlignment="1">
      <alignment horizontal="center" vertical="center"/>
    </xf>
    <xf numFmtId="0" fontId="45" fillId="0" borderId="0" xfId="5" applyFont="1" applyAlignment="1">
      <alignment horizontal="center" vertical="center"/>
    </xf>
    <xf numFmtId="166" fontId="45" fillId="0" borderId="0" xfId="5" applyNumberFormat="1" applyFont="1" applyAlignment="1">
      <alignment horizontal="center" vertical="center"/>
    </xf>
    <xf numFmtId="2" fontId="45" fillId="0" borderId="0" xfId="5" applyNumberFormat="1" applyFont="1" applyAlignment="1">
      <alignment horizontal="center" vertical="center"/>
    </xf>
    <xf numFmtId="1" fontId="45" fillId="0" borderId="0" xfId="5" applyNumberFormat="1" applyFont="1" applyAlignment="1">
      <alignment horizontal="center" vertical="center"/>
    </xf>
    <xf numFmtId="165" fontId="46" fillId="0" borderId="0" xfId="5" applyNumberFormat="1" applyFont="1" applyAlignment="1">
      <alignment horizontal="center" vertical="center"/>
    </xf>
    <xf numFmtId="165" fontId="45" fillId="0" borderId="0" xfId="5" applyNumberFormat="1" applyFont="1" applyAlignment="1">
      <alignment horizontal="center" vertical="center"/>
    </xf>
    <xf numFmtId="0" fontId="21" fillId="5" borderId="0" xfId="3" applyFont="1" applyFill="1" applyAlignment="1">
      <alignment horizontal="center" vertical="center"/>
    </xf>
    <xf numFmtId="0" fontId="21" fillId="5" borderId="2" xfId="3" applyFont="1" applyFill="1" applyBorder="1" applyAlignment="1">
      <alignment horizontal="center" vertical="center"/>
    </xf>
    <xf numFmtId="0" fontId="21" fillId="5" borderId="2" xfId="5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2" fontId="21" fillId="5" borderId="2" xfId="3" applyNumberFormat="1" applyFont="1" applyFill="1" applyBorder="1" applyAlignment="1">
      <alignment horizontal="center" vertical="center"/>
    </xf>
    <xf numFmtId="166" fontId="21" fillId="5" borderId="2" xfId="3" applyNumberFormat="1" applyFont="1" applyFill="1" applyBorder="1" applyAlignment="1">
      <alignment horizontal="center" vertical="center"/>
    </xf>
    <xf numFmtId="165" fontId="21" fillId="5" borderId="2" xfId="5" applyNumberFormat="1" applyFont="1" applyFill="1" applyBorder="1" applyAlignment="1">
      <alignment horizontal="center" vertical="center"/>
    </xf>
    <xf numFmtId="165" fontId="21" fillId="5" borderId="2" xfId="3" applyNumberFormat="1" applyFont="1" applyFill="1" applyBorder="1" applyAlignment="1">
      <alignment horizontal="center" vertical="center"/>
    </xf>
    <xf numFmtId="10" fontId="21" fillId="5" borderId="2" xfId="3" applyNumberFormat="1" applyFont="1" applyFill="1" applyBorder="1" applyAlignment="1">
      <alignment horizontal="center" vertical="center"/>
    </xf>
    <xf numFmtId="1" fontId="21" fillId="5" borderId="2" xfId="3" applyNumberFormat="1" applyFont="1" applyFill="1" applyBorder="1" applyAlignment="1">
      <alignment horizontal="center" vertical="center"/>
    </xf>
    <xf numFmtId="166" fontId="21" fillId="5" borderId="2" xfId="5" applyNumberFormat="1" applyFont="1" applyFill="1" applyBorder="1" applyAlignment="1">
      <alignment horizontal="center" vertical="center"/>
    </xf>
    <xf numFmtId="15" fontId="21" fillId="5" borderId="2" xfId="2" applyNumberFormat="1" applyFont="1" applyFill="1" applyBorder="1" applyAlignment="1">
      <alignment horizontal="center" vertical="center"/>
    </xf>
    <xf numFmtId="166" fontId="21" fillId="5" borderId="2" xfId="2" applyNumberFormat="1" applyFont="1" applyFill="1" applyBorder="1" applyAlignment="1">
      <alignment horizontal="left" vertical="center" wrapText="1"/>
    </xf>
    <xf numFmtId="166" fontId="21" fillId="5" borderId="2" xfId="2" applyNumberFormat="1" applyFont="1" applyFill="1" applyBorder="1" applyAlignment="1">
      <alignment horizontal="left" vertical="center"/>
    </xf>
    <xf numFmtId="16" fontId="25" fillId="5" borderId="2" xfId="3" applyNumberFormat="1" applyFont="1" applyFill="1" applyBorder="1" applyAlignment="1">
      <alignment horizontal="center" vertical="center" wrapText="1"/>
    </xf>
    <xf numFmtId="167" fontId="21" fillId="5" borderId="2" xfId="3" applyNumberFormat="1" applyFont="1" applyFill="1" applyBorder="1" applyAlignment="1">
      <alignment horizontal="center" vertical="center" wrapText="1"/>
    </xf>
    <xf numFmtId="15" fontId="21" fillId="5" borderId="2" xfId="3" applyNumberFormat="1" applyFont="1" applyFill="1" applyBorder="1" applyAlignment="1">
      <alignment horizontal="center" vertical="center"/>
    </xf>
    <xf numFmtId="0" fontId="21" fillId="11" borderId="0" xfId="3" applyFont="1" applyFill="1" applyAlignment="1">
      <alignment horizontal="center" vertical="center"/>
    </xf>
    <xf numFmtId="0" fontId="21" fillId="11" borderId="2" xfId="3" applyFont="1" applyFill="1" applyBorder="1" applyAlignment="1">
      <alignment horizontal="center" vertical="center"/>
    </xf>
    <xf numFmtId="0" fontId="21" fillId="11" borderId="2" xfId="5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2" fontId="21" fillId="11" borderId="2" xfId="3" applyNumberFormat="1" applyFont="1" applyFill="1" applyBorder="1" applyAlignment="1">
      <alignment horizontal="center" vertical="center"/>
    </xf>
    <xf numFmtId="166" fontId="21" fillId="11" borderId="2" xfId="3" applyNumberFormat="1" applyFont="1" applyFill="1" applyBorder="1" applyAlignment="1">
      <alignment horizontal="center" vertical="center"/>
    </xf>
    <xf numFmtId="165" fontId="21" fillId="11" borderId="2" xfId="5" applyNumberFormat="1" applyFont="1" applyFill="1" applyBorder="1" applyAlignment="1">
      <alignment horizontal="center" vertical="center"/>
    </xf>
    <xf numFmtId="165" fontId="21" fillId="11" borderId="2" xfId="3" applyNumberFormat="1" applyFont="1" applyFill="1" applyBorder="1" applyAlignment="1">
      <alignment horizontal="center" vertical="center"/>
    </xf>
    <xf numFmtId="10" fontId="21" fillId="11" borderId="2" xfId="3" applyNumberFormat="1" applyFont="1" applyFill="1" applyBorder="1" applyAlignment="1">
      <alignment horizontal="center" vertical="center"/>
    </xf>
    <xf numFmtId="166" fontId="21" fillId="11" borderId="2" xfId="5" applyNumberFormat="1" applyFont="1" applyFill="1" applyBorder="1" applyAlignment="1">
      <alignment horizontal="center" vertical="center"/>
    </xf>
    <xf numFmtId="15" fontId="21" fillId="11" borderId="2" xfId="2" applyNumberFormat="1" applyFont="1" applyFill="1" applyBorder="1" applyAlignment="1">
      <alignment horizontal="center" vertical="center"/>
    </xf>
    <xf numFmtId="166" fontId="21" fillId="11" borderId="2" xfId="2" applyNumberFormat="1" applyFont="1" applyFill="1" applyBorder="1" applyAlignment="1">
      <alignment horizontal="left" vertical="center" wrapText="1"/>
    </xf>
    <xf numFmtId="166" fontId="21" fillId="11" borderId="2" xfId="2" applyNumberFormat="1" applyFont="1" applyFill="1" applyBorder="1" applyAlignment="1">
      <alignment horizontal="left" vertical="center"/>
    </xf>
    <xf numFmtId="16" fontId="25" fillId="11" borderId="2" xfId="3" applyNumberFormat="1" applyFont="1" applyFill="1" applyBorder="1" applyAlignment="1">
      <alignment horizontal="center" vertical="center" wrapText="1"/>
    </xf>
    <xf numFmtId="167" fontId="21" fillId="11" borderId="2" xfId="3" applyNumberFormat="1" applyFont="1" applyFill="1" applyBorder="1" applyAlignment="1">
      <alignment horizontal="center" vertical="center" wrapText="1"/>
    </xf>
    <xf numFmtId="15" fontId="21" fillId="11" borderId="2" xfId="3" applyNumberFormat="1" applyFont="1" applyFill="1" applyBorder="1" applyAlignment="1">
      <alignment horizontal="center" vertical="center"/>
    </xf>
    <xf numFmtId="0" fontId="21" fillId="31" borderId="0" xfId="3" applyFont="1" applyFill="1" applyAlignment="1">
      <alignment horizontal="center" vertical="center"/>
    </xf>
    <xf numFmtId="0" fontId="21" fillId="31" borderId="2" xfId="3" applyFont="1" applyFill="1" applyBorder="1" applyAlignment="1">
      <alignment horizontal="center" vertical="center"/>
    </xf>
    <xf numFmtId="0" fontId="21" fillId="31" borderId="2" xfId="5" applyFont="1" applyFill="1" applyBorder="1" applyAlignment="1">
      <alignment horizontal="center" vertical="center"/>
    </xf>
    <xf numFmtId="0" fontId="20" fillId="31" borderId="2" xfId="0" applyFont="1" applyFill="1" applyBorder="1" applyAlignment="1">
      <alignment horizontal="center" vertical="center"/>
    </xf>
    <xf numFmtId="2" fontId="21" fillId="31" borderId="2" xfId="3" applyNumberFormat="1" applyFont="1" applyFill="1" applyBorder="1" applyAlignment="1">
      <alignment horizontal="center" vertical="center"/>
    </xf>
    <xf numFmtId="166" fontId="21" fillId="31" borderId="2" xfId="3" applyNumberFormat="1" applyFont="1" applyFill="1" applyBorder="1" applyAlignment="1">
      <alignment horizontal="center" vertical="center"/>
    </xf>
    <xf numFmtId="165" fontId="21" fillId="31" borderId="2" xfId="5" applyNumberFormat="1" applyFont="1" applyFill="1" applyBorder="1" applyAlignment="1">
      <alignment horizontal="center" vertical="center"/>
    </xf>
    <xf numFmtId="165" fontId="21" fillId="31" borderId="2" xfId="3" applyNumberFormat="1" applyFont="1" applyFill="1" applyBorder="1" applyAlignment="1">
      <alignment horizontal="center" vertical="center"/>
    </xf>
    <xf numFmtId="10" fontId="21" fillId="31" borderId="2" xfId="3" applyNumberFormat="1" applyFont="1" applyFill="1" applyBorder="1" applyAlignment="1">
      <alignment horizontal="center" vertical="center"/>
    </xf>
    <xf numFmtId="166" fontId="21" fillId="31" borderId="2" xfId="5" applyNumberFormat="1" applyFont="1" applyFill="1" applyBorder="1" applyAlignment="1">
      <alignment horizontal="center" vertical="center"/>
    </xf>
    <xf numFmtId="15" fontId="21" fillId="31" borderId="2" xfId="2" applyNumberFormat="1" applyFont="1" applyFill="1" applyBorder="1" applyAlignment="1">
      <alignment horizontal="center" vertical="center"/>
    </xf>
    <xf numFmtId="166" fontId="21" fillId="31" borderId="2" xfId="2" applyNumberFormat="1" applyFont="1" applyFill="1" applyBorder="1" applyAlignment="1">
      <alignment horizontal="left" vertical="center" wrapText="1"/>
    </xf>
    <xf numFmtId="166" fontId="21" fillId="31" borderId="2" xfId="2" applyNumberFormat="1" applyFont="1" applyFill="1" applyBorder="1" applyAlignment="1">
      <alignment horizontal="left" vertical="center"/>
    </xf>
    <xf numFmtId="16" fontId="25" fillId="31" borderId="2" xfId="3" applyNumberFormat="1" applyFont="1" applyFill="1" applyBorder="1" applyAlignment="1">
      <alignment horizontal="center" vertical="center" wrapText="1"/>
    </xf>
    <xf numFmtId="167" fontId="21" fillId="31" borderId="2" xfId="3" applyNumberFormat="1" applyFont="1" applyFill="1" applyBorder="1" applyAlignment="1">
      <alignment horizontal="center" vertical="center" wrapText="1"/>
    </xf>
    <xf numFmtId="15" fontId="21" fillId="31" borderId="2" xfId="3" applyNumberFormat="1" applyFont="1" applyFill="1" applyBorder="1" applyAlignment="1">
      <alignment horizontal="center" vertical="center"/>
    </xf>
    <xf numFmtId="0" fontId="21" fillId="32" borderId="0" xfId="3" applyFont="1" applyFill="1" applyAlignment="1">
      <alignment horizontal="center" vertical="center"/>
    </xf>
    <xf numFmtId="0" fontId="21" fillId="32" borderId="2" xfId="3" applyFont="1" applyFill="1" applyBorder="1" applyAlignment="1">
      <alignment horizontal="center" vertical="center"/>
    </xf>
    <xf numFmtId="0" fontId="21" fillId="32" borderId="2" xfId="5" applyFont="1" applyFill="1" applyBorder="1" applyAlignment="1">
      <alignment horizontal="center" vertical="center"/>
    </xf>
    <xf numFmtId="0" fontId="20" fillId="32" borderId="2" xfId="0" applyFont="1" applyFill="1" applyBorder="1" applyAlignment="1">
      <alignment horizontal="center" vertical="center"/>
    </xf>
    <xf numFmtId="2" fontId="21" fillId="32" borderId="2" xfId="3" applyNumberFormat="1" applyFont="1" applyFill="1" applyBorder="1" applyAlignment="1">
      <alignment horizontal="center" vertical="center"/>
    </xf>
    <xf numFmtId="166" fontId="21" fillId="32" borderId="2" xfId="3" applyNumberFormat="1" applyFont="1" applyFill="1" applyBorder="1" applyAlignment="1">
      <alignment horizontal="center" vertical="center"/>
    </xf>
    <xf numFmtId="165" fontId="21" fillId="32" borderId="2" xfId="3" applyNumberFormat="1" applyFont="1" applyFill="1" applyBorder="1" applyAlignment="1">
      <alignment horizontal="center" vertical="center"/>
    </xf>
    <xf numFmtId="165" fontId="21" fillId="32" borderId="2" xfId="5" applyNumberFormat="1" applyFont="1" applyFill="1" applyBorder="1" applyAlignment="1">
      <alignment horizontal="center" vertical="center"/>
    </xf>
    <xf numFmtId="10" fontId="21" fillId="32" borderId="2" xfId="3" applyNumberFormat="1" applyFont="1" applyFill="1" applyBorder="1" applyAlignment="1">
      <alignment horizontal="center" vertical="center"/>
    </xf>
    <xf numFmtId="1" fontId="21" fillId="32" borderId="2" xfId="3" applyNumberFormat="1" applyFont="1" applyFill="1" applyBorder="1" applyAlignment="1">
      <alignment horizontal="center" vertical="center"/>
    </xf>
    <xf numFmtId="166" fontId="21" fillId="32" borderId="2" xfId="5" applyNumberFormat="1" applyFont="1" applyFill="1" applyBorder="1" applyAlignment="1">
      <alignment horizontal="center" vertical="center"/>
    </xf>
    <xf numFmtId="15" fontId="21" fillId="32" borderId="2" xfId="2" applyNumberFormat="1" applyFont="1" applyFill="1" applyBorder="1" applyAlignment="1">
      <alignment horizontal="center" vertical="center"/>
    </xf>
    <xf numFmtId="166" fontId="21" fillId="32" borderId="2" xfId="2" applyNumberFormat="1" applyFont="1" applyFill="1" applyBorder="1" applyAlignment="1">
      <alignment horizontal="left" vertical="center" wrapText="1"/>
    </xf>
    <xf numFmtId="166" fontId="21" fillId="32" borderId="2" xfId="2" applyNumberFormat="1" applyFont="1" applyFill="1" applyBorder="1" applyAlignment="1">
      <alignment horizontal="left" vertical="center"/>
    </xf>
    <xf numFmtId="16" fontId="25" fillId="32" borderId="2" xfId="3" applyNumberFormat="1" applyFont="1" applyFill="1" applyBorder="1" applyAlignment="1">
      <alignment horizontal="center" vertical="center" wrapText="1"/>
    </xf>
    <xf numFmtId="167" fontId="21" fillId="32" borderId="2" xfId="3" applyNumberFormat="1" applyFont="1" applyFill="1" applyBorder="1" applyAlignment="1">
      <alignment horizontal="center" vertical="center" wrapText="1"/>
    </xf>
    <xf numFmtId="15" fontId="21" fillId="32" borderId="2" xfId="3" applyNumberFormat="1" applyFont="1" applyFill="1" applyBorder="1" applyAlignment="1">
      <alignment horizontal="center" vertical="center"/>
    </xf>
    <xf numFmtId="0" fontId="21" fillId="33" borderId="0" xfId="3" applyFont="1" applyFill="1" applyAlignment="1">
      <alignment horizontal="center" vertical="center"/>
    </xf>
    <xf numFmtId="0" fontId="21" fillId="33" borderId="2" xfId="3" applyFont="1" applyFill="1" applyBorder="1" applyAlignment="1">
      <alignment horizontal="center" vertical="center"/>
    </xf>
    <xf numFmtId="0" fontId="21" fillId="33" borderId="2" xfId="5" applyFont="1" applyFill="1" applyBorder="1" applyAlignment="1">
      <alignment horizontal="center" vertical="center"/>
    </xf>
    <xf numFmtId="0" fontId="20" fillId="33" borderId="2" xfId="0" applyFont="1" applyFill="1" applyBorder="1" applyAlignment="1">
      <alignment horizontal="center" vertical="center"/>
    </xf>
    <xf numFmtId="2" fontId="21" fillId="33" borderId="2" xfId="3" applyNumberFormat="1" applyFont="1" applyFill="1" applyBorder="1" applyAlignment="1">
      <alignment horizontal="center" vertical="center"/>
    </xf>
    <xf numFmtId="166" fontId="21" fillId="33" borderId="2" xfId="3" applyNumberFormat="1" applyFont="1" applyFill="1" applyBorder="1" applyAlignment="1">
      <alignment horizontal="center" vertical="center"/>
    </xf>
    <xf numFmtId="165" fontId="21" fillId="33" borderId="2" xfId="3" applyNumberFormat="1" applyFont="1" applyFill="1" applyBorder="1" applyAlignment="1">
      <alignment horizontal="center" vertical="center"/>
    </xf>
    <xf numFmtId="165" fontId="21" fillId="33" borderId="2" xfId="5" applyNumberFormat="1" applyFont="1" applyFill="1" applyBorder="1" applyAlignment="1">
      <alignment horizontal="center" vertical="center"/>
    </xf>
    <xf numFmtId="10" fontId="21" fillId="33" borderId="2" xfId="3" applyNumberFormat="1" applyFont="1" applyFill="1" applyBorder="1" applyAlignment="1">
      <alignment horizontal="center" vertical="center"/>
    </xf>
    <xf numFmtId="1" fontId="21" fillId="33" borderId="2" xfId="3" applyNumberFormat="1" applyFont="1" applyFill="1" applyBorder="1" applyAlignment="1">
      <alignment horizontal="center" vertical="center"/>
    </xf>
    <xf numFmtId="166" fontId="21" fillId="33" borderId="2" xfId="5" applyNumberFormat="1" applyFont="1" applyFill="1" applyBorder="1" applyAlignment="1">
      <alignment horizontal="center" vertical="center"/>
    </xf>
    <xf numFmtId="15" fontId="21" fillId="33" borderId="2" xfId="2" applyNumberFormat="1" applyFont="1" applyFill="1" applyBorder="1" applyAlignment="1">
      <alignment horizontal="center" vertical="center"/>
    </xf>
    <xf numFmtId="166" fontId="21" fillId="33" borderId="2" xfId="2" applyNumberFormat="1" applyFont="1" applyFill="1" applyBorder="1" applyAlignment="1">
      <alignment horizontal="left" vertical="center" wrapText="1"/>
    </xf>
    <xf numFmtId="166" fontId="21" fillId="33" borderId="2" xfId="2" applyNumberFormat="1" applyFont="1" applyFill="1" applyBorder="1" applyAlignment="1">
      <alignment horizontal="left" vertical="center"/>
    </xf>
    <xf numFmtId="16" fontId="25" fillId="33" borderId="2" xfId="3" applyNumberFormat="1" applyFont="1" applyFill="1" applyBorder="1" applyAlignment="1">
      <alignment horizontal="center" vertical="center" wrapText="1"/>
    </xf>
    <xf numFmtId="167" fontId="21" fillId="33" borderId="2" xfId="3" applyNumberFormat="1" applyFont="1" applyFill="1" applyBorder="1" applyAlignment="1">
      <alignment horizontal="center" vertical="center" wrapText="1"/>
    </xf>
    <xf numFmtId="15" fontId="21" fillId="33" borderId="2" xfId="3" applyNumberFormat="1" applyFont="1" applyFill="1" applyBorder="1" applyAlignment="1">
      <alignment horizontal="center" vertical="center"/>
    </xf>
    <xf numFmtId="0" fontId="21" fillId="34" borderId="2" xfId="3" applyFont="1" applyFill="1" applyBorder="1" applyAlignment="1">
      <alignment horizontal="center" vertical="center"/>
    </xf>
    <xf numFmtId="0" fontId="21" fillId="34" borderId="2" xfId="5" applyFont="1" applyFill="1" applyBorder="1" applyAlignment="1">
      <alignment horizontal="center" vertical="center"/>
    </xf>
    <xf numFmtId="0" fontId="20" fillId="34" borderId="2" xfId="0" applyFont="1" applyFill="1" applyBorder="1" applyAlignment="1">
      <alignment horizontal="center" vertical="center"/>
    </xf>
    <xf numFmtId="2" fontId="21" fillId="34" borderId="2" xfId="3" applyNumberFormat="1" applyFont="1" applyFill="1" applyBorder="1" applyAlignment="1">
      <alignment horizontal="center" vertical="center"/>
    </xf>
    <xf numFmtId="166" fontId="21" fillId="34" borderId="2" xfId="3" applyNumberFormat="1" applyFont="1" applyFill="1" applyBorder="1" applyAlignment="1">
      <alignment horizontal="center" vertical="center"/>
    </xf>
    <xf numFmtId="165" fontId="21" fillId="34" borderId="2" xfId="3" applyNumberFormat="1" applyFont="1" applyFill="1" applyBorder="1" applyAlignment="1">
      <alignment horizontal="center" vertical="center"/>
    </xf>
    <xf numFmtId="165" fontId="21" fillId="34" borderId="2" xfId="5" applyNumberFormat="1" applyFont="1" applyFill="1" applyBorder="1" applyAlignment="1">
      <alignment horizontal="center" vertical="center"/>
    </xf>
    <xf numFmtId="10" fontId="21" fillId="34" borderId="2" xfId="3" applyNumberFormat="1" applyFont="1" applyFill="1" applyBorder="1" applyAlignment="1">
      <alignment horizontal="center" vertical="center"/>
    </xf>
    <xf numFmtId="1" fontId="21" fillId="34" borderId="2" xfId="3" applyNumberFormat="1" applyFont="1" applyFill="1" applyBorder="1" applyAlignment="1">
      <alignment horizontal="center" vertical="center"/>
    </xf>
    <xf numFmtId="166" fontId="21" fillId="34" borderId="2" xfId="5" applyNumberFormat="1" applyFont="1" applyFill="1" applyBorder="1" applyAlignment="1">
      <alignment horizontal="center" vertical="center"/>
    </xf>
    <xf numFmtId="15" fontId="21" fillId="34" borderId="2" xfId="2" applyNumberFormat="1" applyFont="1" applyFill="1" applyBorder="1" applyAlignment="1">
      <alignment horizontal="center" vertical="center"/>
    </xf>
    <xf numFmtId="166" fontId="21" fillId="34" borderId="2" xfId="2" applyNumberFormat="1" applyFont="1" applyFill="1" applyBorder="1" applyAlignment="1">
      <alignment horizontal="left" vertical="center" wrapText="1"/>
    </xf>
    <xf numFmtId="166" fontId="21" fillId="34" borderId="2" xfId="2" applyNumberFormat="1" applyFont="1" applyFill="1" applyBorder="1" applyAlignment="1">
      <alignment horizontal="left" vertical="center"/>
    </xf>
    <xf numFmtId="16" fontId="25" fillId="34" borderId="2" xfId="3" applyNumberFormat="1" applyFont="1" applyFill="1" applyBorder="1" applyAlignment="1">
      <alignment horizontal="center" vertical="center" wrapText="1"/>
    </xf>
    <xf numFmtId="167" fontId="21" fillId="34" borderId="2" xfId="3" applyNumberFormat="1" applyFont="1" applyFill="1" applyBorder="1" applyAlignment="1">
      <alignment horizontal="center" vertical="center" wrapText="1"/>
    </xf>
    <xf numFmtId="15" fontId="21" fillId="34" borderId="2" xfId="3" applyNumberFormat="1" applyFont="1" applyFill="1" applyBorder="1" applyAlignment="1">
      <alignment horizontal="center" vertical="center"/>
    </xf>
    <xf numFmtId="0" fontId="21" fillId="34" borderId="0" xfId="3" applyFont="1" applyFill="1" applyAlignment="1">
      <alignment horizontal="center" vertical="center"/>
    </xf>
    <xf numFmtId="0" fontId="21" fillId="35" borderId="0" xfId="3" applyFont="1" applyFill="1" applyAlignment="1">
      <alignment horizontal="center" vertical="center"/>
    </xf>
    <xf numFmtId="0" fontId="21" fillId="35" borderId="2" xfId="3" applyFont="1" applyFill="1" applyBorder="1" applyAlignment="1">
      <alignment horizontal="center" vertical="center"/>
    </xf>
    <xf numFmtId="0" fontId="21" fillId="35" borderId="2" xfId="5" applyFont="1" applyFill="1" applyBorder="1" applyAlignment="1">
      <alignment horizontal="center" vertical="center"/>
    </xf>
    <xf numFmtId="0" fontId="20" fillId="35" borderId="2" xfId="0" applyFont="1" applyFill="1" applyBorder="1" applyAlignment="1">
      <alignment horizontal="center" vertical="center"/>
    </xf>
    <xf numFmtId="2" fontId="21" fillId="35" borderId="2" xfId="3" applyNumberFormat="1" applyFont="1" applyFill="1" applyBorder="1" applyAlignment="1">
      <alignment horizontal="center" vertical="center"/>
    </xf>
    <xf numFmtId="166" fontId="21" fillId="35" borderId="2" xfId="3" applyNumberFormat="1" applyFont="1" applyFill="1" applyBorder="1" applyAlignment="1">
      <alignment horizontal="center" vertical="center"/>
    </xf>
    <xf numFmtId="165" fontId="21" fillId="35" borderId="2" xfId="3" applyNumberFormat="1" applyFont="1" applyFill="1" applyBorder="1" applyAlignment="1">
      <alignment horizontal="center" vertical="center"/>
    </xf>
    <xf numFmtId="165" fontId="21" fillId="35" borderId="2" xfId="5" applyNumberFormat="1" applyFont="1" applyFill="1" applyBorder="1" applyAlignment="1">
      <alignment horizontal="center" vertical="center"/>
    </xf>
    <xf numFmtId="10" fontId="21" fillId="35" borderId="2" xfId="3" applyNumberFormat="1" applyFont="1" applyFill="1" applyBorder="1" applyAlignment="1">
      <alignment horizontal="center" vertical="center"/>
    </xf>
    <xf numFmtId="166" fontId="21" fillId="35" borderId="2" xfId="5" applyNumberFormat="1" applyFont="1" applyFill="1" applyBorder="1" applyAlignment="1">
      <alignment horizontal="center" vertical="center"/>
    </xf>
    <xf numFmtId="15" fontId="21" fillId="35" borderId="2" xfId="2" applyNumberFormat="1" applyFont="1" applyFill="1" applyBorder="1" applyAlignment="1">
      <alignment horizontal="center" vertical="center"/>
    </xf>
    <xf numFmtId="166" fontId="21" fillId="35" borderId="2" xfId="2" applyNumberFormat="1" applyFont="1" applyFill="1" applyBorder="1" applyAlignment="1">
      <alignment horizontal="left" vertical="center" wrapText="1"/>
    </xf>
    <xf numFmtId="166" fontId="21" fillId="35" borderId="2" xfId="2" applyNumberFormat="1" applyFont="1" applyFill="1" applyBorder="1" applyAlignment="1">
      <alignment horizontal="left" vertical="center"/>
    </xf>
    <xf numFmtId="16" fontId="25" fillId="35" borderId="2" xfId="3" applyNumberFormat="1" applyFont="1" applyFill="1" applyBorder="1" applyAlignment="1">
      <alignment horizontal="center" vertical="center" wrapText="1"/>
    </xf>
    <xf numFmtId="167" fontId="21" fillId="35" borderId="2" xfId="3" applyNumberFormat="1" applyFont="1" applyFill="1" applyBorder="1" applyAlignment="1">
      <alignment horizontal="center" vertical="center" wrapText="1"/>
    </xf>
    <xf numFmtId="15" fontId="21" fillId="35" borderId="2" xfId="3" applyNumberFormat="1" applyFont="1" applyFill="1" applyBorder="1" applyAlignment="1">
      <alignment horizontal="center" vertical="center"/>
    </xf>
    <xf numFmtId="0" fontId="21" fillId="36" borderId="0" xfId="3" applyFont="1" applyFill="1" applyAlignment="1">
      <alignment horizontal="center" vertical="center"/>
    </xf>
    <xf numFmtId="0" fontId="21" fillId="36" borderId="2" xfId="3" applyFont="1" applyFill="1" applyBorder="1" applyAlignment="1">
      <alignment horizontal="center" vertical="center"/>
    </xf>
    <xf numFmtId="0" fontId="21" fillId="36" borderId="2" xfId="5" applyFont="1" applyFill="1" applyBorder="1" applyAlignment="1">
      <alignment horizontal="center" vertical="center"/>
    </xf>
    <xf numFmtId="0" fontId="20" fillId="36" borderId="2" xfId="0" applyFont="1" applyFill="1" applyBorder="1" applyAlignment="1">
      <alignment horizontal="center" vertical="center"/>
    </xf>
    <xf numFmtId="2" fontId="21" fillId="36" borderId="2" xfId="3" applyNumberFormat="1" applyFont="1" applyFill="1" applyBorder="1" applyAlignment="1">
      <alignment horizontal="center" vertical="center"/>
    </xf>
    <xf numFmtId="166" fontId="21" fillId="36" borderId="2" xfId="3" applyNumberFormat="1" applyFont="1" applyFill="1" applyBorder="1" applyAlignment="1">
      <alignment horizontal="center" vertical="center"/>
    </xf>
    <xf numFmtId="165" fontId="21" fillId="36" borderId="2" xfId="3" applyNumberFormat="1" applyFont="1" applyFill="1" applyBorder="1" applyAlignment="1">
      <alignment horizontal="center" vertical="center"/>
    </xf>
    <xf numFmtId="165" fontId="21" fillId="36" borderId="2" xfId="5" applyNumberFormat="1" applyFont="1" applyFill="1" applyBorder="1" applyAlignment="1">
      <alignment horizontal="center" vertical="center"/>
    </xf>
    <xf numFmtId="10" fontId="21" fillId="36" borderId="2" xfId="3" applyNumberFormat="1" applyFont="1" applyFill="1" applyBorder="1" applyAlignment="1">
      <alignment horizontal="center" vertical="center"/>
    </xf>
    <xf numFmtId="166" fontId="21" fillId="36" borderId="2" xfId="5" applyNumberFormat="1" applyFont="1" applyFill="1" applyBorder="1" applyAlignment="1">
      <alignment horizontal="center" vertical="center"/>
    </xf>
    <xf numFmtId="15" fontId="21" fillId="36" borderId="2" xfId="2" applyNumberFormat="1" applyFont="1" applyFill="1" applyBorder="1" applyAlignment="1">
      <alignment horizontal="center" vertical="center"/>
    </xf>
    <xf numFmtId="166" fontId="21" fillId="36" borderId="2" xfId="2" applyNumberFormat="1" applyFont="1" applyFill="1" applyBorder="1" applyAlignment="1">
      <alignment horizontal="left" vertical="center" wrapText="1"/>
    </xf>
    <xf numFmtId="166" fontId="21" fillId="36" borderId="2" xfId="2" applyNumberFormat="1" applyFont="1" applyFill="1" applyBorder="1" applyAlignment="1">
      <alignment horizontal="left" vertical="center"/>
    </xf>
    <xf numFmtId="16" fontId="25" fillId="36" borderId="2" xfId="3" applyNumberFormat="1" applyFont="1" applyFill="1" applyBorder="1" applyAlignment="1">
      <alignment horizontal="center" vertical="center" wrapText="1"/>
    </xf>
    <xf numFmtId="167" fontId="21" fillId="36" borderId="2" xfId="3" applyNumberFormat="1" applyFont="1" applyFill="1" applyBorder="1" applyAlignment="1">
      <alignment horizontal="center" vertical="center" wrapText="1"/>
    </xf>
    <xf numFmtId="15" fontId="21" fillId="36" borderId="2" xfId="3" applyNumberFormat="1" applyFont="1" applyFill="1" applyBorder="1" applyAlignment="1">
      <alignment horizontal="center" vertical="center"/>
    </xf>
    <xf numFmtId="0" fontId="21" fillId="16" borderId="0" xfId="3" applyFont="1" applyFill="1" applyAlignment="1">
      <alignment horizontal="center" vertical="center"/>
    </xf>
    <xf numFmtId="0" fontId="21" fillId="16" borderId="2" xfId="3" applyFont="1" applyFill="1" applyBorder="1" applyAlignment="1">
      <alignment horizontal="center" vertical="center"/>
    </xf>
    <xf numFmtId="0" fontId="21" fillId="16" borderId="2" xfId="5" applyFont="1" applyFill="1" applyBorder="1" applyAlignment="1">
      <alignment horizontal="center" vertical="center"/>
    </xf>
    <xf numFmtId="0" fontId="20" fillId="16" borderId="2" xfId="0" applyFont="1" applyFill="1" applyBorder="1" applyAlignment="1">
      <alignment horizontal="center" vertical="center"/>
    </xf>
    <xf numFmtId="2" fontId="21" fillId="16" borderId="2" xfId="3" applyNumberFormat="1" applyFont="1" applyFill="1" applyBorder="1" applyAlignment="1">
      <alignment horizontal="center" vertical="center"/>
    </xf>
    <xf numFmtId="166" fontId="21" fillId="16" borderId="2" xfId="3" applyNumberFormat="1" applyFont="1" applyFill="1" applyBorder="1" applyAlignment="1">
      <alignment horizontal="center" vertical="center"/>
    </xf>
    <xf numFmtId="165" fontId="21" fillId="16" borderId="2" xfId="3" applyNumberFormat="1" applyFont="1" applyFill="1" applyBorder="1" applyAlignment="1">
      <alignment horizontal="center" vertical="center"/>
    </xf>
    <xf numFmtId="165" fontId="21" fillId="16" borderId="2" xfId="5" applyNumberFormat="1" applyFont="1" applyFill="1" applyBorder="1" applyAlignment="1">
      <alignment horizontal="center" vertical="center"/>
    </xf>
    <xf numFmtId="10" fontId="21" fillId="16" borderId="2" xfId="3" applyNumberFormat="1" applyFont="1" applyFill="1" applyBorder="1" applyAlignment="1">
      <alignment horizontal="center" vertical="center"/>
    </xf>
    <xf numFmtId="166" fontId="21" fillId="16" borderId="2" xfId="5" applyNumberFormat="1" applyFont="1" applyFill="1" applyBorder="1" applyAlignment="1">
      <alignment horizontal="center" vertical="center"/>
    </xf>
    <xf numFmtId="15" fontId="21" fillId="16" borderId="2" xfId="2" applyNumberFormat="1" applyFont="1" applyFill="1" applyBorder="1" applyAlignment="1">
      <alignment horizontal="center" vertical="center"/>
    </xf>
    <xf numFmtId="166" fontId="21" fillId="16" borderId="2" xfId="2" applyNumberFormat="1" applyFont="1" applyFill="1" applyBorder="1" applyAlignment="1">
      <alignment horizontal="left" vertical="center" wrapText="1"/>
    </xf>
    <xf numFmtId="166" fontId="21" fillId="16" borderId="2" xfId="2" applyNumberFormat="1" applyFont="1" applyFill="1" applyBorder="1" applyAlignment="1">
      <alignment horizontal="left" vertical="center"/>
    </xf>
    <xf numFmtId="16" fontId="25" fillId="16" borderId="2" xfId="3" applyNumberFormat="1" applyFont="1" applyFill="1" applyBorder="1" applyAlignment="1">
      <alignment horizontal="center" vertical="center" wrapText="1"/>
    </xf>
    <xf numFmtId="167" fontId="21" fillId="16" borderId="2" xfId="3" applyNumberFormat="1" applyFont="1" applyFill="1" applyBorder="1" applyAlignment="1">
      <alignment horizontal="center" vertical="center" wrapText="1"/>
    </xf>
    <xf numFmtId="15" fontId="21" fillId="16" borderId="2" xfId="3" applyNumberFormat="1" applyFont="1" applyFill="1" applyBorder="1" applyAlignment="1">
      <alignment horizontal="center" vertical="center"/>
    </xf>
    <xf numFmtId="0" fontId="21" fillId="21" borderId="0" xfId="3" applyFont="1" applyFill="1" applyAlignment="1">
      <alignment horizontal="center" vertical="center"/>
    </xf>
    <xf numFmtId="0" fontId="21" fillId="21" borderId="2" xfId="3" applyFont="1" applyFill="1" applyBorder="1" applyAlignment="1">
      <alignment horizontal="center" vertical="center"/>
    </xf>
    <xf numFmtId="0" fontId="21" fillId="21" borderId="2" xfId="5" applyFont="1" applyFill="1" applyBorder="1" applyAlignment="1">
      <alignment horizontal="center" vertical="center"/>
    </xf>
    <xf numFmtId="0" fontId="20" fillId="21" borderId="2" xfId="0" applyFont="1" applyFill="1" applyBorder="1" applyAlignment="1">
      <alignment horizontal="center" vertical="center"/>
    </xf>
    <xf numFmtId="2" fontId="21" fillId="21" borderId="2" xfId="3" applyNumberFormat="1" applyFont="1" applyFill="1" applyBorder="1" applyAlignment="1">
      <alignment horizontal="center" vertical="center"/>
    </xf>
    <xf numFmtId="166" fontId="21" fillId="21" borderId="2" xfId="3" applyNumberFormat="1" applyFont="1" applyFill="1" applyBorder="1" applyAlignment="1">
      <alignment horizontal="center" vertical="center"/>
    </xf>
    <xf numFmtId="165" fontId="21" fillId="21" borderId="2" xfId="3" applyNumberFormat="1" applyFont="1" applyFill="1" applyBorder="1" applyAlignment="1">
      <alignment horizontal="center" vertical="center"/>
    </xf>
    <xf numFmtId="10" fontId="21" fillId="21" borderId="2" xfId="3" applyNumberFormat="1" applyFont="1" applyFill="1" applyBorder="1" applyAlignment="1">
      <alignment horizontal="center" vertical="center"/>
    </xf>
    <xf numFmtId="166" fontId="21" fillId="21" borderId="2" xfId="5" applyNumberFormat="1" applyFont="1" applyFill="1" applyBorder="1" applyAlignment="1">
      <alignment horizontal="center" vertical="center"/>
    </xf>
    <xf numFmtId="15" fontId="21" fillId="21" borderId="2" xfId="2" applyNumberFormat="1" applyFont="1" applyFill="1" applyBorder="1" applyAlignment="1">
      <alignment horizontal="center" vertical="center"/>
    </xf>
    <xf numFmtId="166" fontId="21" fillId="21" borderId="2" xfId="2" applyNumberFormat="1" applyFont="1" applyFill="1" applyBorder="1" applyAlignment="1">
      <alignment horizontal="left" vertical="center" wrapText="1"/>
    </xf>
    <xf numFmtId="166" fontId="21" fillId="21" borderId="2" xfId="2" applyNumberFormat="1" applyFont="1" applyFill="1" applyBorder="1" applyAlignment="1">
      <alignment horizontal="left" vertical="center"/>
    </xf>
    <xf numFmtId="16" fontId="25" fillId="21" borderId="2" xfId="3" applyNumberFormat="1" applyFont="1" applyFill="1" applyBorder="1" applyAlignment="1">
      <alignment horizontal="center" vertical="center" wrapText="1"/>
    </xf>
    <xf numFmtId="167" fontId="21" fillId="21" borderId="2" xfId="3" applyNumberFormat="1" applyFont="1" applyFill="1" applyBorder="1" applyAlignment="1">
      <alignment horizontal="center" vertical="center" wrapText="1"/>
    </xf>
    <xf numFmtId="15" fontId="21" fillId="21" borderId="2" xfId="3" applyNumberFormat="1" applyFont="1" applyFill="1" applyBorder="1" applyAlignment="1">
      <alignment horizontal="center" vertical="center"/>
    </xf>
    <xf numFmtId="0" fontId="21" fillId="37" borderId="0" xfId="3" applyFont="1" applyFill="1" applyAlignment="1">
      <alignment horizontal="center" vertical="center"/>
    </xf>
    <xf numFmtId="0" fontId="21" fillId="37" borderId="2" xfId="3" applyFont="1" applyFill="1" applyBorder="1" applyAlignment="1">
      <alignment horizontal="center" vertical="center"/>
    </xf>
    <xf numFmtId="0" fontId="21" fillId="37" borderId="2" xfId="5" applyFont="1" applyFill="1" applyBorder="1" applyAlignment="1">
      <alignment horizontal="center" vertical="center"/>
    </xf>
    <xf numFmtId="0" fontId="20" fillId="37" borderId="2" xfId="0" applyFont="1" applyFill="1" applyBorder="1" applyAlignment="1">
      <alignment horizontal="center" vertical="center"/>
    </xf>
    <xf numFmtId="2" fontId="21" fillId="37" borderId="2" xfId="3" applyNumberFormat="1" applyFont="1" applyFill="1" applyBorder="1" applyAlignment="1">
      <alignment horizontal="center" vertical="center"/>
    </xf>
    <xf numFmtId="166" fontId="21" fillId="37" borderId="2" xfId="3" applyNumberFormat="1" applyFont="1" applyFill="1" applyBorder="1" applyAlignment="1">
      <alignment horizontal="center" vertical="center"/>
    </xf>
    <xf numFmtId="165" fontId="21" fillId="37" borderId="2" xfId="3" applyNumberFormat="1" applyFont="1" applyFill="1" applyBorder="1" applyAlignment="1">
      <alignment horizontal="center" vertical="center"/>
    </xf>
    <xf numFmtId="165" fontId="21" fillId="37" borderId="2" xfId="5" applyNumberFormat="1" applyFont="1" applyFill="1" applyBorder="1" applyAlignment="1">
      <alignment horizontal="center" vertical="center"/>
    </xf>
    <xf numFmtId="10" fontId="21" fillId="37" borderId="2" xfId="3" applyNumberFormat="1" applyFont="1" applyFill="1" applyBorder="1" applyAlignment="1">
      <alignment horizontal="center" vertical="center"/>
    </xf>
    <xf numFmtId="166" fontId="21" fillId="37" borderId="2" xfId="5" applyNumberFormat="1" applyFont="1" applyFill="1" applyBorder="1" applyAlignment="1">
      <alignment horizontal="center" vertical="center"/>
    </xf>
    <xf numFmtId="15" fontId="21" fillId="37" borderId="2" xfId="2" applyNumberFormat="1" applyFont="1" applyFill="1" applyBorder="1" applyAlignment="1">
      <alignment horizontal="center" vertical="center"/>
    </xf>
    <xf numFmtId="166" fontId="21" fillId="37" borderId="2" xfId="2" applyNumberFormat="1" applyFont="1" applyFill="1" applyBorder="1" applyAlignment="1">
      <alignment horizontal="left" vertical="center" wrapText="1"/>
    </xf>
    <xf numFmtId="166" fontId="21" fillId="37" borderId="2" xfId="2" applyNumberFormat="1" applyFont="1" applyFill="1" applyBorder="1" applyAlignment="1">
      <alignment horizontal="left" vertical="center"/>
    </xf>
    <xf numFmtId="16" fontId="25" fillId="37" borderId="2" xfId="3" applyNumberFormat="1" applyFont="1" applyFill="1" applyBorder="1" applyAlignment="1">
      <alignment horizontal="center" vertical="center" wrapText="1"/>
    </xf>
    <xf numFmtId="167" fontId="21" fillId="37" borderId="2" xfId="3" applyNumberFormat="1" applyFont="1" applyFill="1" applyBorder="1" applyAlignment="1">
      <alignment horizontal="center" vertical="center" wrapText="1"/>
    </xf>
    <xf numFmtId="15" fontId="21" fillId="37" borderId="2" xfId="3" applyNumberFormat="1" applyFont="1" applyFill="1" applyBorder="1" applyAlignment="1">
      <alignment horizontal="center" vertical="center"/>
    </xf>
    <xf numFmtId="2" fontId="21" fillId="37" borderId="2" xfId="5" applyNumberFormat="1" applyFont="1" applyFill="1" applyBorder="1" applyAlignment="1">
      <alignment horizontal="center" vertical="center"/>
    </xf>
    <xf numFmtId="1" fontId="20" fillId="37" borderId="2" xfId="0" applyNumberFormat="1" applyFont="1" applyFill="1" applyBorder="1" applyAlignment="1">
      <alignment horizontal="center" vertical="center"/>
    </xf>
    <xf numFmtId="0" fontId="21" fillId="37" borderId="2" xfId="5" applyFont="1" applyFill="1" applyBorder="1" applyAlignment="1">
      <alignment horizontal="left" vertical="center"/>
    </xf>
    <xf numFmtId="166" fontId="21" fillId="37" borderId="2" xfId="3" applyNumberFormat="1" applyFont="1" applyFill="1" applyBorder="1" applyAlignment="1">
      <alignment horizontal="left" vertical="center" wrapText="1"/>
    </xf>
    <xf numFmtId="0" fontId="21" fillId="38" borderId="0" xfId="3" applyFont="1" applyFill="1" applyAlignment="1">
      <alignment horizontal="center" vertical="center"/>
    </xf>
    <xf numFmtId="0" fontId="21" fillId="38" borderId="2" xfId="3" applyFont="1" applyFill="1" applyBorder="1" applyAlignment="1">
      <alignment horizontal="center" vertical="center"/>
    </xf>
    <xf numFmtId="0" fontId="21" fillId="38" borderId="2" xfId="5" applyFont="1" applyFill="1" applyBorder="1" applyAlignment="1">
      <alignment horizontal="center" vertical="center"/>
    </xf>
    <xf numFmtId="0" fontId="20" fillId="38" borderId="2" xfId="0" applyFont="1" applyFill="1" applyBorder="1" applyAlignment="1">
      <alignment horizontal="center" vertical="center"/>
    </xf>
    <xf numFmtId="2" fontId="21" fillId="38" borderId="2" xfId="3" applyNumberFormat="1" applyFont="1" applyFill="1" applyBorder="1" applyAlignment="1">
      <alignment horizontal="center" vertical="center"/>
    </xf>
    <xf numFmtId="166" fontId="21" fillId="38" borderId="2" xfId="3" applyNumberFormat="1" applyFont="1" applyFill="1" applyBorder="1" applyAlignment="1">
      <alignment horizontal="center" vertical="center"/>
    </xf>
    <xf numFmtId="165" fontId="21" fillId="38" borderId="2" xfId="5" applyNumberFormat="1" applyFont="1" applyFill="1" applyBorder="1" applyAlignment="1">
      <alignment horizontal="center" vertical="center"/>
    </xf>
    <xf numFmtId="165" fontId="21" fillId="38" borderId="2" xfId="3" applyNumberFormat="1" applyFont="1" applyFill="1" applyBorder="1" applyAlignment="1">
      <alignment horizontal="center" vertical="center"/>
    </xf>
    <xf numFmtId="10" fontId="21" fillId="38" borderId="2" xfId="3" applyNumberFormat="1" applyFont="1" applyFill="1" applyBorder="1" applyAlignment="1">
      <alignment horizontal="center" vertical="center"/>
    </xf>
    <xf numFmtId="166" fontId="21" fillId="38" borderId="2" xfId="5" applyNumberFormat="1" applyFont="1" applyFill="1" applyBorder="1" applyAlignment="1">
      <alignment horizontal="center" vertical="center"/>
    </xf>
    <xf numFmtId="15" fontId="21" fillId="38" borderId="2" xfId="2" applyNumberFormat="1" applyFont="1" applyFill="1" applyBorder="1" applyAlignment="1">
      <alignment horizontal="center" vertical="center"/>
    </xf>
    <xf numFmtId="166" fontId="21" fillId="38" borderId="2" xfId="2" applyNumberFormat="1" applyFont="1" applyFill="1" applyBorder="1" applyAlignment="1">
      <alignment horizontal="left" vertical="center" wrapText="1"/>
    </xf>
    <xf numFmtId="166" fontId="21" fillId="38" borderId="2" xfId="2" applyNumberFormat="1" applyFont="1" applyFill="1" applyBorder="1" applyAlignment="1">
      <alignment horizontal="left" vertical="center"/>
    </xf>
    <xf numFmtId="16" fontId="25" fillId="38" borderId="2" xfId="3" applyNumberFormat="1" applyFont="1" applyFill="1" applyBorder="1" applyAlignment="1">
      <alignment horizontal="center" vertical="center" wrapText="1"/>
    </xf>
    <xf numFmtId="167" fontId="21" fillId="38" borderId="2" xfId="3" applyNumberFormat="1" applyFont="1" applyFill="1" applyBorder="1" applyAlignment="1">
      <alignment horizontal="center" vertical="center" wrapText="1"/>
    </xf>
    <xf numFmtId="15" fontId="21" fillId="38" borderId="2" xfId="3" applyNumberFormat="1" applyFont="1" applyFill="1" applyBorder="1" applyAlignment="1">
      <alignment horizontal="center" vertical="center"/>
    </xf>
    <xf numFmtId="0" fontId="21" fillId="39" borderId="0" xfId="3" applyFont="1" applyFill="1" applyAlignment="1">
      <alignment horizontal="center" vertical="center"/>
    </xf>
    <xf numFmtId="0" fontId="21" fillId="39" borderId="2" xfId="3" applyFont="1" applyFill="1" applyBorder="1" applyAlignment="1">
      <alignment horizontal="center" vertical="center"/>
    </xf>
    <xf numFmtId="0" fontId="21" fillId="39" borderId="2" xfId="5" applyFont="1" applyFill="1" applyBorder="1" applyAlignment="1">
      <alignment horizontal="center" vertical="center"/>
    </xf>
    <xf numFmtId="0" fontId="20" fillId="39" borderId="2" xfId="0" applyFont="1" applyFill="1" applyBorder="1" applyAlignment="1">
      <alignment horizontal="center" vertical="center"/>
    </xf>
    <xf numFmtId="2" fontId="21" fillId="39" borderId="2" xfId="3" applyNumberFormat="1" applyFont="1" applyFill="1" applyBorder="1" applyAlignment="1">
      <alignment horizontal="center" vertical="center"/>
    </xf>
    <xf numFmtId="166" fontId="21" fillId="39" borderId="2" xfId="3" applyNumberFormat="1" applyFont="1" applyFill="1" applyBorder="1" applyAlignment="1">
      <alignment horizontal="center" vertical="center"/>
    </xf>
    <xf numFmtId="165" fontId="21" fillId="39" borderId="2" xfId="3" applyNumberFormat="1" applyFont="1" applyFill="1" applyBorder="1" applyAlignment="1">
      <alignment horizontal="center" vertical="center"/>
    </xf>
    <xf numFmtId="165" fontId="21" fillId="39" borderId="2" xfId="5" applyNumberFormat="1" applyFont="1" applyFill="1" applyBorder="1" applyAlignment="1">
      <alignment horizontal="center" vertical="center"/>
    </xf>
    <xf numFmtId="10" fontId="21" fillId="39" borderId="2" xfId="3" applyNumberFormat="1" applyFont="1" applyFill="1" applyBorder="1" applyAlignment="1">
      <alignment horizontal="center" vertical="center"/>
    </xf>
    <xf numFmtId="166" fontId="21" fillId="39" borderId="2" xfId="5" applyNumberFormat="1" applyFont="1" applyFill="1" applyBorder="1" applyAlignment="1">
      <alignment horizontal="center" vertical="center"/>
    </xf>
    <xf numFmtId="15" fontId="21" fillId="39" borderId="2" xfId="2" applyNumberFormat="1" applyFont="1" applyFill="1" applyBorder="1" applyAlignment="1">
      <alignment horizontal="center" vertical="center"/>
    </xf>
    <xf numFmtId="166" fontId="21" fillId="39" borderId="2" xfId="2" applyNumberFormat="1" applyFont="1" applyFill="1" applyBorder="1" applyAlignment="1">
      <alignment horizontal="left" vertical="center" wrapText="1"/>
    </xf>
    <xf numFmtId="166" fontId="21" fillId="39" borderId="2" xfId="2" applyNumberFormat="1" applyFont="1" applyFill="1" applyBorder="1" applyAlignment="1">
      <alignment horizontal="left" vertical="center"/>
    </xf>
    <xf numFmtId="16" fontId="25" fillId="39" borderId="2" xfId="3" applyNumberFormat="1" applyFont="1" applyFill="1" applyBorder="1" applyAlignment="1">
      <alignment horizontal="center" vertical="center" wrapText="1"/>
    </xf>
    <xf numFmtId="167" fontId="21" fillId="39" borderId="2" xfId="3" applyNumberFormat="1" applyFont="1" applyFill="1" applyBorder="1" applyAlignment="1">
      <alignment horizontal="center" vertical="center" wrapText="1"/>
    </xf>
    <xf numFmtId="15" fontId="21" fillId="39" borderId="2" xfId="3" applyNumberFormat="1" applyFont="1" applyFill="1" applyBorder="1" applyAlignment="1">
      <alignment horizontal="center" vertical="center"/>
    </xf>
    <xf numFmtId="0" fontId="21" fillId="40" borderId="0" xfId="3" applyFont="1" applyFill="1" applyAlignment="1">
      <alignment horizontal="center" vertical="center"/>
    </xf>
    <xf numFmtId="0" fontId="21" fillId="40" borderId="2" xfId="3" applyFont="1" applyFill="1" applyBorder="1" applyAlignment="1">
      <alignment horizontal="center" vertical="center"/>
    </xf>
    <xf numFmtId="0" fontId="21" fillId="40" borderId="2" xfId="5" applyFont="1" applyFill="1" applyBorder="1" applyAlignment="1">
      <alignment horizontal="center" vertical="center"/>
    </xf>
    <xf numFmtId="0" fontId="20" fillId="40" borderId="2" xfId="0" applyFont="1" applyFill="1" applyBorder="1" applyAlignment="1">
      <alignment horizontal="center" vertical="center"/>
    </xf>
    <xf numFmtId="2" fontId="21" fillId="40" borderId="2" xfId="3" applyNumberFormat="1" applyFont="1" applyFill="1" applyBorder="1" applyAlignment="1">
      <alignment horizontal="center" vertical="center"/>
    </xf>
    <xf numFmtId="166" fontId="21" fillId="40" borderId="2" xfId="3" applyNumberFormat="1" applyFont="1" applyFill="1" applyBorder="1" applyAlignment="1">
      <alignment horizontal="center" vertical="center"/>
    </xf>
    <xf numFmtId="165" fontId="21" fillId="40" borderId="2" xfId="3" applyNumberFormat="1" applyFont="1" applyFill="1" applyBorder="1" applyAlignment="1">
      <alignment horizontal="center" vertical="center"/>
    </xf>
    <xf numFmtId="165" fontId="21" fillId="40" borderId="2" xfId="5" applyNumberFormat="1" applyFont="1" applyFill="1" applyBorder="1" applyAlignment="1">
      <alignment horizontal="center" vertical="center"/>
    </xf>
    <xf numFmtId="10" fontId="21" fillId="40" borderId="2" xfId="3" applyNumberFormat="1" applyFont="1" applyFill="1" applyBorder="1" applyAlignment="1">
      <alignment horizontal="center" vertical="center"/>
    </xf>
    <xf numFmtId="166" fontId="21" fillId="40" borderId="2" xfId="5" applyNumberFormat="1" applyFont="1" applyFill="1" applyBorder="1" applyAlignment="1">
      <alignment horizontal="center" vertical="center"/>
    </xf>
    <xf numFmtId="15" fontId="21" fillId="40" borderId="2" xfId="2" applyNumberFormat="1" applyFont="1" applyFill="1" applyBorder="1" applyAlignment="1">
      <alignment horizontal="center" vertical="center"/>
    </xf>
    <xf numFmtId="166" fontId="21" fillId="40" borderId="2" xfId="2" applyNumberFormat="1" applyFont="1" applyFill="1" applyBorder="1" applyAlignment="1">
      <alignment horizontal="left" vertical="center" wrapText="1"/>
    </xf>
    <xf numFmtId="166" fontId="21" fillId="40" borderId="2" xfId="2" applyNumberFormat="1" applyFont="1" applyFill="1" applyBorder="1" applyAlignment="1">
      <alignment horizontal="left" vertical="center"/>
    </xf>
    <xf numFmtId="16" fontId="25" fillId="40" borderId="2" xfId="3" applyNumberFormat="1" applyFont="1" applyFill="1" applyBorder="1" applyAlignment="1">
      <alignment horizontal="center" vertical="center" wrapText="1"/>
    </xf>
    <xf numFmtId="167" fontId="21" fillId="40" borderId="2" xfId="3" applyNumberFormat="1" applyFont="1" applyFill="1" applyBorder="1" applyAlignment="1">
      <alignment horizontal="center" vertical="center" wrapText="1"/>
    </xf>
    <xf numFmtId="15" fontId="21" fillId="40" borderId="2" xfId="3" applyNumberFormat="1" applyFont="1" applyFill="1" applyBorder="1" applyAlignment="1">
      <alignment horizontal="center" vertical="center"/>
    </xf>
    <xf numFmtId="0" fontId="21" fillId="41" borderId="0" xfId="3" applyFont="1" applyFill="1" applyAlignment="1">
      <alignment horizontal="center" vertical="center"/>
    </xf>
    <xf numFmtId="0" fontId="21" fillId="41" borderId="2" xfId="3" applyFont="1" applyFill="1" applyBorder="1" applyAlignment="1">
      <alignment horizontal="center" vertical="center"/>
    </xf>
    <xf numFmtId="0" fontId="21" fillId="41" borderId="2" xfId="5" applyFont="1" applyFill="1" applyBorder="1" applyAlignment="1">
      <alignment horizontal="center" vertical="center"/>
    </xf>
    <xf numFmtId="0" fontId="20" fillId="41" borderId="2" xfId="0" applyFont="1" applyFill="1" applyBorder="1" applyAlignment="1">
      <alignment horizontal="center" vertical="center"/>
    </xf>
    <xf numFmtId="2" fontId="21" fillId="41" borderId="2" xfId="3" applyNumberFormat="1" applyFont="1" applyFill="1" applyBorder="1" applyAlignment="1">
      <alignment horizontal="center" vertical="center"/>
    </xf>
    <xf numFmtId="166" fontId="21" fillId="41" borderId="2" xfId="3" applyNumberFormat="1" applyFont="1" applyFill="1" applyBorder="1" applyAlignment="1">
      <alignment horizontal="center" vertical="center"/>
    </xf>
    <xf numFmtId="165" fontId="21" fillId="41" borderId="2" xfId="5" applyNumberFormat="1" applyFont="1" applyFill="1" applyBorder="1" applyAlignment="1">
      <alignment horizontal="center" vertical="center"/>
    </xf>
    <xf numFmtId="165" fontId="21" fillId="41" borderId="2" xfId="3" applyNumberFormat="1" applyFont="1" applyFill="1" applyBorder="1" applyAlignment="1">
      <alignment horizontal="center" vertical="center"/>
    </xf>
    <xf numFmtId="10" fontId="21" fillId="41" borderId="2" xfId="3" applyNumberFormat="1" applyFont="1" applyFill="1" applyBorder="1" applyAlignment="1">
      <alignment horizontal="center" vertical="center"/>
    </xf>
    <xf numFmtId="166" fontId="21" fillId="41" borderId="2" xfId="5" applyNumberFormat="1" applyFont="1" applyFill="1" applyBorder="1" applyAlignment="1">
      <alignment horizontal="center" vertical="center"/>
    </xf>
    <xf numFmtId="15" fontId="21" fillId="41" borderId="2" xfId="2" applyNumberFormat="1" applyFont="1" applyFill="1" applyBorder="1" applyAlignment="1">
      <alignment horizontal="center" vertical="center"/>
    </xf>
    <xf numFmtId="166" fontId="21" fillId="41" borderId="2" xfId="2" applyNumberFormat="1" applyFont="1" applyFill="1" applyBorder="1" applyAlignment="1">
      <alignment horizontal="left" vertical="center" wrapText="1"/>
    </xf>
    <xf numFmtId="166" fontId="21" fillId="41" borderId="2" xfId="2" applyNumberFormat="1" applyFont="1" applyFill="1" applyBorder="1" applyAlignment="1">
      <alignment horizontal="left" vertical="center"/>
    </xf>
    <xf numFmtId="16" fontId="25" fillId="41" borderId="2" xfId="3" applyNumberFormat="1" applyFont="1" applyFill="1" applyBorder="1" applyAlignment="1">
      <alignment horizontal="center" vertical="center" wrapText="1"/>
    </xf>
    <xf numFmtId="167" fontId="21" fillId="41" borderId="2" xfId="3" applyNumberFormat="1" applyFont="1" applyFill="1" applyBorder="1" applyAlignment="1">
      <alignment horizontal="center" vertical="center" wrapText="1"/>
    </xf>
    <xf numFmtId="15" fontId="21" fillId="41" borderId="2" xfId="3" applyNumberFormat="1" applyFont="1" applyFill="1" applyBorder="1" applyAlignment="1">
      <alignment horizontal="center" vertical="center"/>
    </xf>
    <xf numFmtId="0" fontId="21" fillId="42" borderId="0" xfId="3" applyFont="1" applyFill="1" applyAlignment="1">
      <alignment horizontal="center" vertical="center"/>
    </xf>
    <xf numFmtId="0" fontId="21" fillId="42" borderId="2" xfId="3" applyFont="1" applyFill="1" applyBorder="1" applyAlignment="1">
      <alignment horizontal="center" vertical="center"/>
    </xf>
    <xf numFmtId="0" fontId="21" fillId="42" borderId="2" xfId="5" applyFont="1" applyFill="1" applyBorder="1" applyAlignment="1">
      <alignment horizontal="center" vertical="center"/>
    </xf>
    <xf numFmtId="0" fontId="20" fillId="42" borderId="2" xfId="0" applyFont="1" applyFill="1" applyBorder="1" applyAlignment="1">
      <alignment horizontal="center" vertical="center"/>
    </xf>
    <xf numFmtId="2" fontId="21" fillId="42" borderId="2" xfId="3" applyNumberFormat="1" applyFont="1" applyFill="1" applyBorder="1" applyAlignment="1">
      <alignment horizontal="center" vertical="center"/>
    </xf>
    <xf numFmtId="166" fontId="21" fillId="42" borderId="2" xfId="3" applyNumberFormat="1" applyFont="1" applyFill="1" applyBorder="1" applyAlignment="1">
      <alignment horizontal="center" vertical="center"/>
    </xf>
    <xf numFmtId="165" fontId="21" fillId="42" borderId="2" xfId="3" applyNumberFormat="1" applyFont="1" applyFill="1" applyBorder="1" applyAlignment="1">
      <alignment horizontal="center" vertical="center"/>
    </xf>
    <xf numFmtId="165" fontId="21" fillId="42" borderId="2" xfId="5" applyNumberFormat="1" applyFont="1" applyFill="1" applyBorder="1" applyAlignment="1">
      <alignment horizontal="center" vertical="center"/>
    </xf>
    <xf numFmtId="10" fontId="21" fillId="42" borderId="2" xfId="3" applyNumberFormat="1" applyFont="1" applyFill="1" applyBorder="1" applyAlignment="1">
      <alignment horizontal="center" vertical="center"/>
    </xf>
    <xf numFmtId="1" fontId="21" fillId="42" borderId="2" xfId="3" applyNumberFormat="1" applyFont="1" applyFill="1" applyBorder="1" applyAlignment="1">
      <alignment horizontal="center" vertical="center"/>
    </xf>
    <xf numFmtId="166" fontId="21" fillId="42" borderId="2" xfId="5" applyNumberFormat="1" applyFont="1" applyFill="1" applyBorder="1" applyAlignment="1">
      <alignment horizontal="center" vertical="center"/>
    </xf>
    <xf numFmtId="15" fontId="21" fillId="42" borderId="2" xfId="2" applyNumberFormat="1" applyFont="1" applyFill="1" applyBorder="1" applyAlignment="1">
      <alignment horizontal="center" vertical="center"/>
    </xf>
    <xf numFmtId="166" fontId="21" fillId="42" borderId="2" xfId="2" applyNumberFormat="1" applyFont="1" applyFill="1" applyBorder="1" applyAlignment="1">
      <alignment horizontal="left" vertical="center" wrapText="1"/>
    </xf>
    <xf numFmtId="166" fontId="21" fillId="42" borderId="2" xfId="2" applyNumberFormat="1" applyFont="1" applyFill="1" applyBorder="1" applyAlignment="1">
      <alignment horizontal="left" vertical="center"/>
    </xf>
    <xf numFmtId="16" fontId="25" fillId="42" borderId="2" xfId="3" applyNumberFormat="1" applyFont="1" applyFill="1" applyBorder="1" applyAlignment="1">
      <alignment horizontal="center" vertical="center" wrapText="1"/>
    </xf>
    <xf numFmtId="167" fontId="21" fillId="42" borderId="2" xfId="3" applyNumberFormat="1" applyFont="1" applyFill="1" applyBorder="1" applyAlignment="1">
      <alignment horizontal="center" vertical="center" wrapText="1"/>
    </xf>
    <xf numFmtId="15" fontId="21" fillId="42" borderId="2" xfId="3" applyNumberFormat="1" applyFont="1" applyFill="1" applyBorder="1" applyAlignment="1">
      <alignment horizontal="center" vertical="center"/>
    </xf>
    <xf numFmtId="1" fontId="20" fillId="41" borderId="2" xfId="0" applyNumberFormat="1" applyFont="1" applyFill="1" applyBorder="1" applyAlignment="1">
      <alignment horizontal="center" vertical="center"/>
    </xf>
    <xf numFmtId="0" fontId="21" fillId="41" borderId="2" xfId="5" applyFont="1" applyFill="1" applyBorder="1" applyAlignment="1">
      <alignment horizontal="left" vertical="center"/>
    </xf>
    <xf numFmtId="166" fontId="21" fillId="41" borderId="2" xfId="3" applyNumberFormat="1" applyFont="1" applyFill="1" applyBorder="1" applyAlignment="1">
      <alignment horizontal="left" vertical="center" wrapText="1"/>
    </xf>
    <xf numFmtId="0" fontId="21" fillId="16" borderId="2" xfId="0" applyFont="1" applyFill="1" applyBorder="1" applyAlignment="1">
      <alignment horizontal="center" vertical="center"/>
    </xf>
    <xf numFmtId="2" fontId="21" fillId="16" borderId="2" xfId="5" applyNumberFormat="1" applyFont="1" applyFill="1" applyBorder="1" applyAlignment="1">
      <alignment horizontal="center" vertical="center"/>
    </xf>
    <xf numFmtId="1" fontId="21" fillId="16" borderId="2" xfId="0" applyNumberFormat="1" applyFont="1" applyFill="1" applyBorder="1" applyAlignment="1">
      <alignment horizontal="center" vertical="center"/>
    </xf>
    <xf numFmtId="0" fontId="21" fillId="16" borderId="2" xfId="5" applyFont="1" applyFill="1" applyBorder="1" applyAlignment="1">
      <alignment horizontal="left" vertical="center"/>
    </xf>
    <xf numFmtId="166" fontId="21" fillId="16" borderId="2" xfId="3" applyNumberFormat="1" applyFont="1" applyFill="1" applyBorder="1" applyAlignment="1">
      <alignment horizontal="left" vertical="center" wrapText="1"/>
    </xf>
    <xf numFmtId="1" fontId="20" fillId="16" borderId="2" xfId="0" applyNumberFormat="1" applyFont="1" applyFill="1" applyBorder="1" applyAlignment="1">
      <alignment horizontal="center" vertical="center"/>
    </xf>
    <xf numFmtId="0" fontId="21" fillId="43" borderId="0" xfId="3" applyFont="1" applyFill="1" applyAlignment="1">
      <alignment horizontal="center" vertical="center"/>
    </xf>
    <xf numFmtId="0" fontId="21" fillId="43" borderId="2" xfId="3" applyFont="1" applyFill="1" applyBorder="1" applyAlignment="1">
      <alignment horizontal="center" vertical="center"/>
    </xf>
    <xf numFmtId="0" fontId="20" fillId="43" borderId="2" xfId="0" applyFont="1" applyFill="1" applyBorder="1" applyAlignment="1">
      <alignment horizontal="center" vertical="center"/>
    </xf>
    <xf numFmtId="2" fontId="21" fillId="43" borderId="2" xfId="3" applyNumberFormat="1" applyFont="1" applyFill="1" applyBorder="1" applyAlignment="1">
      <alignment horizontal="center" vertical="center"/>
    </xf>
    <xf numFmtId="2" fontId="21" fillId="43" borderId="2" xfId="5" applyNumberFormat="1" applyFont="1" applyFill="1" applyBorder="1" applyAlignment="1">
      <alignment horizontal="center" vertical="center"/>
    </xf>
    <xf numFmtId="1" fontId="20" fillId="43" borderId="2" xfId="0" applyNumberFormat="1" applyFont="1" applyFill="1" applyBorder="1" applyAlignment="1">
      <alignment horizontal="center" vertical="center"/>
    </xf>
    <xf numFmtId="165" fontId="21" fillId="43" borderId="2" xfId="3" applyNumberFormat="1" applyFont="1" applyFill="1" applyBorder="1" applyAlignment="1">
      <alignment horizontal="center" vertical="center"/>
    </xf>
    <xf numFmtId="15" fontId="21" fillId="43" borderId="2" xfId="2" applyNumberFormat="1" applyFont="1" applyFill="1" applyBorder="1" applyAlignment="1">
      <alignment horizontal="center" vertical="center"/>
    </xf>
    <xf numFmtId="0" fontId="21" fillId="43" borderId="2" xfId="5" applyFont="1" applyFill="1" applyBorder="1" applyAlignment="1">
      <alignment horizontal="left" vertical="center"/>
    </xf>
    <xf numFmtId="166" fontId="21" fillId="43" borderId="2" xfId="3" applyNumberFormat="1" applyFont="1" applyFill="1" applyBorder="1" applyAlignment="1">
      <alignment horizontal="left" vertical="center" wrapText="1"/>
    </xf>
    <xf numFmtId="16" fontId="25" fillId="43" borderId="2" xfId="3" applyNumberFormat="1" applyFont="1" applyFill="1" applyBorder="1" applyAlignment="1">
      <alignment horizontal="center" vertical="center" wrapText="1"/>
    </xf>
    <xf numFmtId="167" fontId="21" fillId="43" borderId="2" xfId="3" applyNumberFormat="1" applyFont="1" applyFill="1" applyBorder="1" applyAlignment="1">
      <alignment horizontal="center" vertical="center" wrapText="1"/>
    </xf>
    <xf numFmtId="15" fontId="21" fillId="43" borderId="2" xfId="3" applyNumberFormat="1" applyFont="1" applyFill="1" applyBorder="1" applyAlignment="1">
      <alignment horizontal="center" vertical="center"/>
    </xf>
    <xf numFmtId="2" fontId="21" fillId="42" borderId="2" xfId="5" applyNumberFormat="1" applyFont="1" applyFill="1" applyBorder="1" applyAlignment="1">
      <alignment horizontal="center" vertical="center"/>
    </xf>
    <xf numFmtId="1" fontId="20" fillId="42" borderId="2" xfId="0" applyNumberFormat="1" applyFont="1" applyFill="1" applyBorder="1" applyAlignment="1">
      <alignment horizontal="center" vertical="center"/>
    </xf>
    <xf numFmtId="0" fontId="21" fillId="42" borderId="2" xfId="5" applyFont="1" applyFill="1" applyBorder="1" applyAlignment="1">
      <alignment horizontal="left" vertical="center"/>
    </xf>
    <xf numFmtId="166" fontId="21" fillId="42" borderId="2" xfId="3" applyNumberFormat="1" applyFont="1" applyFill="1" applyBorder="1" applyAlignment="1">
      <alignment horizontal="left" vertical="center" wrapText="1"/>
    </xf>
    <xf numFmtId="0" fontId="21" fillId="44" borderId="0" xfId="3" applyFont="1" applyFill="1" applyAlignment="1">
      <alignment horizontal="center" vertical="center"/>
    </xf>
    <xf numFmtId="0" fontId="21" fillId="44" borderId="2" xfId="3" applyFont="1" applyFill="1" applyBorder="1" applyAlignment="1">
      <alignment horizontal="center" vertical="center"/>
    </xf>
    <xf numFmtId="0" fontId="20" fillId="44" borderId="2" xfId="0" applyFont="1" applyFill="1" applyBorder="1" applyAlignment="1">
      <alignment horizontal="center" vertical="center"/>
    </xf>
    <xf numFmtId="2" fontId="21" fillId="44" borderId="2" xfId="3" applyNumberFormat="1" applyFont="1" applyFill="1" applyBorder="1" applyAlignment="1">
      <alignment horizontal="center" vertical="center"/>
    </xf>
    <xf numFmtId="1" fontId="20" fillId="44" borderId="2" xfId="0" applyNumberFormat="1" applyFont="1" applyFill="1" applyBorder="1" applyAlignment="1">
      <alignment horizontal="center" vertical="center"/>
    </xf>
    <xf numFmtId="165" fontId="21" fillId="44" borderId="2" xfId="3" applyNumberFormat="1" applyFont="1" applyFill="1" applyBorder="1" applyAlignment="1">
      <alignment horizontal="center" vertical="center"/>
    </xf>
    <xf numFmtId="15" fontId="21" fillId="44" borderId="2" xfId="2" applyNumberFormat="1" applyFont="1" applyFill="1" applyBorder="1" applyAlignment="1">
      <alignment horizontal="center" vertical="center"/>
    </xf>
    <xf numFmtId="0" fontId="21" fillId="44" borderId="2" xfId="5" applyFont="1" applyFill="1" applyBorder="1" applyAlignment="1">
      <alignment horizontal="left" vertical="center"/>
    </xf>
    <xf numFmtId="166" fontId="21" fillId="44" borderId="2" xfId="3" applyNumberFormat="1" applyFont="1" applyFill="1" applyBorder="1" applyAlignment="1">
      <alignment horizontal="left" vertical="center" wrapText="1"/>
    </xf>
    <xf numFmtId="16" fontId="25" fillId="44" borderId="2" xfId="3" applyNumberFormat="1" applyFont="1" applyFill="1" applyBorder="1" applyAlignment="1">
      <alignment horizontal="center" vertical="center" wrapText="1"/>
    </xf>
    <xf numFmtId="167" fontId="21" fillId="44" borderId="2" xfId="3" applyNumberFormat="1" applyFont="1" applyFill="1" applyBorder="1" applyAlignment="1">
      <alignment horizontal="center" vertical="center" wrapText="1"/>
    </xf>
    <xf numFmtId="15" fontId="21" fillId="44" borderId="2" xfId="3" applyNumberFormat="1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65" fontId="5" fillId="0" borderId="0" xfId="2" applyNumberFormat="1" applyAlignment="1">
      <alignment horizontal="center" vertical="center"/>
    </xf>
    <xf numFmtId="1" fontId="9" fillId="0" borderId="4" xfId="2" applyNumberFormat="1" applyFont="1" applyBorder="1" applyAlignment="1">
      <alignment horizontal="center" vertical="center"/>
    </xf>
    <xf numFmtId="1" fontId="9" fillId="0" borderId="6" xfId="2" applyNumberFormat="1" applyFont="1" applyBorder="1" applyAlignment="1">
      <alignment horizontal="center" vertical="center"/>
    </xf>
    <xf numFmtId="1" fontId="9" fillId="0" borderId="3" xfId="2" applyNumberFormat="1" applyFont="1" applyBorder="1" applyAlignment="1">
      <alignment horizontal="center" vertical="center"/>
    </xf>
    <xf numFmtId="1" fontId="9" fillId="0" borderId="2" xfId="2" applyNumberFormat="1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9" fillId="4" borderId="7" xfId="2" applyFont="1" applyFill="1" applyBorder="1" applyAlignment="1">
      <alignment horizontal="center" vertical="center"/>
    </xf>
    <xf numFmtId="0" fontId="9" fillId="4" borderId="4" xfId="2" applyFont="1" applyFill="1" applyBorder="1" applyAlignment="1">
      <alignment horizontal="center" vertical="center"/>
    </xf>
    <xf numFmtId="0" fontId="9" fillId="4" borderId="6" xfId="2" applyFont="1" applyFill="1" applyBorder="1" applyAlignment="1">
      <alignment horizontal="center" vertical="center"/>
    </xf>
    <xf numFmtId="0" fontId="9" fillId="4" borderId="3" xfId="2" applyFont="1" applyFill="1" applyBorder="1" applyAlignment="1">
      <alignment horizontal="center" vertical="center"/>
    </xf>
    <xf numFmtId="0" fontId="9" fillId="4" borderId="2" xfId="2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0" fontId="3" fillId="0" borderId="8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3" fillId="0" borderId="9" xfId="5" applyFont="1" applyBorder="1" applyAlignment="1">
      <alignment horizontal="center" vertical="center"/>
    </xf>
    <xf numFmtId="0" fontId="3" fillId="16" borderId="5" xfId="5" applyFont="1" applyFill="1" applyBorder="1" applyAlignment="1">
      <alignment horizontal="center" vertical="center"/>
    </xf>
    <xf numFmtId="0" fontId="3" fillId="16" borderId="13" xfId="5" applyFont="1" applyFill="1" applyBorder="1" applyAlignment="1">
      <alignment horizontal="center" vertical="center"/>
    </xf>
    <xf numFmtId="0" fontId="3" fillId="16" borderId="7" xfId="5" applyFont="1" applyFill="1" applyBorder="1" applyAlignment="1">
      <alignment horizontal="center" vertical="center"/>
    </xf>
    <xf numFmtId="1" fontId="3" fillId="2" borderId="6" xfId="3" applyNumberFormat="1" applyFont="1" applyFill="1" applyBorder="1" applyAlignment="1">
      <alignment horizontal="center" vertical="center"/>
    </xf>
    <xf numFmtId="1" fontId="3" fillId="2" borderId="3" xfId="3" applyNumberFormat="1" applyFont="1" applyFill="1" applyBorder="1" applyAlignment="1">
      <alignment horizontal="center" vertical="center"/>
    </xf>
    <xf numFmtId="0" fontId="3" fillId="6" borderId="10" xfId="5" applyFont="1" applyFill="1" applyBorder="1" applyAlignment="1">
      <alignment horizontal="center" vertical="center"/>
    </xf>
    <xf numFmtId="0" fontId="3" fillId="6" borderId="11" xfId="5" applyFont="1" applyFill="1" applyBorder="1" applyAlignment="1">
      <alignment horizontal="center" vertical="center"/>
    </xf>
    <xf numFmtId="0" fontId="3" fillId="6" borderId="12" xfId="5" applyFont="1" applyFill="1" applyBorder="1" applyAlignment="1">
      <alignment horizontal="center" vertical="center"/>
    </xf>
    <xf numFmtId="1" fontId="3" fillId="6" borderId="4" xfId="5" applyNumberFormat="1" applyFont="1" applyFill="1" applyBorder="1" applyAlignment="1">
      <alignment horizontal="center" vertical="center"/>
    </xf>
    <xf numFmtId="1" fontId="3" fillId="6" borderId="3" xfId="5" applyNumberFormat="1" applyFont="1" applyFill="1" applyBorder="1" applyAlignment="1">
      <alignment horizontal="center" vertical="center"/>
    </xf>
    <xf numFmtId="0" fontId="3" fillId="4" borderId="4" xfId="5" applyFont="1" applyFill="1" applyBorder="1" applyAlignment="1">
      <alignment horizontal="center" vertical="center"/>
    </xf>
    <xf numFmtId="0" fontId="3" fillId="4" borderId="6" xfId="5" applyFont="1" applyFill="1" applyBorder="1" applyAlignment="1">
      <alignment horizontal="center" vertical="center"/>
    </xf>
    <xf numFmtId="0" fontId="3" fillId="4" borderId="3" xfId="5" applyFont="1" applyFill="1" applyBorder="1" applyAlignment="1">
      <alignment horizontal="center" vertical="center"/>
    </xf>
    <xf numFmtId="0" fontId="16" fillId="7" borderId="5" xfId="5" applyFont="1" applyFill="1" applyBorder="1" applyAlignment="1">
      <alignment horizontal="center" vertical="center" wrapText="1"/>
    </xf>
    <xf numFmtId="0" fontId="16" fillId="7" borderId="13" xfId="5" applyFont="1" applyFill="1" applyBorder="1" applyAlignment="1">
      <alignment horizontal="center" vertical="center" wrapText="1"/>
    </xf>
    <xf numFmtId="0" fontId="16" fillId="7" borderId="7" xfId="5" applyFont="1" applyFill="1" applyBorder="1" applyAlignment="1">
      <alignment horizontal="center" vertical="center" wrapText="1"/>
    </xf>
    <xf numFmtId="0" fontId="3" fillId="2" borderId="5" xfId="5" applyFont="1" applyFill="1" applyBorder="1" applyAlignment="1">
      <alignment horizontal="center" vertical="center"/>
    </xf>
    <xf numFmtId="0" fontId="3" fillId="2" borderId="13" xfId="5" applyFont="1" applyFill="1" applyBorder="1" applyAlignment="1">
      <alignment horizontal="center" vertical="center"/>
    </xf>
    <xf numFmtId="0" fontId="3" fillId="2" borderId="7" xfId="5" applyFont="1" applyFill="1" applyBorder="1" applyAlignment="1">
      <alignment horizontal="center" vertical="center"/>
    </xf>
    <xf numFmtId="0" fontId="3" fillId="14" borderId="5" xfId="5" applyFont="1" applyFill="1" applyBorder="1" applyAlignment="1">
      <alignment horizontal="center" vertical="center"/>
    </xf>
    <xf numFmtId="0" fontId="3" fillId="14" borderId="13" xfId="5" applyFont="1" applyFill="1" applyBorder="1" applyAlignment="1">
      <alignment horizontal="center" vertical="center"/>
    </xf>
    <xf numFmtId="0" fontId="3" fillId="14" borderId="7" xfId="5" applyFont="1" applyFill="1" applyBorder="1" applyAlignment="1">
      <alignment horizontal="center" vertical="center"/>
    </xf>
    <xf numFmtId="0" fontId="9" fillId="4" borderId="5" xfId="4" applyFont="1" applyFill="1" applyBorder="1" applyAlignment="1">
      <alignment horizontal="center" vertical="center"/>
    </xf>
    <xf numFmtId="0" fontId="9" fillId="4" borderId="7" xfId="4" applyFont="1" applyFill="1" applyBorder="1" applyAlignment="1">
      <alignment horizontal="center" vertical="center"/>
    </xf>
    <xf numFmtId="0" fontId="9" fillId="4" borderId="4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0" fontId="9" fillId="4" borderId="3" xfId="4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0" fillId="3" borderId="5" xfId="6" applyFont="1" applyFill="1" applyBorder="1" applyAlignment="1">
      <alignment horizontal="center" vertical="center"/>
    </xf>
    <xf numFmtId="0" fontId="30" fillId="3" borderId="7" xfId="6" applyFont="1" applyFill="1" applyBorder="1" applyAlignment="1">
      <alignment horizontal="center" vertical="center"/>
    </xf>
    <xf numFmtId="0" fontId="30" fillId="10" borderId="4" xfId="6" applyFont="1" applyFill="1" applyBorder="1" applyAlignment="1">
      <alignment horizontal="center"/>
    </xf>
    <xf numFmtId="0" fontId="30" fillId="10" borderId="3" xfId="6" applyFont="1" applyFill="1" applyBorder="1" applyAlignment="1">
      <alignment horizontal="center"/>
    </xf>
    <xf numFmtId="165" fontId="21" fillId="0" borderId="5" xfId="3" applyNumberFormat="1" applyFont="1" applyBorder="1" applyAlignment="1">
      <alignment horizontal="center" vertical="center"/>
    </xf>
    <xf numFmtId="165" fontId="21" fillId="0" borderId="7" xfId="3" applyNumberFormat="1" applyFont="1" applyBorder="1" applyAlignment="1">
      <alignment horizontal="center" vertical="center"/>
    </xf>
    <xf numFmtId="165" fontId="21" fillId="42" borderId="5" xfId="3" applyNumberFormat="1" applyFont="1" applyFill="1" applyBorder="1" applyAlignment="1">
      <alignment horizontal="center" vertical="center"/>
    </xf>
    <xf numFmtId="165" fontId="21" fillId="42" borderId="7" xfId="3" applyNumberFormat="1" applyFont="1" applyFill="1" applyBorder="1" applyAlignment="1">
      <alignment horizontal="center" vertical="center"/>
    </xf>
    <xf numFmtId="165" fontId="21" fillId="37" borderId="5" xfId="3" applyNumberFormat="1" applyFont="1" applyFill="1" applyBorder="1" applyAlignment="1">
      <alignment horizontal="center" vertical="center"/>
    </xf>
    <xf numFmtId="165" fontId="21" fillId="37" borderId="7" xfId="3" applyNumberFormat="1" applyFont="1" applyFill="1" applyBorder="1" applyAlignment="1">
      <alignment horizontal="center" vertical="center"/>
    </xf>
    <xf numFmtId="165" fontId="21" fillId="43" borderId="5" xfId="3" applyNumberFormat="1" applyFont="1" applyFill="1" applyBorder="1" applyAlignment="1">
      <alignment horizontal="center" vertical="center"/>
    </xf>
    <xf numFmtId="165" fontId="21" fillId="43" borderId="7" xfId="3" applyNumberFormat="1" applyFont="1" applyFill="1" applyBorder="1" applyAlignment="1">
      <alignment horizontal="center" vertical="center"/>
    </xf>
    <xf numFmtId="165" fontId="21" fillId="41" borderId="5" xfId="3" applyNumberFormat="1" applyFont="1" applyFill="1" applyBorder="1" applyAlignment="1">
      <alignment horizontal="center" vertical="center"/>
    </xf>
    <xf numFmtId="165" fontId="21" fillId="41" borderId="7" xfId="3" applyNumberFormat="1" applyFont="1" applyFill="1" applyBorder="1" applyAlignment="1">
      <alignment horizontal="center" vertical="center"/>
    </xf>
    <xf numFmtId="165" fontId="21" fillId="44" borderId="5" xfId="3" applyNumberFormat="1" applyFont="1" applyFill="1" applyBorder="1" applyAlignment="1">
      <alignment horizontal="center" vertical="center"/>
    </xf>
    <xf numFmtId="165" fontId="21" fillId="44" borderId="7" xfId="3" applyNumberFormat="1" applyFont="1" applyFill="1" applyBorder="1" applyAlignment="1">
      <alignment horizontal="center" vertical="center"/>
    </xf>
    <xf numFmtId="165" fontId="21" fillId="11" borderId="5" xfId="3" applyNumberFormat="1" applyFont="1" applyFill="1" applyBorder="1" applyAlignment="1">
      <alignment horizontal="center" vertical="center"/>
    </xf>
    <xf numFmtId="165" fontId="21" fillId="11" borderId="7" xfId="3" applyNumberFormat="1" applyFont="1" applyFill="1" applyBorder="1" applyAlignment="1">
      <alignment horizontal="center" vertical="center"/>
    </xf>
    <xf numFmtId="165" fontId="21" fillId="5" borderId="5" xfId="3" applyNumberFormat="1" applyFont="1" applyFill="1" applyBorder="1" applyAlignment="1">
      <alignment horizontal="center" vertical="center"/>
    </xf>
    <xf numFmtId="165" fontId="21" fillId="5" borderId="7" xfId="3" applyNumberFormat="1" applyFont="1" applyFill="1" applyBorder="1" applyAlignment="1">
      <alignment horizontal="center" vertical="center"/>
    </xf>
    <xf numFmtId="165" fontId="21" fillId="31" borderId="5" xfId="3" applyNumberFormat="1" applyFont="1" applyFill="1" applyBorder="1" applyAlignment="1">
      <alignment horizontal="center" vertical="center"/>
    </xf>
    <xf numFmtId="165" fontId="21" fillId="31" borderId="7" xfId="3" applyNumberFormat="1" applyFont="1" applyFill="1" applyBorder="1" applyAlignment="1">
      <alignment horizontal="center" vertical="center"/>
    </xf>
    <xf numFmtId="165" fontId="21" fillId="38" borderId="5" xfId="3" applyNumberFormat="1" applyFont="1" applyFill="1" applyBorder="1" applyAlignment="1">
      <alignment horizontal="center" vertical="center"/>
    </xf>
    <xf numFmtId="165" fontId="21" fillId="38" borderId="7" xfId="3" applyNumberFormat="1" applyFont="1" applyFill="1" applyBorder="1" applyAlignment="1">
      <alignment horizontal="center" vertical="center"/>
    </xf>
    <xf numFmtId="165" fontId="21" fillId="21" borderId="5" xfId="3" applyNumberFormat="1" applyFont="1" applyFill="1" applyBorder="1" applyAlignment="1">
      <alignment horizontal="center" vertical="center"/>
    </xf>
    <xf numFmtId="165" fontId="21" fillId="21" borderId="7" xfId="3" applyNumberFormat="1" applyFont="1" applyFill="1" applyBorder="1" applyAlignment="1">
      <alignment horizontal="center" vertical="center"/>
    </xf>
    <xf numFmtId="0" fontId="36" fillId="0" borderId="0" xfId="5" applyFont="1" applyAlignment="1">
      <alignment horizontal="center" vertical="center"/>
    </xf>
    <xf numFmtId="165" fontId="21" fillId="10" borderId="5" xfId="5" applyNumberFormat="1" applyFont="1" applyFill="1" applyBorder="1" applyAlignment="1">
      <alignment horizontal="center" vertical="center"/>
    </xf>
    <xf numFmtId="165" fontId="21" fillId="10" borderId="7" xfId="5" applyNumberFormat="1" applyFont="1" applyFill="1" applyBorder="1" applyAlignment="1">
      <alignment horizontal="center" vertical="center"/>
    </xf>
    <xf numFmtId="165" fontId="21" fillId="0" borderId="5" xfId="5" applyNumberFormat="1" applyFont="1" applyBorder="1" applyAlignment="1">
      <alignment horizontal="center" vertical="center" wrapText="1"/>
    </xf>
    <xf numFmtId="165" fontId="21" fillId="0" borderId="7" xfId="5" applyNumberFormat="1" applyFont="1" applyBorder="1" applyAlignment="1">
      <alignment horizontal="center" vertical="center" wrapText="1"/>
    </xf>
    <xf numFmtId="165" fontId="21" fillId="0" borderId="13" xfId="5" applyNumberFormat="1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17" fillId="0" borderId="0" xfId="5" applyFont="1" applyAlignment="1">
      <alignment horizontal="center" vertical="center"/>
    </xf>
    <xf numFmtId="165" fontId="21" fillId="10" borderId="13" xfId="5" applyNumberFormat="1" applyFont="1" applyFill="1" applyBorder="1" applyAlignment="1">
      <alignment horizontal="center" vertical="center"/>
    </xf>
    <xf numFmtId="165" fontId="21" fillId="16" borderId="5" xfId="3" applyNumberFormat="1" applyFont="1" applyFill="1" applyBorder="1" applyAlignment="1">
      <alignment horizontal="center" vertical="center"/>
    </xf>
  </cellXfs>
  <cellStyles count="7">
    <cellStyle name="Comma" xfId="1" builtinId="3"/>
    <cellStyle name="Normal" xfId="0" builtinId="0"/>
    <cellStyle name="Normal 10 2" xfId="5" xr:uid="{83B35022-12ED-457B-87DA-2665161C3F5B}"/>
    <cellStyle name="Normal 2 2 2 3 2 2 2" xfId="3" xr:uid="{731FD5D1-5FEE-4387-99B6-3BE09F967923}"/>
    <cellStyle name="Normal 2 3" xfId="2" xr:uid="{45C8FF64-382C-4A83-ADE0-5394D352EAD9}"/>
    <cellStyle name="Normal 2 3 5" xfId="4" xr:uid="{B2099AFD-396C-425E-B58F-FA94C1D04E1F}"/>
    <cellStyle name="Normal 6" xfId="6" xr:uid="{7D89E843-58FE-4D93-8F8A-7859D57B1018}"/>
  </cellStyles>
  <dxfs count="0"/>
  <tableStyles count="0" defaultTableStyle="TableStyleMedium2" defaultPivotStyle="PivotStyleLight16"/>
  <colors>
    <mruColors>
      <color rgb="FF9999FF"/>
      <color rgb="FFCCCCFF"/>
      <color rgb="FFFFCC00"/>
      <color rgb="FF33CCCC"/>
      <color rgb="FF99FF33"/>
      <color rgb="FF66FFCC"/>
      <color rgb="FFCCECFF"/>
      <color rgb="FFFF9999"/>
      <color rgb="FF0066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id-ID">
                <a:solidFill>
                  <a:srgbClr val="002060"/>
                </a:solidFill>
              </a:rPr>
              <a:t>FINISH GOOD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Data!$B$10</c:f>
              <c:strCache>
                <c:ptCount val="1"/>
                <c:pt idx="0">
                  <c:v>PRIME</c:v>
                </c:pt>
              </c:strCache>
            </c:strRef>
          </c:tx>
          <c:invertIfNegative val="0"/>
          <c:cat>
            <c:numRef>
              <c:f>Data!$E$1:$AI$1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Data!$E$10:$AI$10</c:f>
              <c:numCache>
                <c:formatCode>0</c:formatCode>
                <c:ptCount val="28"/>
                <c:pt idx="0">
                  <c:v>1071.453</c:v>
                </c:pt>
                <c:pt idx="1">
                  <c:v>1125.4580000000001</c:v>
                </c:pt>
                <c:pt idx="2">
                  <c:v>802.06600000000003</c:v>
                </c:pt>
                <c:pt idx="3">
                  <c:v>824.61099999999999</c:v>
                </c:pt>
                <c:pt idx="4">
                  <c:v>835.07100000000003</c:v>
                </c:pt>
                <c:pt idx="5">
                  <c:v>835.07100000000003</c:v>
                </c:pt>
                <c:pt idx="6">
                  <c:v>808.73599999999999</c:v>
                </c:pt>
                <c:pt idx="7">
                  <c:v>665.89099999999996</c:v>
                </c:pt>
                <c:pt idx="8">
                  <c:v>603.971</c:v>
                </c:pt>
                <c:pt idx="9">
                  <c:v>603.25400000000002</c:v>
                </c:pt>
                <c:pt idx="10">
                  <c:v>582.36199999999997</c:v>
                </c:pt>
                <c:pt idx="11">
                  <c:v>680.322</c:v>
                </c:pt>
                <c:pt idx="12">
                  <c:v>772.27200000000005</c:v>
                </c:pt>
                <c:pt idx="13">
                  <c:v>728.92200000000003</c:v>
                </c:pt>
                <c:pt idx="14">
                  <c:v>775.45699999999999</c:v>
                </c:pt>
                <c:pt idx="15">
                  <c:v>807.97699999999998</c:v>
                </c:pt>
                <c:pt idx="16">
                  <c:v>807.04200000000003</c:v>
                </c:pt>
                <c:pt idx="17">
                  <c:v>827.03700000000003</c:v>
                </c:pt>
                <c:pt idx="18">
                  <c:v>953.37199999999996</c:v>
                </c:pt>
                <c:pt idx="19">
                  <c:v>1031.252</c:v>
                </c:pt>
                <c:pt idx="20">
                  <c:v>1062.537</c:v>
                </c:pt>
                <c:pt idx="21">
                  <c:v>1184.7470000000001</c:v>
                </c:pt>
                <c:pt idx="22">
                  <c:v>1156.182</c:v>
                </c:pt>
                <c:pt idx="23">
                  <c:v>1071.7619999999999</c:v>
                </c:pt>
                <c:pt idx="24">
                  <c:v>799.87199999999996</c:v>
                </c:pt>
                <c:pt idx="25">
                  <c:v>680.66200000000003</c:v>
                </c:pt>
                <c:pt idx="26">
                  <c:v>746.197</c:v>
                </c:pt>
                <c:pt idx="27">
                  <c:v>751.44200000000001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5-44A8-9C74-1C1E586F8A44}"/>
            </c:ext>
          </c:extLst>
        </c:ser>
        <c:ser>
          <c:idx val="0"/>
          <c:order val="1"/>
          <c:tx>
            <c:strRef>
              <c:f>Data!$B$11</c:f>
              <c:strCache>
                <c:ptCount val="1"/>
                <c:pt idx="0">
                  <c:v>KW2 COIL</c:v>
                </c:pt>
              </c:strCache>
            </c:strRef>
          </c:tx>
          <c:invertIfNegative val="0"/>
          <c:val>
            <c:numRef>
              <c:f>Data!$E$11:$AI$11</c:f>
              <c:numCache>
                <c:formatCode>0</c:formatCode>
                <c:ptCount val="28"/>
                <c:pt idx="0">
                  <c:v>69.724999999999994</c:v>
                </c:pt>
                <c:pt idx="1">
                  <c:v>69.724999999999994</c:v>
                </c:pt>
                <c:pt idx="2">
                  <c:v>69.724999999999994</c:v>
                </c:pt>
                <c:pt idx="3">
                  <c:v>69.724999999999994</c:v>
                </c:pt>
                <c:pt idx="4">
                  <c:v>69.724999999999994</c:v>
                </c:pt>
                <c:pt idx="5">
                  <c:v>69.724999999999994</c:v>
                </c:pt>
                <c:pt idx="6">
                  <c:v>70.015000000000001</c:v>
                </c:pt>
                <c:pt idx="7">
                  <c:v>70.015000000000001</c:v>
                </c:pt>
                <c:pt idx="8">
                  <c:v>70.015000000000001</c:v>
                </c:pt>
                <c:pt idx="9">
                  <c:v>70.015000000000001</c:v>
                </c:pt>
                <c:pt idx="10">
                  <c:v>70.015000000000001</c:v>
                </c:pt>
                <c:pt idx="11">
                  <c:v>70.015000000000001</c:v>
                </c:pt>
                <c:pt idx="12">
                  <c:v>70.015000000000001</c:v>
                </c:pt>
                <c:pt idx="13">
                  <c:v>70.015000000000001</c:v>
                </c:pt>
                <c:pt idx="14">
                  <c:v>70.459999999999994</c:v>
                </c:pt>
                <c:pt idx="15">
                  <c:v>70.459999999999994</c:v>
                </c:pt>
                <c:pt idx="16">
                  <c:v>70.459999999999994</c:v>
                </c:pt>
                <c:pt idx="17">
                  <c:v>70.894999999999996</c:v>
                </c:pt>
                <c:pt idx="18">
                  <c:v>70.894999999999996</c:v>
                </c:pt>
                <c:pt idx="19">
                  <c:v>70.894999999999996</c:v>
                </c:pt>
                <c:pt idx="20">
                  <c:v>70.894999999999996</c:v>
                </c:pt>
                <c:pt idx="21">
                  <c:v>70.894999999999996</c:v>
                </c:pt>
                <c:pt idx="22">
                  <c:v>70.894999999999996</c:v>
                </c:pt>
                <c:pt idx="23">
                  <c:v>70.894999999999996</c:v>
                </c:pt>
                <c:pt idx="24">
                  <c:v>71.875</c:v>
                </c:pt>
                <c:pt idx="25">
                  <c:v>75.254999999999995</c:v>
                </c:pt>
                <c:pt idx="26">
                  <c:v>75.254999999999995</c:v>
                </c:pt>
                <c:pt idx="27">
                  <c:v>75.254999999999995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5-44A8-9C74-1C1E586F8A44}"/>
            </c:ext>
          </c:extLst>
        </c:ser>
        <c:ser>
          <c:idx val="2"/>
          <c:order val="2"/>
          <c:tx>
            <c:strRef>
              <c:f>Data!$B$12</c:f>
              <c:strCache>
                <c:ptCount val="1"/>
                <c:pt idx="0">
                  <c:v>KW2 SHEET</c:v>
                </c:pt>
              </c:strCache>
            </c:strRef>
          </c:tx>
          <c:invertIfNegative val="0"/>
          <c:val>
            <c:numRef>
              <c:f>Data!$E$12:$AI$12</c:f>
              <c:numCache>
                <c:formatCode>0</c:formatCode>
                <c:ptCount val="28"/>
                <c:pt idx="0">
                  <c:v>2.9540000000000002</c:v>
                </c:pt>
                <c:pt idx="1">
                  <c:v>2.9540000000000002</c:v>
                </c:pt>
                <c:pt idx="2">
                  <c:v>2.9540000000000002</c:v>
                </c:pt>
                <c:pt idx="3">
                  <c:v>2.9540000000000002</c:v>
                </c:pt>
                <c:pt idx="4">
                  <c:v>2.9540000000000002</c:v>
                </c:pt>
                <c:pt idx="5">
                  <c:v>2.9540000000000002</c:v>
                </c:pt>
                <c:pt idx="6">
                  <c:v>2.9540000000000002</c:v>
                </c:pt>
                <c:pt idx="7">
                  <c:v>2.9540000000000002</c:v>
                </c:pt>
                <c:pt idx="8">
                  <c:v>2.9540000000000002</c:v>
                </c:pt>
                <c:pt idx="9">
                  <c:v>2.9540000000000002</c:v>
                </c:pt>
                <c:pt idx="10">
                  <c:v>2.9540000000000002</c:v>
                </c:pt>
                <c:pt idx="11">
                  <c:v>2.9540000000000002</c:v>
                </c:pt>
                <c:pt idx="12">
                  <c:v>2.9540000000000002</c:v>
                </c:pt>
                <c:pt idx="13">
                  <c:v>2.9540000000000002</c:v>
                </c:pt>
                <c:pt idx="14">
                  <c:v>2.9540000000000002</c:v>
                </c:pt>
                <c:pt idx="15">
                  <c:v>2.9540000000000002</c:v>
                </c:pt>
                <c:pt idx="16">
                  <c:v>2.9540000000000002</c:v>
                </c:pt>
                <c:pt idx="17">
                  <c:v>2.9540000000000002</c:v>
                </c:pt>
                <c:pt idx="18">
                  <c:v>2.9540000000000002</c:v>
                </c:pt>
                <c:pt idx="19">
                  <c:v>2.9540000000000002</c:v>
                </c:pt>
                <c:pt idx="20">
                  <c:v>2.9540000000000002</c:v>
                </c:pt>
                <c:pt idx="21">
                  <c:v>2.9540000000000002</c:v>
                </c:pt>
                <c:pt idx="22">
                  <c:v>3.1190000000000002</c:v>
                </c:pt>
                <c:pt idx="23">
                  <c:v>3.1190000000000002</c:v>
                </c:pt>
                <c:pt idx="24">
                  <c:v>3.1190000000000002</c:v>
                </c:pt>
                <c:pt idx="25">
                  <c:v>3.1190000000000002</c:v>
                </c:pt>
                <c:pt idx="26">
                  <c:v>3.1190000000000002</c:v>
                </c:pt>
                <c:pt idx="27">
                  <c:v>3.1190000000000002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5-44A8-9C74-1C1E586F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228800"/>
        <c:axId val="451233064"/>
      </c:barChart>
      <c:lineChart>
        <c:grouping val="standard"/>
        <c:varyColors val="0"/>
        <c:ser>
          <c:idx val="3"/>
          <c:order val="3"/>
          <c:tx>
            <c:strRef>
              <c:f>Data!$B$13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Data!$E$13:$AH$13</c:f>
              <c:numCache>
                <c:formatCode>0</c:formatCode>
                <c:ptCount val="28"/>
                <c:pt idx="0">
                  <c:v>1144.1319999999998</c:v>
                </c:pt>
                <c:pt idx="1">
                  <c:v>1198.1369999999999</c:v>
                </c:pt>
                <c:pt idx="2">
                  <c:v>874.745</c:v>
                </c:pt>
                <c:pt idx="3">
                  <c:v>897.29</c:v>
                </c:pt>
                <c:pt idx="4">
                  <c:v>907.75</c:v>
                </c:pt>
                <c:pt idx="5">
                  <c:v>907.75</c:v>
                </c:pt>
                <c:pt idx="6">
                  <c:v>881.70499999999993</c:v>
                </c:pt>
                <c:pt idx="7">
                  <c:v>738.8599999999999</c:v>
                </c:pt>
                <c:pt idx="8">
                  <c:v>676.93999999999994</c:v>
                </c:pt>
                <c:pt idx="9">
                  <c:v>676.22299999999996</c:v>
                </c:pt>
                <c:pt idx="10">
                  <c:v>655.3309999999999</c:v>
                </c:pt>
                <c:pt idx="11">
                  <c:v>753.29099999999994</c:v>
                </c:pt>
                <c:pt idx="12">
                  <c:v>845.24099999999999</c:v>
                </c:pt>
                <c:pt idx="13">
                  <c:v>801.89099999999996</c:v>
                </c:pt>
                <c:pt idx="14">
                  <c:v>848.87099999999998</c:v>
                </c:pt>
                <c:pt idx="15">
                  <c:v>881.39099999999996</c:v>
                </c:pt>
                <c:pt idx="16">
                  <c:v>880.45600000000002</c:v>
                </c:pt>
                <c:pt idx="17">
                  <c:v>900.88599999999997</c:v>
                </c:pt>
                <c:pt idx="18">
                  <c:v>1027.221</c:v>
                </c:pt>
                <c:pt idx="19">
                  <c:v>1105.1009999999999</c:v>
                </c:pt>
                <c:pt idx="20">
                  <c:v>1136.386</c:v>
                </c:pt>
                <c:pt idx="21">
                  <c:v>1258.596</c:v>
                </c:pt>
                <c:pt idx="22">
                  <c:v>1230.1959999999999</c:v>
                </c:pt>
                <c:pt idx="23">
                  <c:v>1145.7759999999998</c:v>
                </c:pt>
                <c:pt idx="24">
                  <c:v>874.86599999999999</c:v>
                </c:pt>
                <c:pt idx="25">
                  <c:v>759.03600000000006</c:v>
                </c:pt>
                <c:pt idx="26">
                  <c:v>824.57100000000003</c:v>
                </c:pt>
                <c:pt idx="27">
                  <c:v>829.81600000000003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5-44A8-9C74-1C1E586F8A44}"/>
            </c:ext>
          </c:extLst>
        </c:ser>
        <c:ser>
          <c:idx val="4"/>
          <c:order val="4"/>
          <c:tx>
            <c:strRef>
              <c:f>Data!$B$14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val>
            <c:numRef>
              <c:f>Data!$E$14:$AI$14</c:f>
              <c:numCache>
                <c:formatCode>General</c:formatCode>
                <c:ptCount val="2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25-44A8-9C74-1C1E586F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228800"/>
        <c:axId val="451233064"/>
      </c:lineChart>
      <c:catAx>
        <c:axId val="451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3064"/>
        <c:crosses val="autoZero"/>
        <c:auto val="1"/>
        <c:lblAlgn val="ctr"/>
        <c:lblOffset val="100"/>
        <c:noMultiLvlLbl val="0"/>
      </c:catAx>
      <c:valAx>
        <c:axId val="451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Metric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800"/>
        <c:crosses val="autoZero"/>
        <c:crossBetween val="between"/>
      </c:valAx>
      <c:spPr>
        <a:gradFill>
          <a:gsLst>
            <a:gs pos="2400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>
                <a:solidFill>
                  <a:schemeClr val="accent6">
                    <a:lumMod val="50000"/>
                  </a:schemeClr>
                </a:solidFill>
              </a:rPr>
              <a:t>WORK IN PROGRESS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Data!$A$15</c:f>
              <c:strCache>
                <c:ptCount val="1"/>
                <c:pt idx="0">
                  <c:v>WIP</c:v>
                </c:pt>
              </c:strCache>
            </c:strRef>
          </c:tx>
          <c:invertIfNegative val="0"/>
          <c:cat>
            <c:numRef>
              <c:f>Data!$E$1:$AI$1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Data!$E$15:$AI$15</c:f>
              <c:numCache>
                <c:formatCode>0</c:formatCode>
                <c:ptCount val="28"/>
                <c:pt idx="0">
                  <c:v>1320.1669999999999</c:v>
                </c:pt>
                <c:pt idx="1">
                  <c:v>1238.6220000000001</c:v>
                </c:pt>
                <c:pt idx="2">
                  <c:v>1238.4570000000001</c:v>
                </c:pt>
                <c:pt idx="3">
                  <c:v>1190.837</c:v>
                </c:pt>
                <c:pt idx="4">
                  <c:v>1180.1569999999999</c:v>
                </c:pt>
                <c:pt idx="5">
                  <c:v>1179.847</c:v>
                </c:pt>
                <c:pt idx="6">
                  <c:v>1263.097</c:v>
                </c:pt>
                <c:pt idx="7">
                  <c:v>1252.672</c:v>
                </c:pt>
                <c:pt idx="8">
                  <c:v>1348.0070000000001</c:v>
                </c:pt>
                <c:pt idx="9">
                  <c:v>1453.192</c:v>
                </c:pt>
                <c:pt idx="10">
                  <c:v>1556.5070000000001</c:v>
                </c:pt>
                <c:pt idx="11">
                  <c:v>1568.5920000000001</c:v>
                </c:pt>
                <c:pt idx="12">
                  <c:v>1578.307</c:v>
                </c:pt>
                <c:pt idx="13">
                  <c:v>1568.202</c:v>
                </c:pt>
                <c:pt idx="14">
                  <c:v>1522.2619999999999</c:v>
                </c:pt>
                <c:pt idx="15">
                  <c:v>1414.1569999999999</c:v>
                </c:pt>
                <c:pt idx="16">
                  <c:v>1284.742</c:v>
                </c:pt>
                <c:pt idx="17">
                  <c:v>1194.0319999999999</c:v>
                </c:pt>
                <c:pt idx="18">
                  <c:v>1135.3219999999999</c:v>
                </c:pt>
                <c:pt idx="19">
                  <c:v>1117.777</c:v>
                </c:pt>
                <c:pt idx="20">
                  <c:v>1047.192</c:v>
                </c:pt>
                <c:pt idx="21">
                  <c:v>971.93700000000001</c:v>
                </c:pt>
                <c:pt idx="22">
                  <c:v>959.75199999999995</c:v>
                </c:pt>
                <c:pt idx="23">
                  <c:v>927.91200000000003</c:v>
                </c:pt>
                <c:pt idx="24">
                  <c:v>890.46199999999999</c:v>
                </c:pt>
                <c:pt idx="25">
                  <c:v>813.91700000000003</c:v>
                </c:pt>
                <c:pt idx="26">
                  <c:v>854.47199999999998</c:v>
                </c:pt>
                <c:pt idx="27">
                  <c:v>915.75699999999995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F-48AF-B9D8-BA68C1B70CAB}"/>
            </c:ext>
          </c:extLst>
        </c:ser>
        <c:ser>
          <c:idx val="1"/>
          <c:order val="1"/>
          <c:tx>
            <c:strRef>
              <c:f>Data!$A$16</c:f>
              <c:strCache>
                <c:ptCount val="1"/>
                <c:pt idx="0">
                  <c:v>HOLD SLT</c:v>
                </c:pt>
              </c:strCache>
            </c:strRef>
          </c:tx>
          <c:invertIfNegative val="0"/>
          <c:val>
            <c:numRef>
              <c:f>Data!$E$16:$AI$16</c:f>
              <c:numCache>
                <c:formatCode>0</c:formatCode>
                <c:ptCount val="28"/>
                <c:pt idx="0">
                  <c:v>57.07</c:v>
                </c:pt>
                <c:pt idx="1">
                  <c:v>57.07</c:v>
                </c:pt>
                <c:pt idx="2">
                  <c:v>57.07</c:v>
                </c:pt>
                <c:pt idx="3">
                  <c:v>57.07</c:v>
                </c:pt>
                <c:pt idx="4">
                  <c:v>57.07</c:v>
                </c:pt>
                <c:pt idx="5">
                  <c:v>57.07</c:v>
                </c:pt>
                <c:pt idx="6">
                  <c:v>57.07</c:v>
                </c:pt>
                <c:pt idx="7">
                  <c:v>44.37</c:v>
                </c:pt>
                <c:pt idx="8">
                  <c:v>38.494999999999997</c:v>
                </c:pt>
                <c:pt idx="9">
                  <c:v>38.494999999999997</c:v>
                </c:pt>
                <c:pt idx="10">
                  <c:v>38.494999999999997</c:v>
                </c:pt>
                <c:pt idx="11">
                  <c:v>38.494999999999997</c:v>
                </c:pt>
                <c:pt idx="12">
                  <c:v>43.81</c:v>
                </c:pt>
                <c:pt idx="13">
                  <c:v>48.86</c:v>
                </c:pt>
                <c:pt idx="14">
                  <c:v>39.58</c:v>
                </c:pt>
                <c:pt idx="15">
                  <c:v>39.58</c:v>
                </c:pt>
                <c:pt idx="16">
                  <c:v>39.58</c:v>
                </c:pt>
                <c:pt idx="17">
                  <c:v>34.704999999999998</c:v>
                </c:pt>
                <c:pt idx="18">
                  <c:v>34.704999999999998</c:v>
                </c:pt>
                <c:pt idx="19">
                  <c:v>34.704999999999998</c:v>
                </c:pt>
                <c:pt idx="20">
                  <c:v>34.704999999999998</c:v>
                </c:pt>
                <c:pt idx="21">
                  <c:v>40.375</c:v>
                </c:pt>
                <c:pt idx="22">
                  <c:v>50.545000000000002</c:v>
                </c:pt>
                <c:pt idx="23">
                  <c:v>34.409999999999997</c:v>
                </c:pt>
                <c:pt idx="24">
                  <c:v>34.85</c:v>
                </c:pt>
                <c:pt idx="25">
                  <c:v>28.74</c:v>
                </c:pt>
                <c:pt idx="26">
                  <c:v>28.74</c:v>
                </c:pt>
                <c:pt idx="27">
                  <c:v>40.875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F-48AF-B9D8-BA68C1B70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228800"/>
        <c:axId val="451233064"/>
      </c:barChart>
      <c:catAx>
        <c:axId val="451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3064"/>
        <c:crosses val="autoZero"/>
        <c:auto val="1"/>
        <c:lblAlgn val="ctr"/>
        <c:lblOffset val="100"/>
        <c:noMultiLvlLbl val="0"/>
      </c:catAx>
      <c:valAx>
        <c:axId val="451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Metric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800"/>
        <c:crosses val="autoZero"/>
        <c:crossBetween val="between"/>
      </c:valAx>
      <c:spPr>
        <a:gradFill>
          <a:gsLst>
            <a:gs pos="2400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id-ID">
                <a:solidFill>
                  <a:srgbClr val="002060"/>
                </a:solidFill>
              </a:rPr>
              <a:t>RAW</a:t>
            </a:r>
            <a:r>
              <a:rPr lang="id-ID" baseline="0">
                <a:solidFill>
                  <a:srgbClr val="002060"/>
                </a:solidFill>
              </a:rPr>
              <a:t> MATERIAL</a:t>
            </a:r>
            <a:r>
              <a:rPr lang="en-US" baseline="0">
                <a:solidFill>
                  <a:srgbClr val="002060"/>
                </a:solidFill>
              </a:rPr>
              <a:t> 1D</a:t>
            </a:r>
            <a:endParaRPr lang="id-ID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Data!$B$19</c:f>
              <c:strCache>
                <c:ptCount val="1"/>
                <c:pt idx="0">
                  <c:v>J3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Data!$E$1:$AI$1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Data!$E$19:$AI$19</c:f>
              <c:numCache>
                <c:formatCode>0</c:formatCode>
                <c:ptCount val="28"/>
                <c:pt idx="0">
                  <c:v>700.21600000000001</c:v>
                </c:pt>
                <c:pt idx="1">
                  <c:v>700.21600000000001</c:v>
                </c:pt>
                <c:pt idx="2">
                  <c:v>700.21600000000001</c:v>
                </c:pt>
                <c:pt idx="3">
                  <c:v>700.21600000000001</c:v>
                </c:pt>
                <c:pt idx="4">
                  <c:v>700.21600000000001</c:v>
                </c:pt>
                <c:pt idx="5">
                  <c:v>700.21600000000001</c:v>
                </c:pt>
                <c:pt idx="6">
                  <c:v>700.21600000000001</c:v>
                </c:pt>
                <c:pt idx="7">
                  <c:v>700.21600000000001</c:v>
                </c:pt>
                <c:pt idx="8">
                  <c:v>700.21600000000001</c:v>
                </c:pt>
                <c:pt idx="9">
                  <c:v>700.21600000000001</c:v>
                </c:pt>
                <c:pt idx="10">
                  <c:v>700.21600000000001</c:v>
                </c:pt>
                <c:pt idx="11">
                  <c:v>700.21600000000001</c:v>
                </c:pt>
                <c:pt idx="12">
                  <c:v>700.21600000000001</c:v>
                </c:pt>
                <c:pt idx="13">
                  <c:v>700.21600000000001</c:v>
                </c:pt>
                <c:pt idx="14">
                  <c:v>700.21600000000001</c:v>
                </c:pt>
                <c:pt idx="15">
                  <c:v>700.21600000000001</c:v>
                </c:pt>
                <c:pt idx="16">
                  <c:v>700.21600000000001</c:v>
                </c:pt>
                <c:pt idx="17">
                  <c:v>700.21600000000001</c:v>
                </c:pt>
                <c:pt idx="18">
                  <c:v>700.21600000000001</c:v>
                </c:pt>
                <c:pt idx="19">
                  <c:v>700.21600000000001</c:v>
                </c:pt>
                <c:pt idx="20">
                  <c:v>700.21600000000001</c:v>
                </c:pt>
                <c:pt idx="21">
                  <c:v>700.21600000000001</c:v>
                </c:pt>
                <c:pt idx="22">
                  <c:v>700.21600000000001</c:v>
                </c:pt>
                <c:pt idx="23">
                  <c:v>700.21600000000001</c:v>
                </c:pt>
                <c:pt idx="24">
                  <c:v>700.21600000000001</c:v>
                </c:pt>
                <c:pt idx="25">
                  <c:v>700.21600000000001</c:v>
                </c:pt>
                <c:pt idx="26">
                  <c:v>700.21600000000001</c:v>
                </c:pt>
                <c:pt idx="27">
                  <c:v>700.21600000000001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2-40A6-82CD-076C0EE7B94A}"/>
            </c:ext>
          </c:extLst>
        </c:ser>
        <c:ser>
          <c:idx val="0"/>
          <c:order val="1"/>
          <c:tx>
            <c:strRef>
              <c:f>Data!$B$21</c:f>
              <c:strCache>
                <c:ptCount val="1"/>
                <c:pt idx="0">
                  <c:v>304/L</c:v>
                </c:pt>
              </c:strCache>
            </c:strRef>
          </c:tx>
          <c:spPr>
            <a:solidFill>
              <a:srgbClr val="00B050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Data!$E$21:$AI$21</c:f>
              <c:numCache>
                <c:formatCode>0</c:formatCode>
                <c:ptCount val="28"/>
                <c:pt idx="0">
                  <c:v>6427.3249999999998</c:v>
                </c:pt>
                <c:pt idx="1">
                  <c:v>6427.3249999999998</c:v>
                </c:pt>
                <c:pt idx="2">
                  <c:v>6427.3249999999998</c:v>
                </c:pt>
                <c:pt idx="3">
                  <c:v>6427.3249999999998</c:v>
                </c:pt>
                <c:pt idx="4">
                  <c:v>6427.3249999999998</c:v>
                </c:pt>
                <c:pt idx="5">
                  <c:v>6427.3249999999998</c:v>
                </c:pt>
                <c:pt idx="6">
                  <c:v>6321.22</c:v>
                </c:pt>
                <c:pt idx="7">
                  <c:v>6250.64</c:v>
                </c:pt>
                <c:pt idx="8">
                  <c:v>6124.2349999999997</c:v>
                </c:pt>
                <c:pt idx="9">
                  <c:v>6019.02</c:v>
                </c:pt>
                <c:pt idx="10">
                  <c:v>5915.3950000000004</c:v>
                </c:pt>
                <c:pt idx="11">
                  <c:v>5804.7950000000001</c:v>
                </c:pt>
                <c:pt idx="12">
                  <c:v>5697.3050000000003</c:v>
                </c:pt>
                <c:pt idx="13">
                  <c:v>5570.7</c:v>
                </c:pt>
                <c:pt idx="14">
                  <c:v>5479.44</c:v>
                </c:pt>
                <c:pt idx="15">
                  <c:v>5453.58</c:v>
                </c:pt>
                <c:pt idx="16">
                  <c:v>5434.7449999999999</c:v>
                </c:pt>
                <c:pt idx="17">
                  <c:v>5405.0550000000003</c:v>
                </c:pt>
                <c:pt idx="18">
                  <c:v>5335.9849999999997</c:v>
                </c:pt>
                <c:pt idx="19">
                  <c:v>5275.23</c:v>
                </c:pt>
                <c:pt idx="20">
                  <c:v>5265.02</c:v>
                </c:pt>
                <c:pt idx="21">
                  <c:v>5209.83</c:v>
                </c:pt>
                <c:pt idx="22">
                  <c:v>5138.1049999999996</c:v>
                </c:pt>
                <c:pt idx="23">
                  <c:v>5064.7</c:v>
                </c:pt>
                <c:pt idx="24">
                  <c:v>5022.6350000000002</c:v>
                </c:pt>
                <c:pt idx="25">
                  <c:v>4975.95</c:v>
                </c:pt>
                <c:pt idx="26">
                  <c:v>4868.84</c:v>
                </c:pt>
                <c:pt idx="27">
                  <c:v>4792.875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2-40A6-82CD-076C0EE7B94A}"/>
            </c:ext>
          </c:extLst>
        </c:ser>
        <c:ser>
          <c:idx val="2"/>
          <c:order val="2"/>
          <c:tx>
            <c:strRef>
              <c:f>Data!$B$24</c:f>
              <c:strCache>
                <c:ptCount val="1"/>
                <c:pt idx="0">
                  <c:v>430</c:v>
                </c:pt>
              </c:strCache>
            </c:strRef>
          </c:tx>
          <c:spPr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Data!$E$24:$AI$24</c:f>
              <c:numCache>
                <c:formatCode>0</c:formatCode>
                <c:ptCount val="28"/>
                <c:pt idx="0">
                  <c:v>20.887999999999998</c:v>
                </c:pt>
                <c:pt idx="1">
                  <c:v>20.887999999999998</c:v>
                </c:pt>
                <c:pt idx="2">
                  <c:v>20.887999999999998</c:v>
                </c:pt>
                <c:pt idx="3">
                  <c:v>20.887999999999998</c:v>
                </c:pt>
                <c:pt idx="4">
                  <c:v>20.887999999999998</c:v>
                </c:pt>
                <c:pt idx="5">
                  <c:v>20.887999999999998</c:v>
                </c:pt>
                <c:pt idx="6">
                  <c:v>20.887999999999998</c:v>
                </c:pt>
                <c:pt idx="7">
                  <c:v>20.887999999999998</c:v>
                </c:pt>
                <c:pt idx="8">
                  <c:v>20.887999999999998</c:v>
                </c:pt>
                <c:pt idx="9">
                  <c:v>20.887999999999998</c:v>
                </c:pt>
                <c:pt idx="10">
                  <c:v>20.887999999999998</c:v>
                </c:pt>
                <c:pt idx="11">
                  <c:v>20.887999999999998</c:v>
                </c:pt>
                <c:pt idx="12">
                  <c:v>20.887999999999998</c:v>
                </c:pt>
                <c:pt idx="13">
                  <c:v>20.887999999999998</c:v>
                </c:pt>
                <c:pt idx="14">
                  <c:v>20.887999999999998</c:v>
                </c:pt>
                <c:pt idx="15">
                  <c:v>20.887999999999998</c:v>
                </c:pt>
                <c:pt idx="16">
                  <c:v>20.887999999999998</c:v>
                </c:pt>
                <c:pt idx="17">
                  <c:v>20.887999999999998</c:v>
                </c:pt>
                <c:pt idx="18">
                  <c:v>20.887999999999998</c:v>
                </c:pt>
                <c:pt idx="19">
                  <c:v>20.887999999999998</c:v>
                </c:pt>
                <c:pt idx="20">
                  <c:v>20.887999999999998</c:v>
                </c:pt>
                <c:pt idx="21">
                  <c:v>20.887999999999998</c:v>
                </c:pt>
                <c:pt idx="22">
                  <c:v>20.887999999999998</c:v>
                </c:pt>
                <c:pt idx="23">
                  <c:v>20.887999999999998</c:v>
                </c:pt>
                <c:pt idx="24">
                  <c:v>20.887999999999998</c:v>
                </c:pt>
                <c:pt idx="25">
                  <c:v>20.887999999999998</c:v>
                </c:pt>
                <c:pt idx="26">
                  <c:v>20.887999999999998</c:v>
                </c:pt>
                <c:pt idx="27">
                  <c:v>20.887999999999998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2-40A6-82CD-076C0EE7B94A}"/>
            </c:ext>
          </c:extLst>
        </c:ser>
        <c:ser>
          <c:idx val="3"/>
          <c:order val="3"/>
          <c:tx>
            <c:strRef>
              <c:f>Data!$B$20</c:f>
              <c:strCache>
                <c:ptCount val="1"/>
                <c:pt idx="0">
                  <c:v>J4</c:v>
                </c:pt>
              </c:strCache>
            </c:strRef>
          </c:tx>
          <c:invertIfNegative val="0"/>
          <c:val>
            <c:numRef>
              <c:f>Data!$E$20:$AI$20</c:f>
              <c:numCache>
                <c:formatCode>0</c:formatCode>
                <c:ptCount val="28"/>
                <c:pt idx="0">
                  <c:v>41.09</c:v>
                </c:pt>
                <c:pt idx="1">
                  <c:v>41.09</c:v>
                </c:pt>
                <c:pt idx="2">
                  <c:v>41.09</c:v>
                </c:pt>
                <c:pt idx="3">
                  <c:v>41.09</c:v>
                </c:pt>
                <c:pt idx="4">
                  <c:v>41.09</c:v>
                </c:pt>
                <c:pt idx="5">
                  <c:v>41.09</c:v>
                </c:pt>
                <c:pt idx="6">
                  <c:v>41.09</c:v>
                </c:pt>
                <c:pt idx="7">
                  <c:v>41.09</c:v>
                </c:pt>
                <c:pt idx="8">
                  <c:v>41.09</c:v>
                </c:pt>
                <c:pt idx="9">
                  <c:v>41.09</c:v>
                </c:pt>
                <c:pt idx="10">
                  <c:v>41.09</c:v>
                </c:pt>
                <c:pt idx="11">
                  <c:v>41.09</c:v>
                </c:pt>
                <c:pt idx="12">
                  <c:v>41.09</c:v>
                </c:pt>
                <c:pt idx="13">
                  <c:v>41.09</c:v>
                </c:pt>
                <c:pt idx="14">
                  <c:v>41.09</c:v>
                </c:pt>
                <c:pt idx="15">
                  <c:v>41.09</c:v>
                </c:pt>
                <c:pt idx="16">
                  <c:v>41.09</c:v>
                </c:pt>
                <c:pt idx="17">
                  <c:v>41.09</c:v>
                </c:pt>
                <c:pt idx="18">
                  <c:v>41.09</c:v>
                </c:pt>
                <c:pt idx="19">
                  <c:v>41.09</c:v>
                </c:pt>
                <c:pt idx="20">
                  <c:v>41.09</c:v>
                </c:pt>
                <c:pt idx="21">
                  <c:v>41.09</c:v>
                </c:pt>
                <c:pt idx="22">
                  <c:v>41.09</c:v>
                </c:pt>
                <c:pt idx="23">
                  <c:v>41.09</c:v>
                </c:pt>
                <c:pt idx="24">
                  <c:v>41.09</c:v>
                </c:pt>
                <c:pt idx="25">
                  <c:v>41.09</c:v>
                </c:pt>
                <c:pt idx="26">
                  <c:v>41.09</c:v>
                </c:pt>
                <c:pt idx="27">
                  <c:v>41.09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2-40A6-82CD-076C0EE7B94A}"/>
            </c:ext>
          </c:extLst>
        </c:ser>
        <c:ser>
          <c:idx val="4"/>
          <c:order val="4"/>
          <c:tx>
            <c:strRef>
              <c:f>Data!$B$23</c:f>
              <c:strCache>
                <c:ptCount val="1"/>
                <c:pt idx="0">
                  <c:v>316/L</c:v>
                </c:pt>
              </c:strCache>
            </c:strRef>
          </c:tx>
          <c:invertIfNegative val="0"/>
          <c:val>
            <c:numRef>
              <c:f>Data!$E$23:$AI$23</c:f>
              <c:numCache>
                <c:formatCode>0</c:formatCode>
                <c:ptCount val="28"/>
                <c:pt idx="0">
                  <c:v>31.66</c:v>
                </c:pt>
                <c:pt idx="1">
                  <c:v>31.66</c:v>
                </c:pt>
                <c:pt idx="2">
                  <c:v>31.66</c:v>
                </c:pt>
                <c:pt idx="3">
                  <c:v>31.66</c:v>
                </c:pt>
                <c:pt idx="4">
                  <c:v>31.66</c:v>
                </c:pt>
                <c:pt idx="5">
                  <c:v>31.66</c:v>
                </c:pt>
                <c:pt idx="6">
                  <c:v>31.66</c:v>
                </c:pt>
                <c:pt idx="7">
                  <c:v>31.66</c:v>
                </c:pt>
                <c:pt idx="8">
                  <c:v>31.66</c:v>
                </c:pt>
                <c:pt idx="9">
                  <c:v>31.66</c:v>
                </c:pt>
                <c:pt idx="10">
                  <c:v>31.66</c:v>
                </c:pt>
                <c:pt idx="11">
                  <c:v>31.66</c:v>
                </c:pt>
                <c:pt idx="12">
                  <c:v>31.66</c:v>
                </c:pt>
                <c:pt idx="13">
                  <c:v>31.66</c:v>
                </c:pt>
                <c:pt idx="14">
                  <c:v>31.66</c:v>
                </c:pt>
                <c:pt idx="15">
                  <c:v>31.66</c:v>
                </c:pt>
                <c:pt idx="16">
                  <c:v>31.66</c:v>
                </c:pt>
                <c:pt idx="17">
                  <c:v>31.66</c:v>
                </c:pt>
                <c:pt idx="18">
                  <c:v>31.66</c:v>
                </c:pt>
                <c:pt idx="19">
                  <c:v>31.66</c:v>
                </c:pt>
                <c:pt idx="20">
                  <c:v>31.66</c:v>
                </c:pt>
                <c:pt idx="21">
                  <c:v>31.66</c:v>
                </c:pt>
                <c:pt idx="22">
                  <c:v>31.66</c:v>
                </c:pt>
                <c:pt idx="23">
                  <c:v>31.66</c:v>
                </c:pt>
                <c:pt idx="24">
                  <c:v>31.66</c:v>
                </c:pt>
                <c:pt idx="25">
                  <c:v>31.66</c:v>
                </c:pt>
                <c:pt idx="26">
                  <c:v>31.66</c:v>
                </c:pt>
                <c:pt idx="27">
                  <c:v>31.66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12-40A6-82CD-076C0EE7B94A}"/>
            </c:ext>
          </c:extLst>
        </c:ser>
        <c:ser>
          <c:idx val="5"/>
          <c:order val="5"/>
          <c:tx>
            <c:strRef>
              <c:f>Data!$B$18</c:f>
              <c:strCache>
                <c:ptCount val="1"/>
                <c:pt idx="0">
                  <c:v>J2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invertIfNegative val="0"/>
          <c:val>
            <c:numRef>
              <c:f>Data!$E$18:$AI$18</c:f>
              <c:numCache>
                <c:formatCode>0</c:formatCode>
                <c:ptCount val="28"/>
                <c:pt idx="0">
                  <c:v>49.287999999999997</c:v>
                </c:pt>
                <c:pt idx="1">
                  <c:v>49.287999999999997</c:v>
                </c:pt>
                <c:pt idx="2">
                  <c:v>49.287999999999997</c:v>
                </c:pt>
                <c:pt idx="3">
                  <c:v>49.287999999999997</c:v>
                </c:pt>
                <c:pt idx="4">
                  <c:v>49.287999999999997</c:v>
                </c:pt>
                <c:pt idx="5">
                  <c:v>49.287999999999997</c:v>
                </c:pt>
                <c:pt idx="6">
                  <c:v>49.287999999999997</c:v>
                </c:pt>
                <c:pt idx="7">
                  <c:v>49.287999999999997</c:v>
                </c:pt>
                <c:pt idx="8">
                  <c:v>49.287999999999997</c:v>
                </c:pt>
                <c:pt idx="9">
                  <c:v>49.287999999999997</c:v>
                </c:pt>
                <c:pt idx="10">
                  <c:v>49.287999999999997</c:v>
                </c:pt>
                <c:pt idx="11">
                  <c:v>49.287999999999997</c:v>
                </c:pt>
                <c:pt idx="12">
                  <c:v>49.287999999999997</c:v>
                </c:pt>
                <c:pt idx="13">
                  <c:v>49.287999999999997</c:v>
                </c:pt>
                <c:pt idx="14">
                  <c:v>49.287999999999997</c:v>
                </c:pt>
                <c:pt idx="15">
                  <c:v>49.287999999999997</c:v>
                </c:pt>
                <c:pt idx="16">
                  <c:v>49.287999999999997</c:v>
                </c:pt>
                <c:pt idx="17">
                  <c:v>49.287999999999997</c:v>
                </c:pt>
                <c:pt idx="18">
                  <c:v>49.287999999999997</c:v>
                </c:pt>
                <c:pt idx="19">
                  <c:v>49.287999999999997</c:v>
                </c:pt>
                <c:pt idx="20">
                  <c:v>49.287999999999997</c:v>
                </c:pt>
                <c:pt idx="21">
                  <c:v>49.287999999999997</c:v>
                </c:pt>
                <c:pt idx="22">
                  <c:v>49.287999999999997</c:v>
                </c:pt>
                <c:pt idx="23">
                  <c:v>49.287999999999997</c:v>
                </c:pt>
                <c:pt idx="24">
                  <c:v>49.287999999999997</c:v>
                </c:pt>
                <c:pt idx="25">
                  <c:v>49.287999999999997</c:v>
                </c:pt>
                <c:pt idx="26">
                  <c:v>49.287999999999997</c:v>
                </c:pt>
                <c:pt idx="27">
                  <c:v>49.287999999999997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12-40A6-82CD-076C0EE7B94A}"/>
            </c:ext>
          </c:extLst>
        </c:ser>
        <c:ser>
          <c:idx val="6"/>
          <c:order val="6"/>
          <c:tx>
            <c:strRef>
              <c:f>Data!$B$17</c:f>
              <c:strCache>
                <c:ptCount val="1"/>
                <c:pt idx="0">
                  <c:v>J1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Data!$E$17:$AI$17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12-40A6-82CD-076C0EE7B94A}"/>
            </c:ext>
          </c:extLst>
        </c:ser>
        <c:ser>
          <c:idx val="7"/>
          <c:order val="7"/>
          <c:tx>
            <c:strRef>
              <c:f>Data!$B$22</c:f>
              <c:strCache>
                <c:ptCount val="1"/>
                <c:pt idx="0">
                  <c:v>301</c:v>
                </c:pt>
              </c:strCache>
            </c:strRef>
          </c:tx>
          <c:invertIfNegative val="0"/>
          <c:val>
            <c:numRef>
              <c:f>Data!$E$22:$AI$22</c:f>
              <c:numCache>
                <c:formatCode>0</c:formatCode>
                <c:ptCount val="28"/>
                <c:pt idx="0">
                  <c:v>54.373000000000005</c:v>
                </c:pt>
                <c:pt idx="1">
                  <c:v>54.373000000000005</c:v>
                </c:pt>
                <c:pt idx="2">
                  <c:v>54.373000000000005</c:v>
                </c:pt>
                <c:pt idx="3">
                  <c:v>54.373000000000005</c:v>
                </c:pt>
                <c:pt idx="4">
                  <c:v>54.373000000000005</c:v>
                </c:pt>
                <c:pt idx="5">
                  <c:v>54.373000000000005</c:v>
                </c:pt>
                <c:pt idx="6">
                  <c:v>54.373000000000005</c:v>
                </c:pt>
                <c:pt idx="7">
                  <c:v>54.373000000000005</c:v>
                </c:pt>
                <c:pt idx="8">
                  <c:v>54.373000000000005</c:v>
                </c:pt>
                <c:pt idx="9">
                  <c:v>54.373000000000005</c:v>
                </c:pt>
                <c:pt idx="10">
                  <c:v>54.373000000000005</c:v>
                </c:pt>
                <c:pt idx="11">
                  <c:v>54.373000000000005</c:v>
                </c:pt>
                <c:pt idx="12">
                  <c:v>54.373000000000005</c:v>
                </c:pt>
                <c:pt idx="13">
                  <c:v>54.373000000000005</c:v>
                </c:pt>
                <c:pt idx="14">
                  <c:v>54.373000000000005</c:v>
                </c:pt>
                <c:pt idx="15">
                  <c:v>54.373000000000005</c:v>
                </c:pt>
                <c:pt idx="16">
                  <c:v>54.373000000000005</c:v>
                </c:pt>
                <c:pt idx="17">
                  <c:v>54.373000000000005</c:v>
                </c:pt>
                <c:pt idx="18">
                  <c:v>54.373000000000005</c:v>
                </c:pt>
                <c:pt idx="19">
                  <c:v>54.373000000000005</c:v>
                </c:pt>
                <c:pt idx="20">
                  <c:v>54.373000000000005</c:v>
                </c:pt>
                <c:pt idx="21">
                  <c:v>54.373000000000005</c:v>
                </c:pt>
                <c:pt idx="22">
                  <c:v>54.373000000000005</c:v>
                </c:pt>
                <c:pt idx="23">
                  <c:v>54.373000000000005</c:v>
                </c:pt>
                <c:pt idx="24">
                  <c:v>54.373000000000005</c:v>
                </c:pt>
                <c:pt idx="25">
                  <c:v>54.373000000000005</c:v>
                </c:pt>
                <c:pt idx="26">
                  <c:v>54.373000000000005</c:v>
                </c:pt>
                <c:pt idx="27">
                  <c:v>54.373000000000005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12-40A6-82CD-076C0EE7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228800"/>
        <c:axId val="451233064"/>
      </c:barChart>
      <c:catAx>
        <c:axId val="451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3064"/>
        <c:crosses val="autoZero"/>
        <c:auto val="1"/>
        <c:lblAlgn val="ctr"/>
        <c:lblOffset val="100"/>
        <c:noMultiLvlLbl val="0"/>
      </c:catAx>
      <c:valAx>
        <c:axId val="451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Metric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800"/>
        <c:crosses val="autoZero"/>
        <c:crossBetween val="between"/>
      </c:valAx>
      <c:spPr>
        <a:gradFill>
          <a:gsLst>
            <a:gs pos="2400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680000"/>
                </a:solidFill>
                <a:latin typeface="+mn-lt"/>
                <a:ea typeface="+mn-ea"/>
                <a:cs typeface="+mn-cs"/>
              </a:defRPr>
            </a:pPr>
            <a:r>
              <a:rPr lang="id-ID">
                <a:solidFill>
                  <a:srgbClr val="680000"/>
                </a:solidFill>
              </a:rPr>
              <a:t>BABY</a:t>
            </a:r>
            <a:r>
              <a:rPr lang="id-ID" baseline="0">
                <a:solidFill>
                  <a:srgbClr val="680000"/>
                </a:solidFill>
              </a:rPr>
              <a:t> COIL</a:t>
            </a:r>
            <a:r>
              <a:rPr lang="en-US" baseline="0">
                <a:solidFill>
                  <a:srgbClr val="680000"/>
                </a:solidFill>
              </a:rPr>
              <a:t> FEBRUARI'22</a:t>
            </a:r>
            <a:endParaRPr lang="id-ID">
              <a:solidFill>
                <a:srgbClr val="68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Data!$A$8</c:f>
              <c:strCache>
                <c:ptCount val="1"/>
                <c:pt idx="0">
                  <c:v>BABY COIL </c:v>
                </c:pt>
              </c:strCache>
            </c:strRef>
          </c:tx>
          <c:invertIfNegative val="0"/>
          <c:cat>
            <c:numRef>
              <c:f>Data!$E$1:$AI$1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Data!$E$8:$AI$8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0.23499999999999999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4.4999999999999998E-2</c:v>
                </c:pt>
                <c:pt idx="13">
                  <c:v>0.17</c:v>
                </c:pt>
                <c:pt idx="14">
                  <c:v>0.115</c:v>
                </c:pt>
                <c:pt idx="15">
                  <c:v>0.24</c:v>
                </c:pt>
                <c:pt idx="16">
                  <c:v>0.1</c:v>
                </c:pt>
                <c:pt idx="17">
                  <c:v>0.63</c:v>
                </c:pt>
                <c:pt idx="18">
                  <c:v>0.12</c:v>
                </c:pt>
                <c:pt idx="19">
                  <c:v>9.5000000000000001E-2</c:v>
                </c:pt>
                <c:pt idx="20">
                  <c:v>0.13500000000000001</c:v>
                </c:pt>
                <c:pt idx="21">
                  <c:v>0.77</c:v>
                </c:pt>
                <c:pt idx="22">
                  <c:v>0.105</c:v>
                </c:pt>
                <c:pt idx="23">
                  <c:v>0.30499999999999999</c:v>
                </c:pt>
                <c:pt idx="24">
                  <c:v>0.56000000000000005</c:v>
                </c:pt>
                <c:pt idx="25">
                  <c:v>0.38500000000000001</c:v>
                </c:pt>
                <c:pt idx="26">
                  <c:v>0.14499999999999999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F-40DB-9830-28D0C6DF7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228800"/>
        <c:axId val="451233064"/>
      </c:barChart>
      <c:catAx>
        <c:axId val="451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3064"/>
        <c:crosses val="autoZero"/>
        <c:auto val="1"/>
        <c:lblAlgn val="ctr"/>
        <c:lblOffset val="100"/>
        <c:noMultiLvlLbl val="0"/>
      </c:catAx>
      <c:valAx>
        <c:axId val="451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Metric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800"/>
        <c:crosses val="autoZero"/>
        <c:crossBetween val="between"/>
      </c:valAx>
      <c:spPr>
        <a:gradFill>
          <a:gsLst>
            <a:gs pos="24000">
              <a:schemeClr val="bg1"/>
            </a:gs>
            <a:gs pos="100000">
              <a:schemeClr val="accent4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id-ID">
                <a:solidFill>
                  <a:srgbClr val="002060"/>
                </a:solidFill>
              </a:rPr>
              <a:t>RAW</a:t>
            </a:r>
            <a:r>
              <a:rPr lang="id-ID" baseline="0">
                <a:solidFill>
                  <a:srgbClr val="002060"/>
                </a:solidFill>
              </a:rPr>
              <a:t> MATERIAL</a:t>
            </a:r>
            <a:r>
              <a:rPr lang="en-US" baseline="0">
                <a:solidFill>
                  <a:srgbClr val="002060"/>
                </a:solidFill>
              </a:rPr>
              <a:t> FH</a:t>
            </a:r>
            <a:endParaRPr lang="id-ID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Data!$B$26</c:f>
              <c:strCache>
                <c:ptCount val="1"/>
                <c:pt idx="0">
                  <c:v>J3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cat>
            <c:numRef>
              <c:f>Data!$E$1:$AI$1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Data!$E$26:$AI$26</c:f>
              <c:numCache>
                <c:formatCode>0</c:formatCode>
                <c:ptCount val="28"/>
                <c:pt idx="0">
                  <c:v>10.199999999999999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10.199999999999999</c:v>
                </c:pt>
                <c:pt idx="7">
                  <c:v>10.199999999999999</c:v>
                </c:pt>
                <c:pt idx="8">
                  <c:v>10.199999999999999</c:v>
                </c:pt>
                <c:pt idx="9">
                  <c:v>10.199999999999999</c:v>
                </c:pt>
                <c:pt idx="10">
                  <c:v>10.199999999999999</c:v>
                </c:pt>
                <c:pt idx="11">
                  <c:v>10.199999999999999</c:v>
                </c:pt>
                <c:pt idx="12">
                  <c:v>10.199999999999999</c:v>
                </c:pt>
                <c:pt idx="13">
                  <c:v>10.199999999999999</c:v>
                </c:pt>
                <c:pt idx="14">
                  <c:v>10.199999999999999</c:v>
                </c:pt>
                <c:pt idx="15">
                  <c:v>10.199999999999999</c:v>
                </c:pt>
                <c:pt idx="16">
                  <c:v>10.199999999999999</c:v>
                </c:pt>
                <c:pt idx="17">
                  <c:v>10.199999999999999</c:v>
                </c:pt>
                <c:pt idx="18">
                  <c:v>10.199999999999999</c:v>
                </c:pt>
                <c:pt idx="19">
                  <c:v>10.199999999999999</c:v>
                </c:pt>
                <c:pt idx="20">
                  <c:v>10.199999999999999</c:v>
                </c:pt>
                <c:pt idx="21">
                  <c:v>10.199999999999999</c:v>
                </c:pt>
                <c:pt idx="22">
                  <c:v>10.199999999999999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0-45AE-805F-61054F8D5B8F}"/>
            </c:ext>
          </c:extLst>
        </c:ser>
        <c:ser>
          <c:idx val="0"/>
          <c:order val="1"/>
          <c:tx>
            <c:strRef>
              <c:f>Data!$B$28</c:f>
              <c:strCache>
                <c:ptCount val="1"/>
                <c:pt idx="0">
                  <c:v>304/L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Data!$E$28:$AI$28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0-45AE-805F-61054F8D5B8F}"/>
            </c:ext>
          </c:extLst>
        </c:ser>
        <c:ser>
          <c:idx val="2"/>
          <c:order val="2"/>
          <c:tx>
            <c:strRef>
              <c:f>Data!$B$30</c:f>
              <c:strCache>
                <c:ptCount val="1"/>
                <c:pt idx="0">
                  <c:v>430</c:v>
                </c:pt>
              </c:strCache>
            </c:strRef>
          </c:tx>
          <c:invertIfNegative val="0"/>
          <c:val>
            <c:numRef>
              <c:f>Data!$E$30:$AI$30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0-45AE-805F-61054F8D5B8F}"/>
            </c:ext>
          </c:extLst>
        </c:ser>
        <c:ser>
          <c:idx val="3"/>
          <c:order val="3"/>
          <c:tx>
            <c:strRef>
              <c:f>Data!$B$27</c:f>
              <c:strCache>
                <c:ptCount val="1"/>
                <c:pt idx="0">
                  <c:v>J4</c:v>
                </c:pt>
              </c:strCache>
            </c:strRef>
          </c:tx>
          <c:invertIfNegative val="0"/>
          <c:val>
            <c:numRef>
              <c:f>Data!$E$27:$AI$27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20-45AE-805F-61054F8D5B8F}"/>
            </c:ext>
          </c:extLst>
        </c:ser>
        <c:ser>
          <c:idx val="4"/>
          <c:order val="4"/>
          <c:tx>
            <c:strRef>
              <c:f>Data!$B$29</c:f>
              <c:strCache>
                <c:ptCount val="1"/>
                <c:pt idx="0">
                  <c:v>316/L</c:v>
                </c:pt>
              </c:strCache>
            </c:strRef>
          </c:tx>
          <c:invertIfNegative val="0"/>
          <c:val>
            <c:numRef>
              <c:f>Data!$E$29:$AI$29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20-45AE-805F-61054F8D5B8F}"/>
            </c:ext>
          </c:extLst>
        </c:ser>
        <c:ser>
          <c:idx val="5"/>
          <c:order val="5"/>
          <c:tx>
            <c:strRef>
              <c:f>Data!$B$25</c:f>
              <c:strCache>
                <c:ptCount val="1"/>
                <c:pt idx="0">
                  <c:v>J2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invertIfNegative val="0"/>
          <c:val>
            <c:numRef>
              <c:f>Data!$E$25:$AI$25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20-45AE-805F-61054F8D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228800"/>
        <c:axId val="451233064"/>
      </c:barChart>
      <c:catAx>
        <c:axId val="451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3064"/>
        <c:crosses val="autoZero"/>
        <c:auto val="1"/>
        <c:lblAlgn val="ctr"/>
        <c:lblOffset val="100"/>
        <c:noMultiLvlLbl val="0"/>
      </c:catAx>
      <c:valAx>
        <c:axId val="451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Metric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800"/>
        <c:crosses val="autoZero"/>
        <c:crossBetween val="between"/>
      </c:valAx>
      <c:spPr>
        <a:gradFill>
          <a:gsLst>
            <a:gs pos="2400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id-ID">
                <a:solidFill>
                  <a:srgbClr val="002060"/>
                </a:solidFill>
              </a:rPr>
              <a:t>RAW</a:t>
            </a:r>
            <a:r>
              <a:rPr lang="id-ID" baseline="0">
                <a:solidFill>
                  <a:srgbClr val="002060"/>
                </a:solidFill>
              </a:rPr>
              <a:t> MATERIAL</a:t>
            </a:r>
            <a:r>
              <a:rPr lang="en-US" baseline="0">
                <a:solidFill>
                  <a:srgbClr val="002060"/>
                </a:solidFill>
              </a:rPr>
              <a:t> 2B</a:t>
            </a:r>
            <a:endParaRPr lang="id-ID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Data!$B$33</c:f>
              <c:strCache>
                <c:ptCount val="1"/>
                <c:pt idx="0">
                  <c:v>J3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Data!$E$1:$AI$1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Data!$E$33:$AI$33</c:f>
              <c:numCache>
                <c:formatCode>0</c:formatCode>
                <c:ptCount val="28"/>
                <c:pt idx="0">
                  <c:v>368.96300000000002</c:v>
                </c:pt>
                <c:pt idx="1">
                  <c:v>368.96300000000002</c:v>
                </c:pt>
                <c:pt idx="2">
                  <c:v>368.96300000000002</c:v>
                </c:pt>
                <c:pt idx="3">
                  <c:v>368.96300000000002</c:v>
                </c:pt>
                <c:pt idx="4">
                  <c:v>368.96300000000002</c:v>
                </c:pt>
                <c:pt idx="5">
                  <c:v>368.96300000000002</c:v>
                </c:pt>
                <c:pt idx="6">
                  <c:v>368.96300000000002</c:v>
                </c:pt>
                <c:pt idx="7">
                  <c:v>368.96300000000002</c:v>
                </c:pt>
                <c:pt idx="8">
                  <c:v>368.96300000000002</c:v>
                </c:pt>
                <c:pt idx="9">
                  <c:v>368.96300000000002</c:v>
                </c:pt>
                <c:pt idx="10">
                  <c:v>368.96300000000002</c:v>
                </c:pt>
                <c:pt idx="11">
                  <c:v>368.96300000000002</c:v>
                </c:pt>
                <c:pt idx="12">
                  <c:v>368.96300000000002</c:v>
                </c:pt>
                <c:pt idx="13">
                  <c:v>368.96300000000002</c:v>
                </c:pt>
                <c:pt idx="14">
                  <c:v>368.96300000000002</c:v>
                </c:pt>
                <c:pt idx="15">
                  <c:v>368.96300000000002</c:v>
                </c:pt>
                <c:pt idx="16">
                  <c:v>368.96300000000002</c:v>
                </c:pt>
                <c:pt idx="17">
                  <c:v>368.96300000000002</c:v>
                </c:pt>
                <c:pt idx="18">
                  <c:v>368.96300000000002</c:v>
                </c:pt>
                <c:pt idx="19">
                  <c:v>368.96300000000002</c:v>
                </c:pt>
                <c:pt idx="20">
                  <c:v>368.96300000000002</c:v>
                </c:pt>
                <c:pt idx="21">
                  <c:v>368.96300000000002</c:v>
                </c:pt>
                <c:pt idx="22">
                  <c:v>368.96300000000002</c:v>
                </c:pt>
                <c:pt idx="23">
                  <c:v>368.96300000000002</c:v>
                </c:pt>
                <c:pt idx="24">
                  <c:v>368.96300000000002</c:v>
                </c:pt>
                <c:pt idx="25">
                  <c:v>368.96300000000002</c:v>
                </c:pt>
                <c:pt idx="26">
                  <c:v>368.96300000000002</c:v>
                </c:pt>
                <c:pt idx="27">
                  <c:v>368.96300000000002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2-4A7E-9FDF-623C4B1BB393}"/>
            </c:ext>
          </c:extLst>
        </c:ser>
        <c:ser>
          <c:idx val="6"/>
          <c:order val="1"/>
          <c:tx>
            <c:strRef>
              <c:f>Data!$B$35</c:f>
              <c:strCache>
                <c:ptCount val="1"/>
                <c:pt idx="0">
                  <c:v>304/L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Data!$E$35:$AI$35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2-4A7E-9FDF-623C4B1BB393}"/>
            </c:ext>
          </c:extLst>
        </c:ser>
        <c:ser>
          <c:idx val="7"/>
          <c:order val="2"/>
          <c:tx>
            <c:strRef>
              <c:f>Data!$B$37</c:f>
              <c:strCache>
                <c:ptCount val="1"/>
                <c:pt idx="0">
                  <c:v>430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Data!$E$37:$AI$37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2-4A7E-9FDF-623C4B1BB393}"/>
            </c:ext>
          </c:extLst>
        </c:ser>
        <c:ser>
          <c:idx val="8"/>
          <c:order val="3"/>
          <c:tx>
            <c:strRef>
              <c:f>Data!$B$34</c:f>
              <c:strCache>
                <c:ptCount val="1"/>
                <c:pt idx="0">
                  <c:v>J4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Data!$E$34:$AI$34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D2-4A7E-9FDF-623C4B1BB393}"/>
            </c:ext>
          </c:extLst>
        </c:ser>
        <c:ser>
          <c:idx val="9"/>
          <c:order val="4"/>
          <c:tx>
            <c:strRef>
              <c:f>Data!$B$36</c:f>
              <c:strCache>
                <c:ptCount val="1"/>
                <c:pt idx="0">
                  <c:v>316/L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val>
            <c:numRef>
              <c:f>Data!$E$36:$AI$36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D2-4A7E-9FDF-623C4B1BB393}"/>
            </c:ext>
          </c:extLst>
        </c:ser>
        <c:ser>
          <c:idx val="0"/>
          <c:order val="5"/>
          <c:tx>
            <c:strRef>
              <c:f>Data!$B$32</c:f>
              <c:strCache>
                <c:ptCount val="1"/>
                <c:pt idx="0">
                  <c:v>J2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invertIfNegative val="0"/>
          <c:val>
            <c:numRef>
              <c:f>Data!$E$32:$AI$32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D2-4A7E-9FDF-623C4B1BB393}"/>
            </c:ext>
          </c:extLst>
        </c:ser>
        <c:ser>
          <c:idx val="1"/>
          <c:order val="6"/>
          <c:tx>
            <c:strRef>
              <c:f>Data!$B$31</c:f>
              <c:strCache>
                <c:ptCount val="1"/>
                <c:pt idx="0">
                  <c:v>J1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Data!$E$31:$AI$31</c:f>
              <c:numCache>
                <c:formatCode>0</c:formatCode>
                <c:ptCount val="28"/>
                <c:pt idx="0">
                  <c:v>5.0170000000000003</c:v>
                </c:pt>
                <c:pt idx="1">
                  <c:v>5.0170000000000003</c:v>
                </c:pt>
                <c:pt idx="2">
                  <c:v>5.0170000000000003</c:v>
                </c:pt>
                <c:pt idx="3">
                  <c:v>5.0170000000000003</c:v>
                </c:pt>
                <c:pt idx="4">
                  <c:v>5.0170000000000003</c:v>
                </c:pt>
                <c:pt idx="5">
                  <c:v>5.0170000000000003</c:v>
                </c:pt>
                <c:pt idx="6">
                  <c:v>5.0170000000000003</c:v>
                </c:pt>
                <c:pt idx="7">
                  <c:v>5.0170000000000003</c:v>
                </c:pt>
                <c:pt idx="8">
                  <c:v>5.0170000000000003</c:v>
                </c:pt>
                <c:pt idx="9">
                  <c:v>5.0170000000000003</c:v>
                </c:pt>
                <c:pt idx="10">
                  <c:v>5.0170000000000003</c:v>
                </c:pt>
                <c:pt idx="11">
                  <c:v>5.0170000000000003</c:v>
                </c:pt>
                <c:pt idx="12">
                  <c:v>5.0170000000000003</c:v>
                </c:pt>
                <c:pt idx="13">
                  <c:v>5.0170000000000003</c:v>
                </c:pt>
                <c:pt idx="14">
                  <c:v>5.0170000000000003</c:v>
                </c:pt>
                <c:pt idx="15">
                  <c:v>5.0170000000000003</c:v>
                </c:pt>
                <c:pt idx="16">
                  <c:v>5.0170000000000003</c:v>
                </c:pt>
                <c:pt idx="17">
                  <c:v>5.0170000000000003</c:v>
                </c:pt>
                <c:pt idx="18">
                  <c:v>5.0170000000000003</c:v>
                </c:pt>
                <c:pt idx="19">
                  <c:v>5.0170000000000003</c:v>
                </c:pt>
                <c:pt idx="20">
                  <c:v>5.0170000000000003</c:v>
                </c:pt>
                <c:pt idx="21">
                  <c:v>5.0170000000000003</c:v>
                </c:pt>
                <c:pt idx="22">
                  <c:v>5.0170000000000003</c:v>
                </c:pt>
                <c:pt idx="23">
                  <c:v>5.0170000000000003</c:v>
                </c:pt>
                <c:pt idx="24">
                  <c:v>5.0170000000000003</c:v>
                </c:pt>
                <c:pt idx="25">
                  <c:v>5.0170000000000003</c:v>
                </c:pt>
                <c:pt idx="26">
                  <c:v>5.0170000000000003</c:v>
                </c:pt>
                <c:pt idx="27">
                  <c:v>5.0170000000000003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D2-4A7E-9FDF-623C4B1BB393}"/>
            </c:ext>
          </c:extLst>
        </c:ser>
        <c:ser>
          <c:idx val="2"/>
          <c:order val="7"/>
          <c:tx>
            <c:strRef>
              <c:f>Data!$B$38</c:f>
              <c:strCache>
                <c:ptCount val="1"/>
                <c:pt idx="0">
                  <c:v>410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Data!$E$38:$AI$38</c:f>
              <c:numCache>
                <c:formatCode>0</c:formatCode>
                <c:ptCount val="28"/>
                <c:pt idx="0">
                  <c:v>28.369999999999997</c:v>
                </c:pt>
                <c:pt idx="1">
                  <c:v>28.369999999999997</c:v>
                </c:pt>
                <c:pt idx="2">
                  <c:v>28.369999999999997</c:v>
                </c:pt>
                <c:pt idx="3">
                  <c:v>28.369999999999997</c:v>
                </c:pt>
                <c:pt idx="4">
                  <c:v>28.369999999999997</c:v>
                </c:pt>
                <c:pt idx="5">
                  <c:v>28.369999999999997</c:v>
                </c:pt>
                <c:pt idx="6">
                  <c:v>28.369999999999997</c:v>
                </c:pt>
                <c:pt idx="7">
                  <c:v>28.369999999999997</c:v>
                </c:pt>
                <c:pt idx="8">
                  <c:v>28.369999999999997</c:v>
                </c:pt>
                <c:pt idx="9">
                  <c:v>28.369999999999997</c:v>
                </c:pt>
                <c:pt idx="10">
                  <c:v>28.369999999999997</c:v>
                </c:pt>
                <c:pt idx="11">
                  <c:v>28.369999999999997</c:v>
                </c:pt>
                <c:pt idx="12">
                  <c:v>28.369999999999997</c:v>
                </c:pt>
                <c:pt idx="13">
                  <c:v>28.369999999999997</c:v>
                </c:pt>
                <c:pt idx="14">
                  <c:v>28.369999999999997</c:v>
                </c:pt>
                <c:pt idx="15">
                  <c:v>28.369999999999997</c:v>
                </c:pt>
                <c:pt idx="16">
                  <c:v>28.369999999999997</c:v>
                </c:pt>
                <c:pt idx="17">
                  <c:v>28.369999999999997</c:v>
                </c:pt>
                <c:pt idx="18">
                  <c:v>28.369999999999997</c:v>
                </c:pt>
                <c:pt idx="19">
                  <c:v>28.369999999999997</c:v>
                </c:pt>
                <c:pt idx="20">
                  <c:v>28.369999999999997</c:v>
                </c:pt>
                <c:pt idx="21">
                  <c:v>28.369999999999997</c:v>
                </c:pt>
                <c:pt idx="22">
                  <c:v>28.369999999999997</c:v>
                </c:pt>
                <c:pt idx="23">
                  <c:v>28.369999999999997</c:v>
                </c:pt>
                <c:pt idx="24">
                  <c:v>28.369999999999997</c:v>
                </c:pt>
                <c:pt idx="25">
                  <c:v>28.369999999999997</c:v>
                </c:pt>
                <c:pt idx="26">
                  <c:v>28.369999999999997</c:v>
                </c:pt>
                <c:pt idx="27">
                  <c:v>28.369999999999997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D2-4A7E-9FDF-623C4B1BB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228800"/>
        <c:axId val="451233064"/>
      </c:barChart>
      <c:catAx>
        <c:axId val="451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3064"/>
        <c:crosses val="autoZero"/>
        <c:auto val="1"/>
        <c:lblAlgn val="ctr"/>
        <c:lblOffset val="100"/>
        <c:noMultiLvlLbl val="0"/>
      </c:catAx>
      <c:valAx>
        <c:axId val="451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Metric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800"/>
        <c:crosses val="autoZero"/>
        <c:crossBetween val="between"/>
      </c:valAx>
      <c:spPr>
        <a:gradFill>
          <a:gsLst>
            <a:gs pos="2400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id-ID">
                <a:solidFill>
                  <a:srgbClr val="002060"/>
                </a:solidFill>
              </a:rPr>
              <a:t>RAW</a:t>
            </a:r>
            <a:r>
              <a:rPr lang="id-ID" baseline="0">
                <a:solidFill>
                  <a:srgbClr val="002060"/>
                </a:solidFill>
              </a:rPr>
              <a:t> MATERIAL</a:t>
            </a:r>
            <a:r>
              <a:rPr lang="en-US" baseline="0">
                <a:solidFill>
                  <a:srgbClr val="002060"/>
                </a:solidFill>
              </a:rPr>
              <a:t> 2B RUST</a:t>
            </a:r>
            <a:endParaRPr lang="id-ID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Data!$B$40</c:f>
              <c:strCache>
                <c:ptCount val="1"/>
                <c:pt idx="0">
                  <c:v>J3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Data!$E$40:$AI$40</c:f>
              <c:numCache>
                <c:formatCode>0</c:formatCode>
                <c:ptCount val="28"/>
                <c:pt idx="0">
                  <c:v>46.831999999999994</c:v>
                </c:pt>
                <c:pt idx="1">
                  <c:v>46.831999999999994</c:v>
                </c:pt>
                <c:pt idx="2">
                  <c:v>46.831999999999994</c:v>
                </c:pt>
                <c:pt idx="3">
                  <c:v>46.831999999999994</c:v>
                </c:pt>
                <c:pt idx="4">
                  <c:v>46.831999999999994</c:v>
                </c:pt>
                <c:pt idx="5">
                  <c:v>46.831999999999994</c:v>
                </c:pt>
                <c:pt idx="6">
                  <c:v>46.831999999999994</c:v>
                </c:pt>
                <c:pt idx="7">
                  <c:v>46.831999999999994</c:v>
                </c:pt>
                <c:pt idx="8">
                  <c:v>46.831999999999994</c:v>
                </c:pt>
                <c:pt idx="9">
                  <c:v>46.831999999999994</c:v>
                </c:pt>
                <c:pt idx="10">
                  <c:v>46.831999999999994</c:v>
                </c:pt>
                <c:pt idx="11">
                  <c:v>46.831999999999994</c:v>
                </c:pt>
                <c:pt idx="12">
                  <c:v>46.831999999999994</c:v>
                </c:pt>
                <c:pt idx="13">
                  <c:v>46.831999999999994</c:v>
                </c:pt>
                <c:pt idx="14">
                  <c:v>46.831999999999994</c:v>
                </c:pt>
                <c:pt idx="15">
                  <c:v>46.831999999999994</c:v>
                </c:pt>
                <c:pt idx="16">
                  <c:v>46.831999999999994</c:v>
                </c:pt>
                <c:pt idx="17">
                  <c:v>46.831999999999994</c:v>
                </c:pt>
                <c:pt idx="18">
                  <c:v>46.831999999999994</c:v>
                </c:pt>
                <c:pt idx="19">
                  <c:v>46.831999999999994</c:v>
                </c:pt>
                <c:pt idx="20">
                  <c:v>46.831999999999994</c:v>
                </c:pt>
                <c:pt idx="21">
                  <c:v>46.831999999999994</c:v>
                </c:pt>
                <c:pt idx="22">
                  <c:v>46.831999999999994</c:v>
                </c:pt>
                <c:pt idx="23">
                  <c:v>46.831999999999994</c:v>
                </c:pt>
                <c:pt idx="24">
                  <c:v>46.831999999999994</c:v>
                </c:pt>
                <c:pt idx="25">
                  <c:v>46.831999999999994</c:v>
                </c:pt>
                <c:pt idx="26">
                  <c:v>46.831999999999994</c:v>
                </c:pt>
                <c:pt idx="27">
                  <c:v>46.831999999999994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F-45E1-AD6A-0BBC52E7FFC6}"/>
            </c:ext>
          </c:extLst>
        </c:ser>
        <c:ser>
          <c:idx val="1"/>
          <c:order val="1"/>
          <c:tx>
            <c:strRef>
              <c:f>Data!$B$42</c:f>
              <c:strCache>
                <c:ptCount val="1"/>
                <c:pt idx="0">
                  <c:v>304/L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Data!$E$42:$AI$42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F-45E1-AD6A-0BBC52E7FFC6}"/>
            </c:ext>
          </c:extLst>
        </c:ser>
        <c:ser>
          <c:idx val="2"/>
          <c:order val="2"/>
          <c:tx>
            <c:strRef>
              <c:f>Data!$B$44</c:f>
              <c:strCache>
                <c:ptCount val="1"/>
                <c:pt idx="0">
                  <c:v>430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Data!$E$44:$AI$44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F-45E1-AD6A-0BBC52E7FFC6}"/>
            </c:ext>
          </c:extLst>
        </c:ser>
        <c:ser>
          <c:idx val="3"/>
          <c:order val="3"/>
          <c:tx>
            <c:strRef>
              <c:f>Data!$B$41</c:f>
              <c:strCache>
                <c:ptCount val="1"/>
                <c:pt idx="0">
                  <c:v>J4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Data!$E$41:$AI$41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F-45E1-AD6A-0BBC52E7FFC6}"/>
            </c:ext>
          </c:extLst>
        </c:ser>
        <c:ser>
          <c:idx val="4"/>
          <c:order val="4"/>
          <c:tx>
            <c:strRef>
              <c:f>Data!$B$43</c:f>
              <c:strCache>
                <c:ptCount val="1"/>
                <c:pt idx="0">
                  <c:v>316/L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Data!$E$43:$AI$43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5F-45E1-AD6A-0BBC52E7FFC6}"/>
            </c:ext>
          </c:extLst>
        </c:ser>
        <c:ser>
          <c:idx val="5"/>
          <c:order val="5"/>
          <c:tx>
            <c:strRef>
              <c:f>Data!$B$39</c:f>
              <c:strCache>
                <c:ptCount val="1"/>
                <c:pt idx="0">
                  <c:v>J2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Data!$E$39:$AI$39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5F-45E1-AD6A-0BBC52E7F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228800"/>
        <c:axId val="451233064"/>
      </c:barChart>
      <c:catAx>
        <c:axId val="451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3064"/>
        <c:crosses val="autoZero"/>
        <c:auto val="1"/>
        <c:lblAlgn val="ctr"/>
        <c:lblOffset val="100"/>
        <c:noMultiLvlLbl val="0"/>
      </c:catAx>
      <c:valAx>
        <c:axId val="451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Metric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800"/>
        <c:crosses val="autoZero"/>
        <c:crossBetween val="between"/>
      </c:valAx>
      <c:spPr>
        <a:gradFill>
          <a:gsLst>
            <a:gs pos="24000">
              <a:schemeClr val="bg1"/>
            </a:gs>
            <a:gs pos="100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68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680000"/>
                </a:solidFill>
              </a:rPr>
              <a:t>ROLLING</a:t>
            </a:r>
            <a:r>
              <a:rPr lang="en-US" baseline="0">
                <a:solidFill>
                  <a:srgbClr val="680000"/>
                </a:solidFill>
              </a:rPr>
              <a:t> &amp; REROLLING</a:t>
            </a:r>
            <a:endParaRPr lang="id-ID">
              <a:solidFill>
                <a:srgbClr val="68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68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Data!$A$3</c:f>
              <c:strCache>
                <c:ptCount val="1"/>
                <c:pt idx="0">
                  <c:v>ROLLING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Data!$E$3:$AI$3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106.105</c:v>
                </c:pt>
                <c:pt idx="7">
                  <c:v>70.58</c:v>
                </c:pt>
                <c:pt idx="8">
                  <c:v>126.405</c:v>
                </c:pt>
                <c:pt idx="9">
                  <c:v>105.215</c:v>
                </c:pt>
                <c:pt idx="10">
                  <c:v>103.625</c:v>
                </c:pt>
                <c:pt idx="11">
                  <c:v>110.6</c:v>
                </c:pt>
                <c:pt idx="12">
                  <c:v>107.49</c:v>
                </c:pt>
                <c:pt idx="13">
                  <c:v>126.605</c:v>
                </c:pt>
                <c:pt idx="14">
                  <c:v>91.26</c:v>
                </c:pt>
                <c:pt idx="15">
                  <c:v>25.86</c:v>
                </c:pt>
                <c:pt idx="16">
                  <c:v>18.835000000000001</c:v>
                </c:pt>
                <c:pt idx="17">
                  <c:v>29.69</c:v>
                </c:pt>
                <c:pt idx="18">
                  <c:v>69.069999999999993</c:v>
                </c:pt>
                <c:pt idx="19">
                  <c:v>60.755000000000003</c:v>
                </c:pt>
                <c:pt idx="20">
                  <c:v>10.210000000000001</c:v>
                </c:pt>
                <c:pt idx="21">
                  <c:v>55.19</c:v>
                </c:pt>
                <c:pt idx="22">
                  <c:v>71.724999999999994</c:v>
                </c:pt>
                <c:pt idx="23">
                  <c:v>73.405000000000001</c:v>
                </c:pt>
                <c:pt idx="24">
                  <c:v>42.064999999999998</c:v>
                </c:pt>
                <c:pt idx="25">
                  <c:v>46.685000000000002</c:v>
                </c:pt>
                <c:pt idx="26">
                  <c:v>107.11</c:v>
                </c:pt>
                <c:pt idx="27">
                  <c:v>75.965000000000003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9-4619-97DB-CBCBBB52E5BB}"/>
            </c:ext>
          </c:extLst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RE-ROLLING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Data!$E$4:$AI$4</c:f>
              <c:numCache>
                <c:formatCode>0.000</c:formatCode>
                <c:ptCount val="28"/>
                <c:pt idx="7">
                  <c:v>15.705</c:v>
                </c:pt>
                <c:pt idx="15">
                  <c:v>3.9649999999999999</c:v>
                </c:pt>
                <c:pt idx="16">
                  <c:v>9.8450000000000006</c:v>
                </c:pt>
                <c:pt idx="22">
                  <c:v>20.58</c:v>
                </c:pt>
                <c:pt idx="23">
                  <c:v>17.489999999999998</c:v>
                </c:pt>
                <c:pt idx="24">
                  <c:v>28.46</c:v>
                </c:pt>
                <c:pt idx="25">
                  <c:v>18.105</c:v>
                </c:pt>
                <c:pt idx="26">
                  <c:v>5.375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9-4619-97DB-CBCBBB52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228800"/>
        <c:axId val="451233064"/>
      </c:barChart>
      <c:catAx>
        <c:axId val="451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3064"/>
        <c:crosses val="autoZero"/>
        <c:auto val="1"/>
        <c:lblAlgn val="ctr"/>
        <c:lblOffset val="100"/>
        <c:noMultiLvlLbl val="0"/>
      </c:catAx>
      <c:valAx>
        <c:axId val="451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Metric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800"/>
        <c:crosses val="autoZero"/>
        <c:crossBetween val="between"/>
      </c:valAx>
      <c:spPr>
        <a:gradFill>
          <a:gsLst>
            <a:gs pos="24000">
              <a:schemeClr val="bg1"/>
            </a:gs>
            <a:gs pos="100000">
              <a:schemeClr val="accent4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10583</xdr:colOff>
      <xdr:row>19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11A4D-BB1D-4794-B3B8-ECBE04F7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29</xdr:col>
      <xdr:colOff>10583</xdr:colOff>
      <xdr:row>18</xdr:row>
      <xdr:rowOff>179917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88DFD-6C78-4A2E-9960-7FF5E37F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17</xdr:col>
      <xdr:colOff>10583</xdr:colOff>
      <xdr:row>39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EB053B-5303-4D53-B97F-3FDB1F19F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10584</xdr:colOff>
      <xdr:row>19</xdr:row>
      <xdr:rowOff>179918</xdr:rowOff>
    </xdr:from>
    <xdr:to>
      <xdr:col>28</xdr:col>
      <xdr:colOff>592668</xdr:colOff>
      <xdr:row>38</xdr:row>
      <xdr:rowOff>169335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7E8D5E-A863-48A1-8716-3166384B8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21166</xdr:rowOff>
    </xdr:from>
    <xdr:to>
      <xdr:col>17</xdr:col>
      <xdr:colOff>10583</xdr:colOff>
      <xdr:row>60</xdr:row>
      <xdr:rowOff>31749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F32BD0-C264-457D-82CC-D474E983A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41</xdr:row>
      <xdr:rowOff>21167</xdr:rowOff>
    </xdr:from>
    <xdr:to>
      <xdr:col>28</xdr:col>
      <xdr:colOff>592667</xdr:colOff>
      <xdr:row>60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866BFA-9B06-4E55-B52E-A4D21EF28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61</xdr:row>
      <xdr:rowOff>95250</xdr:rowOff>
    </xdr:from>
    <xdr:to>
      <xdr:col>16</xdr:col>
      <xdr:colOff>354542</xdr:colOff>
      <xdr:row>80</xdr:row>
      <xdr:rowOff>105833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85F3F9-6259-4995-B2C8-3C006819E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62</xdr:row>
      <xdr:rowOff>0</xdr:rowOff>
    </xdr:from>
    <xdr:to>
      <xdr:col>28</xdr:col>
      <xdr:colOff>582084</xdr:colOff>
      <xdr:row>80</xdr:row>
      <xdr:rowOff>179917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03151A-6828-4538-9B2C-F235ADA36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95\imr%20shared%20ppic\WIP+WH%20Machine\WH%2028.0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CPL"/>
      <sheetName val="MILL"/>
      <sheetName val="BAL"/>
      <sheetName val="SLT"/>
      <sheetName val="CTL"/>
      <sheetName val="WH FEBRUARY'22"/>
      <sheetName val="SUMMARY"/>
      <sheetName val="FG"/>
      <sheetName val="FG-KW2 COIL"/>
      <sheetName val="FG KW2 SHEETS"/>
      <sheetName val="DISPATCH February'22"/>
      <sheetName val="TRANSFER TO FG"/>
      <sheetName val="DISPATCH BABY COIL Nopember'19"/>
      <sheetName val="BABY COIL 2B"/>
      <sheetName val="BABY COIL FH"/>
      <sheetName val="CUT SHEET BABY COIL"/>
      <sheetName val="Ok Scrap"/>
      <sheetName val="DISPATCH BBY"/>
      <sheetName val="MILL PROD. PER SHIFT"/>
      <sheetName val="COIL TIDAK KETEM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21FB-0BEA-4738-813E-92880568599C}">
  <dimension ref="A1:O69"/>
  <sheetViews>
    <sheetView view="pageBreakPreview" zoomScale="89" zoomScaleNormal="89" zoomScaleSheetLayoutView="89" workbookViewId="0">
      <selection activeCell="B62" sqref="B62:J67"/>
    </sheetView>
  </sheetViews>
  <sheetFormatPr defaultRowHeight="12.5" x14ac:dyDescent="0.35"/>
  <cols>
    <col min="1" max="1" width="15" style="1" customWidth="1"/>
    <col min="2" max="2" width="13.453125" style="1" customWidth="1"/>
    <col min="3" max="3" width="13.54296875" style="1" customWidth="1"/>
    <col min="4" max="4" width="12.81640625" style="1" customWidth="1"/>
    <col min="5" max="5" width="15.1796875" style="1" customWidth="1"/>
    <col min="6" max="6" width="14" style="1" customWidth="1"/>
    <col min="7" max="7" width="13.54296875" style="1" customWidth="1"/>
    <col min="8" max="8" width="11.7265625" style="1" customWidth="1"/>
    <col min="9" max="9" width="10.1796875" style="1" customWidth="1"/>
    <col min="10" max="10" width="13" style="1" customWidth="1"/>
    <col min="11" max="11" width="10.54296875" style="1" bestFit="1" customWidth="1"/>
    <col min="12" max="12" width="9.1796875" style="1"/>
    <col min="13" max="13" width="9.81640625" style="1" customWidth="1"/>
    <col min="14" max="261" width="9.1796875" style="1"/>
    <col min="262" max="262" width="9.54296875" style="1" customWidth="1"/>
    <col min="263" max="263" width="9.1796875" style="1"/>
    <col min="264" max="264" width="9.54296875" style="1" customWidth="1"/>
    <col min="265" max="265" width="9.81640625" style="1" customWidth="1"/>
    <col min="266" max="268" width="9.1796875" style="1"/>
    <col min="269" max="269" width="9.81640625" style="1" customWidth="1"/>
    <col min="270" max="517" width="9.1796875" style="1"/>
    <col min="518" max="518" width="9.54296875" style="1" customWidth="1"/>
    <col min="519" max="519" width="9.1796875" style="1"/>
    <col min="520" max="520" width="9.54296875" style="1" customWidth="1"/>
    <col min="521" max="521" width="9.81640625" style="1" customWidth="1"/>
    <col min="522" max="524" width="9.1796875" style="1"/>
    <col min="525" max="525" width="9.81640625" style="1" customWidth="1"/>
    <col min="526" max="773" width="9.1796875" style="1"/>
    <col min="774" max="774" width="9.54296875" style="1" customWidth="1"/>
    <col min="775" max="775" width="9.1796875" style="1"/>
    <col min="776" max="776" width="9.54296875" style="1" customWidth="1"/>
    <col min="777" max="777" width="9.81640625" style="1" customWidth="1"/>
    <col min="778" max="780" width="9.1796875" style="1"/>
    <col min="781" max="781" width="9.81640625" style="1" customWidth="1"/>
    <col min="782" max="1029" width="9.1796875" style="1"/>
    <col min="1030" max="1030" width="9.54296875" style="1" customWidth="1"/>
    <col min="1031" max="1031" width="9.1796875" style="1"/>
    <col min="1032" max="1032" width="9.54296875" style="1" customWidth="1"/>
    <col min="1033" max="1033" width="9.81640625" style="1" customWidth="1"/>
    <col min="1034" max="1036" width="9.1796875" style="1"/>
    <col min="1037" max="1037" width="9.81640625" style="1" customWidth="1"/>
    <col min="1038" max="1285" width="9.1796875" style="1"/>
    <col min="1286" max="1286" width="9.54296875" style="1" customWidth="1"/>
    <col min="1287" max="1287" width="9.1796875" style="1"/>
    <col min="1288" max="1288" width="9.54296875" style="1" customWidth="1"/>
    <col min="1289" max="1289" width="9.81640625" style="1" customWidth="1"/>
    <col min="1290" max="1292" width="9.1796875" style="1"/>
    <col min="1293" max="1293" width="9.81640625" style="1" customWidth="1"/>
    <col min="1294" max="1541" width="9.1796875" style="1"/>
    <col min="1542" max="1542" width="9.54296875" style="1" customWidth="1"/>
    <col min="1543" max="1543" width="9.1796875" style="1"/>
    <col min="1544" max="1544" width="9.54296875" style="1" customWidth="1"/>
    <col min="1545" max="1545" width="9.81640625" style="1" customWidth="1"/>
    <col min="1546" max="1548" width="9.1796875" style="1"/>
    <col min="1549" max="1549" width="9.81640625" style="1" customWidth="1"/>
    <col min="1550" max="1797" width="9.1796875" style="1"/>
    <col min="1798" max="1798" width="9.54296875" style="1" customWidth="1"/>
    <col min="1799" max="1799" width="9.1796875" style="1"/>
    <col min="1800" max="1800" width="9.54296875" style="1" customWidth="1"/>
    <col min="1801" max="1801" width="9.81640625" style="1" customWidth="1"/>
    <col min="1802" max="1804" width="9.1796875" style="1"/>
    <col min="1805" max="1805" width="9.81640625" style="1" customWidth="1"/>
    <col min="1806" max="2053" width="9.1796875" style="1"/>
    <col min="2054" max="2054" width="9.54296875" style="1" customWidth="1"/>
    <col min="2055" max="2055" width="9.1796875" style="1"/>
    <col min="2056" max="2056" width="9.54296875" style="1" customWidth="1"/>
    <col min="2057" max="2057" width="9.81640625" style="1" customWidth="1"/>
    <col min="2058" max="2060" width="9.1796875" style="1"/>
    <col min="2061" max="2061" width="9.81640625" style="1" customWidth="1"/>
    <col min="2062" max="2309" width="9.1796875" style="1"/>
    <col min="2310" max="2310" width="9.54296875" style="1" customWidth="1"/>
    <col min="2311" max="2311" width="9.1796875" style="1"/>
    <col min="2312" max="2312" width="9.54296875" style="1" customWidth="1"/>
    <col min="2313" max="2313" width="9.81640625" style="1" customWidth="1"/>
    <col min="2314" max="2316" width="9.1796875" style="1"/>
    <col min="2317" max="2317" width="9.81640625" style="1" customWidth="1"/>
    <col min="2318" max="2565" width="9.1796875" style="1"/>
    <col min="2566" max="2566" width="9.54296875" style="1" customWidth="1"/>
    <col min="2567" max="2567" width="9.1796875" style="1"/>
    <col min="2568" max="2568" width="9.54296875" style="1" customWidth="1"/>
    <col min="2569" max="2569" width="9.81640625" style="1" customWidth="1"/>
    <col min="2570" max="2572" width="9.1796875" style="1"/>
    <col min="2573" max="2573" width="9.81640625" style="1" customWidth="1"/>
    <col min="2574" max="2821" width="9.1796875" style="1"/>
    <col min="2822" max="2822" width="9.54296875" style="1" customWidth="1"/>
    <col min="2823" max="2823" width="9.1796875" style="1"/>
    <col min="2824" max="2824" width="9.54296875" style="1" customWidth="1"/>
    <col min="2825" max="2825" width="9.81640625" style="1" customWidth="1"/>
    <col min="2826" max="2828" width="9.1796875" style="1"/>
    <col min="2829" max="2829" width="9.81640625" style="1" customWidth="1"/>
    <col min="2830" max="3077" width="9.1796875" style="1"/>
    <col min="3078" max="3078" width="9.54296875" style="1" customWidth="1"/>
    <col min="3079" max="3079" width="9.1796875" style="1"/>
    <col min="3080" max="3080" width="9.54296875" style="1" customWidth="1"/>
    <col min="3081" max="3081" width="9.81640625" style="1" customWidth="1"/>
    <col min="3082" max="3084" width="9.1796875" style="1"/>
    <col min="3085" max="3085" width="9.81640625" style="1" customWidth="1"/>
    <col min="3086" max="3333" width="9.1796875" style="1"/>
    <col min="3334" max="3334" width="9.54296875" style="1" customWidth="1"/>
    <col min="3335" max="3335" width="9.1796875" style="1"/>
    <col min="3336" max="3336" width="9.54296875" style="1" customWidth="1"/>
    <col min="3337" max="3337" width="9.81640625" style="1" customWidth="1"/>
    <col min="3338" max="3340" width="9.1796875" style="1"/>
    <col min="3341" max="3341" width="9.81640625" style="1" customWidth="1"/>
    <col min="3342" max="3589" width="9.1796875" style="1"/>
    <col min="3590" max="3590" width="9.54296875" style="1" customWidth="1"/>
    <col min="3591" max="3591" width="9.1796875" style="1"/>
    <col min="3592" max="3592" width="9.54296875" style="1" customWidth="1"/>
    <col min="3593" max="3593" width="9.81640625" style="1" customWidth="1"/>
    <col min="3594" max="3596" width="9.1796875" style="1"/>
    <col min="3597" max="3597" width="9.81640625" style="1" customWidth="1"/>
    <col min="3598" max="3845" width="9.1796875" style="1"/>
    <col min="3846" max="3846" width="9.54296875" style="1" customWidth="1"/>
    <col min="3847" max="3847" width="9.1796875" style="1"/>
    <col min="3848" max="3848" width="9.54296875" style="1" customWidth="1"/>
    <col min="3849" max="3849" width="9.81640625" style="1" customWidth="1"/>
    <col min="3850" max="3852" width="9.1796875" style="1"/>
    <col min="3853" max="3853" width="9.81640625" style="1" customWidth="1"/>
    <col min="3854" max="4101" width="9.1796875" style="1"/>
    <col min="4102" max="4102" width="9.54296875" style="1" customWidth="1"/>
    <col min="4103" max="4103" width="9.1796875" style="1"/>
    <col min="4104" max="4104" width="9.54296875" style="1" customWidth="1"/>
    <col min="4105" max="4105" width="9.81640625" style="1" customWidth="1"/>
    <col min="4106" max="4108" width="9.1796875" style="1"/>
    <col min="4109" max="4109" width="9.81640625" style="1" customWidth="1"/>
    <col min="4110" max="4357" width="9.1796875" style="1"/>
    <col min="4358" max="4358" width="9.54296875" style="1" customWidth="1"/>
    <col min="4359" max="4359" width="9.1796875" style="1"/>
    <col min="4360" max="4360" width="9.54296875" style="1" customWidth="1"/>
    <col min="4361" max="4361" width="9.81640625" style="1" customWidth="1"/>
    <col min="4362" max="4364" width="9.1796875" style="1"/>
    <col min="4365" max="4365" width="9.81640625" style="1" customWidth="1"/>
    <col min="4366" max="4613" width="9.1796875" style="1"/>
    <col min="4614" max="4614" width="9.54296875" style="1" customWidth="1"/>
    <col min="4615" max="4615" width="9.1796875" style="1"/>
    <col min="4616" max="4616" width="9.54296875" style="1" customWidth="1"/>
    <col min="4617" max="4617" width="9.81640625" style="1" customWidth="1"/>
    <col min="4618" max="4620" width="9.1796875" style="1"/>
    <col min="4621" max="4621" width="9.81640625" style="1" customWidth="1"/>
    <col min="4622" max="4869" width="9.1796875" style="1"/>
    <col min="4870" max="4870" width="9.54296875" style="1" customWidth="1"/>
    <col min="4871" max="4871" width="9.1796875" style="1"/>
    <col min="4872" max="4872" width="9.54296875" style="1" customWidth="1"/>
    <col min="4873" max="4873" width="9.81640625" style="1" customWidth="1"/>
    <col min="4874" max="4876" width="9.1796875" style="1"/>
    <col min="4877" max="4877" width="9.81640625" style="1" customWidth="1"/>
    <col min="4878" max="5125" width="9.1796875" style="1"/>
    <col min="5126" max="5126" width="9.54296875" style="1" customWidth="1"/>
    <col min="5127" max="5127" width="9.1796875" style="1"/>
    <col min="5128" max="5128" width="9.54296875" style="1" customWidth="1"/>
    <col min="5129" max="5129" width="9.81640625" style="1" customWidth="1"/>
    <col min="5130" max="5132" width="9.1796875" style="1"/>
    <col min="5133" max="5133" width="9.81640625" style="1" customWidth="1"/>
    <col min="5134" max="5381" width="9.1796875" style="1"/>
    <col min="5382" max="5382" width="9.54296875" style="1" customWidth="1"/>
    <col min="5383" max="5383" width="9.1796875" style="1"/>
    <col min="5384" max="5384" width="9.54296875" style="1" customWidth="1"/>
    <col min="5385" max="5385" width="9.81640625" style="1" customWidth="1"/>
    <col min="5386" max="5388" width="9.1796875" style="1"/>
    <col min="5389" max="5389" width="9.81640625" style="1" customWidth="1"/>
    <col min="5390" max="5637" width="9.1796875" style="1"/>
    <col min="5638" max="5638" width="9.54296875" style="1" customWidth="1"/>
    <col min="5639" max="5639" width="9.1796875" style="1"/>
    <col min="5640" max="5640" width="9.54296875" style="1" customWidth="1"/>
    <col min="5641" max="5641" width="9.81640625" style="1" customWidth="1"/>
    <col min="5642" max="5644" width="9.1796875" style="1"/>
    <col min="5645" max="5645" width="9.81640625" style="1" customWidth="1"/>
    <col min="5646" max="5893" width="9.1796875" style="1"/>
    <col min="5894" max="5894" width="9.54296875" style="1" customWidth="1"/>
    <col min="5895" max="5895" width="9.1796875" style="1"/>
    <col min="5896" max="5896" width="9.54296875" style="1" customWidth="1"/>
    <col min="5897" max="5897" width="9.81640625" style="1" customWidth="1"/>
    <col min="5898" max="5900" width="9.1796875" style="1"/>
    <col min="5901" max="5901" width="9.81640625" style="1" customWidth="1"/>
    <col min="5902" max="6149" width="9.1796875" style="1"/>
    <col min="6150" max="6150" width="9.54296875" style="1" customWidth="1"/>
    <col min="6151" max="6151" width="9.1796875" style="1"/>
    <col min="6152" max="6152" width="9.54296875" style="1" customWidth="1"/>
    <col min="6153" max="6153" width="9.81640625" style="1" customWidth="1"/>
    <col min="6154" max="6156" width="9.1796875" style="1"/>
    <col min="6157" max="6157" width="9.81640625" style="1" customWidth="1"/>
    <col min="6158" max="6405" width="9.1796875" style="1"/>
    <col min="6406" max="6406" width="9.54296875" style="1" customWidth="1"/>
    <col min="6407" max="6407" width="9.1796875" style="1"/>
    <col min="6408" max="6408" width="9.54296875" style="1" customWidth="1"/>
    <col min="6409" max="6409" width="9.81640625" style="1" customWidth="1"/>
    <col min="6410" max="6412" width="9.1796875" style="1"/>
    <col min="6413" max="6413" width="9.81640625" style="1" customWidth="1"/>
    <col min="6414" max="6661" width="9.1796875" style="1"/>
    <col min="6662" max="6662" width="9.54296875" style="1" customWidth="1"/>
    <col min="6663" max="6663" width="9.1796875" style="1"/>
    <col min="6664" max="6664" width="9.54296875" style="1" customWidth="1"/>
    <col min="6665" max="6665" width="9.81640625" style="1" customWidth="1"/>
    <col min="6666" max="6668" width="9.1796875" style="1"/>
    <col min="6669" max="6669" width="9.81640625" style="1" customWidth="1"/>
    <col min="6670" max="6917" width="9.1796875" style="1"/>
    <col min="6918" max="6918" width="9.54296875" style="1" customWidth="1"/>
    <col min="6919" max="6919" width="9.1796875" style="1"/>
    <col min="6920" max="6920" width="9.54296875" style="1" customWidth="1"/>
    <col min="6921" max="6921" width="9.81640625" style="1" customWidth="1"/>
    <col min="6922" max="6924" width="9.1796875" style="1"/>
    <col min="6925" max="6925" width="9.81640625" style="1" customWidth="1"/>
    <col min="6926" max="7173" width="9.1796875" style="1"/>
    <col min="7174" max="7174" width="9.54296875" style="1" customWidth="1"/>
    <col min="7175" max="7175" width="9.1796875" style="1"/>
    <col min="7176" max="7176" width="9.54296875" style="1" customWidth="1"/>
    <col min="7177" max="7177" width="9.81640625" style="1" customWidth="1"/>
    <col min="7178" max="7180" width="9.1796875" style="1"/>
    <col min="7181" max="7181" width="9.81640625" style="1" customWidth="1"/>
    <col min="7182" max="7429" width="9.1796875" style="1"/>
    <col min="7430" max="7430" width="9.54296875" style="1" customWidth="1"/>
    <col min="7431" max="7431" width="9.1796875" style="1"/>
    <col min="7432" max="7432" width="9.54296875" style="1" customWidth="1"/>
    <col min="7433" max="7433" width="9.81640625" style="1" customWidth="1"/>
    <col min="7434" max="7436" width="9.1796875" style="1"/>
    <col min="7437" max="7437" width="9.81640625" style="1" customWidth="1"/>
    <col min="7438" max="7685" width="9.1796875" style="1"/>
    <col min="7686" max="7686" width="9.54296875" style="1" customWidth="1"/>
    <col min="7687" max="7687" width="9.1796875" style="1"/>
    <col min="7688" max="7688" width="9.54296875" style="1" customWidth="1"/>
    <col min="7689" max="7689" width="9.81640625" style="1" customWidth="1"/>
    <col min="7690" max="7692" width="9.1796875" style="1"/>
    <col min="7693" max="7693" width="9.81640625" style="1" customWidth="1"/>
    <col min="7694" max="7941" width="9.1796875" style="1"/>
    <col min="7942" max="7942" width="9.54296875" style="1" customWidth="1"/>
    <col min="7943" max="7943" width="9.1796875" style="1"/>
    <col min="7944" max="7944" width="9.54296875" style="1" customWidth="1"/>
    <col min="7945" max="7945" width="9.81640625" style="1" customWidth="1"/>
    <col min="7946" max="7948" width="9.1796875" style="1"/>
    <col min="7949" max="7949" width="9.81640625" style="1" customWidth="1"/>
    <col min="7950" max="8197" width="9.1796875" style="1"/>
    <col min="8198" max="8198" width="9.54296875" style="1" customWidth="1"/>
    <col min="8199" max="8199" width="9.1796875" style="1"/>
    <col min="8200" max="8200" width="9.54296875" style="1" customWidth="1"/>
    <col min="8201" max="8201" width="9.81640625" style="1" customWidth="1"/>
    <col min="8202" max="8204" width="9.1796875" style="1"/>
    <col min="8205" max="8205" width="9.81640625" style="1" customWidth="1"/>
    <col min="8206" max="8453" width="9.1796875" style="1"/>
    <col min="8454" max="8454" width="9.54296875" style="1" customWidth="1"/>
    <col min="8455" max="8455" width="9.1796875" style="1"/>
    <col min="8456" max="8456" width="9.54296875" style="1" customWidth="1"/>
    <col min="8457" max="8457" width="9.81640625" style="1" customWidth="1"/>
    <col min="8458" max="8460" width="9.1796875" style="1"/>
    <col min="8461" max="8461" width="9.81640625" style="1" customWidth="1"/>
    <col min="8462" max="8709" width="9.1796875" style="1"/>
    <col min="8710" max="8710" width="9.54296875" style="1" customWidth="1"/>
    <col min="8711" max="8711" width="9.1796875" style="1"/>
    <col min="8712" max="8712" width="9.54296875" style="1" customWidth="1"/>
    <col min="8713" max="8713" width="9.81640625" style="1" customWidth="1"/>
    <col min="8714" max="8716" width="9.1796875" style="1"/>
    <col min="8717" max="8717" width="9.81640625" style="1" customWidth="1"/>
    <col min="8718" max="8965" width="9.1796875" style="1"/>
    <col min="8966" max="8966" width="9.54296875" style="1" customWidth="1"/>
    <col min="8967" max="8967" width="9.1796875" style="1"/>
    <col min="8968" max="8968" width="9.54296875" style="1" customWidth="1"/>
    <col min="8969" max="8969" width="9.81640625" style="1" customWidth="1"/>
    <col min="8970" max="8972" width="9.1796875" style="1"/>
    <col min="8973" max="8973" width="9.81640625" style="1" customWidth="1"/>
    <col min="8974" max="9221" width="9.1796875" style="1"/>
    <col min="9222" max="9222" width="9.54296875" style="1" customWidth="1"/>
    <col min="9223" max="9223" width="9.1796875" style="1"/>
    <col min="9224" max="9224" width="9.54296875" style="1" customWidth="1"/>
    <col min="9225" max="9225" width="9.81640625" style="1" customWidth="1"/>
    <col min="9226" max="9228" width="9.1796875" style="1"/>
    <col min="9229" max="9229" width="9.81640625" style="1" customWidth="1"/>
    <col min="9230" max="9477" width="9.1796875" style="1"/>
    <col min="9478" max="9478" width="9.54296875" style="1" customWidth="1"/>
    <col min="9479" max="9479" width="9.1796875" style="1"/>
    <col min="9480" max="9480" width="9.54296875" style="1" customWidth="1"/>
    <col min="9481" max="9481" width="9.81640625" style="1" customWidth="1"/>
    <col min="9482" max="9484" width="9.1796875" style="1"/>
    <col min="9485" max="9485" width="9.81640625" style="1" customWidth="1"/>
    <col min="9486" max="9733" width="9.1796875" style="1"/>
    <col min="9734" max="9734" width="9.54296875" style="1" customWidth="1"/>
    <col min="9735" max="9735" width="9.1796875" style="1"/>
    <col min="9736" max="9736" width="9.54296875" style="1" customWidth="1"/>
    <col min="9737" max="9737" width="9.81640625" style="1" customWidth="1"/>
    <col min="9738" max="9740" width="9.1796875" style="1"/>
    <col min="9741" max="9741" width="9.81640625" style="1" customWidth="1"/>
    <col min="9742" max="9989" width="9.1796875" style="1"/>
    <col min="9990" max="9990" width="9.54296875" style="1" customWidth="1"/>
    <col min="9991" max="9991" width="9.1796875" style="1"/>
    <col min="9992" max="9992" width="9.54296875" style="1" customWidth="1"/>
    <col min="9993" max="9993" width="9.81640625" style="1" customWidth="1"/>
    <col min="9994" max="9996" width="9.1796875" style="1"/>
    <col min="9997" max="9997" width="9.81640625" style="1" customWidth="1"/>
    <col min="9998" max="10245" width="9.1796875" style="1"/>
    <col min="10246" max="10246" width="9.54296875" style="1" customWidth="1"/>
    <col min="10247" max="10247" width="9.1796875" style="1"/>
    <col min="10248" max="10248" width="9.54296875" style="1" customWidth="1"/>
    <col min="10249" max="10249" width="9.81640625" style="1" customWidth="1"/>
    <col min="10250" max="10252" width="9.1796875" style="1"/>
    <col min="10253" max="10253" width="9.81640625" style="1" customWidth="1"/>
    <col min="10254" max="10501" width="9.1796875" style="1"/>
    <col min="10502" max="10502" width="9.54296875" style="1" customWidth="1"/>
    <col min="10503" max="10503" width="9.1796875" style="1"/>
    <col min="10504" max="10504" width="9.54296875" style="1" customWidth="1"/>
    <col min="10505" max="10505" width="9.81640625" style="1" customWidth="1"/>
    <col min="10506" max="10508" width="9.1796875" style="1"/>
    <col min="10509" max="10509" width="9.81640625" style="1" customWidth="1"/>
    <col min="10510" max="10757" width="9.1796875" style="1"/>
    <col min="10758" max="10758" width="9.54296875" style="1" customWidth="1"/>
    <col min="10759" max="10759" width="9.1796875" style="1"/>
    <col min="10760" max="10760" width="9.54296875" style="1" customWidth="1"/>
    <col min="10761" max="10761" width="9.81640625" style="1" customWidth="1"/>
    <col min="10762" max="10764" width="9.1796875" style="1"/>
    <col min="10765" max="10765" width="9.81640625" style="1" customWidth="1"/>
    <col min="10766" max="11013" width="9.1796875" style="1"/>
    <col min="11014" max="11014" width="9.54296875" style="1" customWidth="1"/>
    <col min="11015" max="11015" width="9.1796875" style="1"/>
    <col min="11016" max="11016" width="9.54296875" style="1" customWidth="1"/>
    <col min="11017" max="11017" width="9.81640625" style="1" customWidth="1"/>
    <col min="11018" max="11020" width="9.1796875" style="1"/>
    <col min="11021" max="11021" width="9.81640625" style="1" customWidth="1"/>
    <col min="11022" max="11269" width="9.1796875" style="1"/>
    <col min="11270" max="11270" width="9.54296875" style="1" customWidth="1"/>
    <col min="11271" max="11271" width="9.1796875" style="1"/>
    <col min="11272" max="11272" width="9.54296875" style="1" customWidth="1"/>
    <col min="11273" max="11273" width="9.81640625" style="1" customWidth="1"/>
    <col min="11274" max="11276" width="9.1796875" style="1"/>
    <col min="11277" max="11277" width="9.81640625" style="1" customWidth="1"/>
    <col min="11278" max="11525" width="9.1796875" style="1"/>
    <col min="11526" max="11526" width="9.54296875" style="1" customWidth="1"/>
    <col min="11527" max="11527" width="9.1796875" style="1"/>
    <col min="11528" max="11528" width="9.54296875" style="1" customWidth="1"/>
    <col min="11529" max="11529" width="9.81640625" style="1" customWidth="1"/>
    <col min="11530" max="11532" width="9.1796875" style="1"/>
    <col min="11533" max="11533" width="9.81640625" style="1" customWidth="1"/>
    <col min="11534" max="11781" width="9.1796875" style="1"/>
    <col min="11782" max="11782" width="9.54296875" style="1" customWidth="1"/>
    <col min="11783" max="11783" width="9.1796875" style="1"/>
    <col min="11784" max="11784" width="9.54296875" style="1" customWidth="1"/>
    <col min="11785" max="11785" width="9.81640625" style="1" customWidth="1"/>
    <col min="11786" max="11788" width="9.1796875" style="1"/>
    <col min="11789" max="11789" width="9.81640625" style="1" customWidth="1"/>
    <col min="11790" max="12037" width="9.1796875" style="1"/>
    <col min="12038" max="12038" width="9.54296875" style="1" customWidth="1"/>
    <col min="12039" max="12039" width="9.1796875" style="1"/>
    <col min="12040" max="12040" width="9.54296875" style="1" customWidth="1"/>
    <col min="12041" max="12041" width="9.81640625" style="1" customWidth="1"/>
    <col min="12042" max="12044" width="9.1796875" style="1"/>
    <col min="12045" max="12045" width="9.81640625" style="1" customWidth="1"/>
    <col min="12046" max="12293" width="9.1796875" style="1"/>
    <col min="12294" max="12294" width="9.54296875" style="1" customWidth="1"/>
    <col min="12295" max="12295" width="9.1796875" style="1"/>
    <col min="12296" max="12296" width="9.54296875" style="1" customWidth="1"/>
    <col min="12297" max="12297" width="9.81640625" style="1" customWidth="1"/>
    <col min="12298" max="12300" width="9.1796875" style="1"/>
    <col min="12301" max="12301" width="9.81640625" style="1" customWidth="1"/>
    <col min="12302" max="12549" width="9.1796875" style="1"/>
    <col min="12550" max="12550" width="9.54296875" style="1" customWidth="1"/>
    <col min="12551" max="12551" width="9.1796875" style="1"/>
    <col min="12552" max="12552" width="9.54296875" style="1" customWidth="1"/>
    <col min="12553" max="12553" width="9.81640625" style="1" customWidth="1"/>
    <col min="12554" max="12556" width="9.1796875" style="1"/>
    <col min="12557" max="12557" width="9.81640625" style="1" customWidth="1"/>
    <col min="12558" max="12805" width="9.1796875" style="1"/>
    <col min="12806" max="12806" width="9.54296875" style="1" customWidth="1"/>
    <col min="12807" max="12807" width="9.1796875" style="1"/>
    <col min="12808" max="12808" width="9.54296875" style="1" customWidth="1"/>
    <col min="12809" max="12809" width="9.81640625" style="1" customWidth="1"/>
    <col min="12810" max="12812" width="9.1796875" style="1"/>
    <col min="12813" max="12813" width="9.81640625" style="1" customWidth="1"/>
    <col min="12814" max="13061" width="9.1796875" style="1"/>
    <col min="13062" max="13062" width="9.54296875" style="1" customWidth="1"/>
    <col min="13063" max="13063" width="9.1796875" style="1"/>
    <col min="13064" max="13064" width="9.54296875" style="1" customWidth="1"/>
    <col min="13065" max="13065" width="9.81640625" style="1" customWidth="1"/>
    <col min="13066" max="13068" width="9.1796875" style="1"/>
    <col min="13069" max="13069" width="9.81640625" style="1" customWidth="1"/>
    <col min="13070" max="13317" width="9.1796875" style="1"/>
    <col min="13318" max="13318" width="9.54296875" style="1" customWidth="1"/>
    <col min="13319" max="13319" width="9.1796875" style="1"/>
    <col min="13320" max="13320" width="9.54296875" style="1" customWidth="1"/>
    <col min="13321" max="13321" width="9.81640625" style="1" customWidth="1"/>
    <col min="13322" max="13324" width="9.1796875" style="1"/>
    <col min="13325" max="13325" width="9.81640625" style="1" customWidth="1"/>
    <col min="13326" max="13573" width="9.1796875" style="1"/>
    <col min="13574" max="13574" width="9.54296875" style="1" customWidth="1"/>
    <col min="13575" max="13575" width="9.1796875" style="1"/>
    <col min="13576" max="13576" width="9.54296875" style="1" customWidth="1"/>
    <col min="13577" max="13577" width="9.81640625" style="1" customWidth="1"/>
    <col min="13578" max="13580" width="9.1796875" style="1"/>
    <col min="13581" max="13581" width="9.81640625" style="1" customWidth="1"/>
    <col min="13582" max="13829" width="9.1796875" style="1"/>
    <col min="13830" max="13830" width="9.54296875" style="1" customWidth="1"/>
    <col min="13831" max="13831" width="9.1796875" style="1"/>
    <col min="13832" max="13832" width="9.54296875" style="1" customWidth="1"/>
    <col min="13833" max="13833" width="9.81640625" style="1" customWidth="1"/>
    <col min="13834" max="13836" width="9.1796875" style="1"/>
    <col min="13837" max="13837" width="9.81640625" style="1" customWidth="1"/>
    <col min="13838" max="14085" width="9.1796875" style="1"/>
    <col min="14086" max="14086" width="9.54296875" style="1" customWidth="1"/>
    <col min="14087" max="14087" width="9.1796875" style="1"/>
    <col min="14088" max="14088" width="9.54296875" style="1" customWidth="1"/>
    <col min="14089" max="14089" width="9.81640625" style="1" customWidth="1"/>
    <col min="14090" max="14092" width="9.1796875" style="1"/>
    <col min="14093" max="14093" width="9.81640625" style="1" customWidth="1"/>
    <col min="14094" max="14341" width="9.1796875" style="1"/>
    <col min="14342" max="14342" width="9.54296875" style="1" customWidth="1"/>
    <col min="14343" max="14343" width="9.1796875" style="1"/>
    <col min="14344" max="14344" width="9.54296875" style="1" customWidth="1"/>
    <col min="14345" max="14345" width="9.81640625" style="1" customWidth="1"/>
    <col min="14346" max="14348" width="9.1796875" style="1"/>
    <col min="14349" max="14349" width="9.81640625" style="1" customWidth="1"/>
    <col min="14350" max="14597" width="9.1796875" style="1"/>
    <col min="14598" max="14598" width="9.54296875" style="1" customWidth="1"/>
    <col min="14599" max="14599" width="9.1796875" style="1"/>
    <col min="14600" max="14600" width="9.54296875" style="1" customWidth="1"/>
    <col min="14601" max="14601" width="9.81640625" style="1" customWidth="1"/>
    <col min="14602" max="14604" width="9.1796875" style="1"/>
    <col min="14605" max="14605" width="9.81640625" style="1" customWidth="1"/>
    <col min="14606" max="14853" width="9.1796875" style="1"/>
    <col min="14854" max="14854" width="9.54296875" style="1" customWidth="1"/>
    <col min="14855" max="14855" width="9.1796875" style="1"/>
    <col min="14856" max="14856" width="9.54296875" style="1" customWidth="1"/>
    <col min="14857" max="14857" width="9.81640625" style="1" customWidth="1"/>
    <col min="14858" max="14860" width="9.1796875" style="1"/>
    <col min="14861" max="14861" width="9.81640625" style="1" customWidth="1"/>
    <col min="14862" max="15109" width="9.1796875" style="1"/>
    <col min="15110" max="15110" width="9.54296875" style="1" customWidth="1"/>
    <col min="15111" max="15111" width="9.1796875" style="1"/>
    <col min="15112" max="15112" width="9.54296875" style="1" customWidth="1"/>
    <col min="15113" max="15113" width="9.81640625" style="1" customWidth="1"/>
    <col min="15114" max="15116" width="9.1796875" style="1"/>
    <col min="15117" max="15117" width="9.81640625" style="1" customWidth="1"/>
    <col min="15118" max="15365" width="9.1796875" style="1"/>
    <col min="15366" max="15366" width="9.54296875" style="1" customWidth="1"/>
    <col min="15367" max="15367" width="9.1796875" style="1"/>
    <col min="15368" max="15368" width="9.54296875" style="1" customWidth="1"/>
    <col min="15369" max="15369" width="9.81640625" style="1" customWidth="1"/>
    <col min="15370" max="15372" width="9.1796875" style="1"/>
    <col min="15373" max="15373" width="9.81640625" style="1" customWidth="1"/>
    <col min="15374" max="15621" width="9.1796875" style="1"/>
    <col min="15622" max="15622" width="9.54296875" style="1" customWidth="1"/>
    <col min="15623" max="15623" width="9.1796875" style="1"/>
    <col min="15624" max="15624" width="9.54296875" style="1" customWidth="1"/>
    <col min="15625" max="15625" width="9.81640625" style="1" customWidth="1"/>
    <col min="15626" max="15628" width="9.1796875" style="1"/>
    <col min="15629" max="15629" width="9.81640625" style="1" customWidth="1"/>
    <col min="15630" max="15877" width="9.1796875" style="1"/>
    <col min="15878" max="15878" width="9.54296875" style="1" customWidth="1"/>
    <col min="15879" max="15879" width="9.1796875" style="1"/>
    <col min="15880" max="15880" width="9.54296875" style="1" customWidth="1"/>
    <col min="15881" max="15881" width="9.81640625" style="1" customWidth="1"/>
    <col min="15882" max="15884" width="9.1796875" style="1"/>
    <col min="15885" max="15885" width="9.81640625" style="1" customWidth="1"/>
    <col min="15886" max="16133" width="9.1796875" style="1"/>
    <col min="16134" max="16134" width="9.54296875" style="1" customWidth="1"/>
    <col min="16135" max="16135" width="9.1796875" style="1"/>
    <col min="16136" max="16136" width="9.54296875" style="1" customWidth="1"/>
    <col min="16137" max="16137" width="9.81640625" style="1" customWidth="1"/>
    <col min="16138" max="16140" width="9.1796875" style="1"/>
    <col min="16141" max="16141" width="9.81640625" style="1" customWidth="1"/>
    <col min="16142" max="16384" width="9.1796875" style="1"/>
  </cols>
  <sheetData>
    <row r="1" spans="1:9" ht="22.5" customHeight="1" x14ac:dyDescent="0.35">
      <c r="A1" s="758" t="s">
        <v>0</v>
      </c>
      <c r="B1" s="758"/>
      <c r="C1" s="758"/>
      <c r="D1" s="758"/>
      <c r="E1" s="758"/>
      <c r="F1" s="758"/>
      <c r="G1" s="758"/>
      <c r="H1" s="758"/>
    </row>
    <row r="2" spans="1:9" ht="10.5" customHeight="1" x14ac:dyDescent="0.35">
      <c r="A2" s="2"/>
      <c r="B2" s="2"/>
      <c r="C2" s="2"/>
      <c r="D2" s="2"/>
      <c r="E2" s="2"/>
      <c r="F2" s="2"/>
      <c r="G2" s="2"/>
      <c r="H2" s="2"/>
    </row>
    <row r="3" spans="1:9" ht="16.5" x14ac:dyDescent="0.35">
      <c r="A3" s="3" t="s">
        <v>1</v>
      </c>
      <c r="B3" s="4">
        <v>44620</v>
      </c>
      <c r="C3" s="5"/>
    </row>
    <row r="4" spans="1:9" x14ac:dyDescent="0.35">
      <c r="B4" s="6"/>
    </row>
    <row r="5" spans="1:9" ht="13" x14ac:dyDescent="0.35">
      <c r="A5" s="7" t="s">
        <v>2</v>
      </c>
      <c r="B5" s="6"/>
    </row>
    <row r="6" spans="1:9" ht="15.75" customHeight="1" x14ac:dyDescent="0.35">
      <c r="A6" s="759" t="s">
        <v>3</v>
      </c>
      <c r="B6" s="759"/>
      <c r="C6" s="759"/>
      <c r="D6" s="759"/>
      <c r="E6" s="759"/>
      <c r="F6" s="759"/>
      <c r="G6" s="8"/>
    </row>
    <row r="7" spans="1:9" ht="39" customHeight="1" x14ac:dyDescent="0.35">
      <c r="A7" s="9" t="s">
        <v>4</v>
      </c>
      <c r="B7" s="9" t="s">
        <v>5</v>
      </c>
      <c r="C7" s="10" t="s">
        <v>6</v>
      </c>
      <c r="D7" s="11" t="s">
        <v>7</v>
      </c>
      <c r="E7" s="11" t="s">
        <v>8</v>
      </c>
      <c r="F7" s="11" t="s">
        <v>9</v>
      </c>
    </row>
    <row r="8" spans="1:9" ht="14.25" customHeight="1" x14ac:dyDescent="0.35">
      <c r="A8" s="12" t="s">
        <v>10</v>
      </c>
      <c r="B8" s="13">
        <v>151.01</v>
      </c>
      <c r="C8" s="13"/>
      <c r="D8" s="14"/>
      <c r="E8" s="13"/>
      <c r="F8" s="13"/>
      <c r="G8" s="15"/>
      <c r="H8" s="16"/>
      <c r="I8" s="17"/>
    </row>
    <row r="9" spans="1:9" ht="14.25" customHeight="1" x14ac:dyDescent="0.35">
      <c r="A9" s="12" t="s">
        <v>11</v>
      </c>
      <c r="B9" s="13">
        <v>75.965000000000003</v>
      </c>
      <c r="C9" s="14"/>
      <c r="D9" s="14"/>
      <c r="E9" s="14"/>
      <c r="F9" s="14"/>
      <c r="G9" s="18"/>
      <c r="H9" s="16"/>
      <c r="I9" s="17"/>
    </row>
    <row r="10" spans="1:9" ht="14.25" customHeight="1" x14ac:dyDescent="0.35">
      <c r="A10" s="12" t="s">
        <v>12</v>
      </c>
      <c r="B10" s="13"/>
      <c r="C10" s="13"/>
      <c r="D10" s="14"/>
      <c r="E10" s="14"/>
      <c r="F10" s="14"/>
      <c r="G10" s="15"/>
      <c r="H10" s="16"/>
      <c r="I10" s="17"/>
    </row>
    <row r="11" spans="1:9" ht="14.25" customHeight="1" x14ac:dyDescent="0.35">
      <c r="A11" s="12" t="s">
        <v>13</v>
      </c>
      <c r="B11" s="13">
        <v>103.44</v>
      </c>
      <c r="C11" s="14"/>
      <c r="D11" s="13"/>
      <c r="E11" s="14"/>
      <c r="F11" s="19"/>
      <c r="G11" s="20"/>
      <c r="H11" s="16"/>
      <c r="I11" s="17"/>
    </row>
    <row r="12" spans="1:9" ht="14.5" x14ac:dyDescent="0.35">
      <c r="A12" s="12" t="s">
        <v>14</v>
      </c>
      <c r="B12" s="13" t="s">
        <v>15</v>
      </c>
      <c r="C12" s="12"/>
      <c r="D12" s="14"/>
      <c r="E12" s="14"/>
      <c r="F12" s="13"/>
      <c r="G12" s="15"/>
      <c r="H12" s="16"/>
      <c r="I12" s="17"/>
    </row>
    <row r="13" spans="1:9" ht="14.25" customHeight="1" x14ac:dyDescent="0.35">
      <c r="A13" s="12" t="s">
        <v>16</v>
      </c>
      <c r="B13" s="13"/>
      <c r="C13" s="14"/>
      <c r="D13" s="13"/>
      <c r="E13" s="14"/>
      <c r="F13" s="14"/>
      <c r="G13" s="15"/>
    </row>
    <row r="14" spans="1:9" ht="14.25" customHeight="1" x14ac:dyDescent="0.35">
      <c r="A14" s="760"/>
      <c r="B14" s="760"/>
      <c r="C14" s="21"/>
      <c r="D14" s="21"/>
      <c r="E14" s="22"/>
    </row>
    <row r="15" spans="1:9" ht="17.25" customHeight="1" x14ac:dyDescent="0.35">
      <c r="A15" s="759" t="s">
        <v>17</v>
      </c>
      <c r="B15" s="759"/>
      <c r="C15" s="759"/>
      <c r="D15" s="759"/>
      <c r="E15" s="759"/>
      <c r="F15" s="759"/>
    </row>
    <row r="16" spans="1:9" ht="39" customHeight="1" x14ac:dyDescent="0.35">
      <c r="A16" s="9" t="s">
        <v>4</v>
      </c>
      <c r="B16" s="23" t="s">
        <v>5</v>
      </c>
      <c r="C16" s="10" t="s">
        <v>6</v>
      </c>
      <c r="D16" s="11" t="s">
        <v>7</v>
      </c>
      <c r="E16" s="11" t="s">
        <v>8</v>
      </c>
      <c r="F16" s="11" t="s">
        <v>9</v>
      </c>
      <c r="G16" s="24"/>
    </row>
    <row r="17" spans="1:9" ht="14.25" customHeight="1" x14ac:dyDescent="0.35">
      <c r="A17" s="12" t="s">
        <v>10</v>
      </c>
      <c r="B17" s="25">
        <f>10.43+212.6+185.225+248.125+217.04+191.78+224.6+229.235+239.03+177.14+68.58+56.735+60.125+138.045+132.495+10.455+120.58+183.425+196.6+127.42+117.72+233.025+151.01</f>
        <v>3531.42</v>
      </c>
      <c r="C17" s="13"/>
      <c r="D17" s="14"/>
      <c r="E17" s="13"/>
      <c r="F17" s="13"/>
      <c r="G17" s="26"/>
      <c r="H17" s="16"/>
      <c r="I17" s="17"/>
    </row>
    <row r="18" spans="1:9" ht="14.25" customHeight="1" x14ac:dyDescent="0.35">
      <c r="A18" s="12" t="s">
        <v>11</v>
      </c>
      <c r="B18" s="25">
        <f>106.105+70.58+126.405+105.215+103.625+110.6+107.49+126.605+91.26+25.86+18.835+29.69+69.07+60.755+10.21+55.19+71.725+73.405+42.065+46.685+107.11+75.965</f>
        <v>1634.45</v>
      </c>
      <c r="C18" s="14"/>
      <c r="D18" s="14"/>
      <c r="E18" s="14"/>
      <c r="F18" s="14"/>
      <c r="G18" s="26"/>
      <c r="H18" s="16"/>
      <c r="I18" s="17"/>
    </row>
    <row r="19" spans="1:9" ht="14.25" customHeight="1" x14ac:dyDescent="0.35">
      <c r="A19" s="12" t="s">
        <v>12</v>
      </c>
      <c r="B19" s="25">
        <f>15.705+3.965+9.845+20.58+17.49+28.46+18.105+5.375</f>
        <v>119.52499999999999</v>
      </c>
      <c r="C19" s="13"/>
      <c r="D19" s="14"/>
      <c r="E19" s="14"/>
      <c r="F19" s="14"/>
      <c r="G19" s="26"/>
      <c r="H19" s="16"/>
      <c r="I19" s="17"/>
    </row>
    <row r="20" spans="1:9" ht="14.5" x14ac:dyDescent="0.35">
      <c r="A20" s="12" t="s">
        <v>13</v>
      </c>
      <c r="B20" s="25">
        <f>101.94+90.89+75.815+89.68+83.925+69.55+78.965+103.795+89.48+97.32+100.36+98.115+97.265+92.83+96.725+95.675+94.63+92.605+90.62+96.04+91.42+91.41+87.73+85.88+82.43+84.8+90.48+103.44</f>
        <v>2553.8149999999996</v>
      </c>
      <c r="C20" s="14"/>
      <c r="D20" s="13">
        <f>0.05+0.045+0.03+0.025+0.095+0.03+0.05+0.06</f>
        <v>0.38500000000000001</v>
      </c>
      <c r="E20" s="14">
        <f>0.043+0.075+0.014+0.006+0.051+0.018+0.059+0.033+0.032+0.063+0.043+0.046+0.008+0.024+0.036+0.039</f>
        <v>0.59000000000000008</v>
      </c>
      <c r="F20" s="14"/>
      <c r="G20" s="26"/>
      <c r="H20" s="16"/>
      <c r="I20" s="17"/>
    </row>
    <row r="21" spans="1:9" ht="14.25" customHeight="1" x14ac:dyDescent="0.35">
      <c r="A21" s="12" t="s">
        <v>14</v>
      </c>
      <c r="B21" s="25">
        <f>22.45+22.43+1.685+2.19+2.325+1.475+48.05+54.315+47.085+51.935+36.47+35.715+22.99+76.215+53.345+56.835+51.41+70.73+33.56</f>
        <v>691.21</v>
      </c>
      <c r="C21" s="12">
        <f>0.29+0.435+0.98+3.38</f>
        <v>5.085</v>
      </c>
      <c r="D21" s="14">
        <f>0.06+0.185+0.17+0.115+0.21+0.1+0.63+0.095+0.105+0.72+0.105+0.245+0.56+0.385+0.145</f>
        <v>3.8299999999999996</v>
      </c>
      <c r="E21" s="14">
        <f>0.105+0.065+0.1+0.12+0.005+0.065+0.28+0.165+0.12+0.04+0.1+0.055</f>
        <v>1.22</v>
      </c>
      <c r="F21" s="13">
        <f>0.31+0.415+0.57+0.19+0.055+0.51+0.27+0.415+0.72+0.635+0.5+0.12+1.2+0.565+0.675+0.41+0.995+0.605</f>
        <v>9.16</v>
      </c>
      <c r="G21" s="26"/>
      <c r="I21" s="17"/>
    </row>
    <row r="22" spans="1:9" ht="14.25" customHeight="1" x14ac:dyDescent="0.35">
      <c r="A22" s="12" t="s">
        <v>16</v>
      </c>
      <c r="B22" s="13"/>
      <c r="C22" s="14"/>
      <c r="D22" s="14"/>
      <c r="E22" s="14"/>
      <c r="F22" s="14"/>
      <c r="G22" s="27"/>
    </row>
    <row r="23" spans="1:9" ht="17.25" customHeight="1" x14ac:dyDescent="0.35">
      <c r="A23" s="28" t="s">
        <v>18</v>
      </c>
      <c r="B23" s="29"/>
      <c r="C23" s="30"/>
      <c r="D23" s="30"/>
      <c r="E23" s="30"/>
      <c r="F23" s="30"/>
      <c r="G23" s="31"/>
    </row>
    <row r="24" spans="1:9" x14ac:dyDescent="0.35">
      <c r="C24" s="32"/>
      <c r="D24" s="32"/>
    </row>
    <row r="25" spans="1:9" ht="18" customHeight="1" x14ac:dyDescent="0.35">
      <c r="A25" s="759" t="s">
        <v>19</v>
      </c>
      <c r="B25" s="759"/>
      <c r="C25" s="759"/>
      <c r="D25" s="759"/>
      <c r="E25" s="759"/>
      <c r="F25" s="759"/>
      <c r="G25" s="759"/>
    </row>
    <row r="26" spans="1:9" ht="17.25" customHeight="1" x14ac:dyDescent="0.35">
      <c r="A26" s="753" t="s">
        <v>20</v>
      </c>
      <c r="B26" s="753" t="s">
        <v>21</v>
      </c>
      <c r="C26" s="753"/>
      <c r="D26" s="754" t="s">
        <v>22</v>
      </c>
      <c r="E26" s="755"/>
      <c r="F26" s="756" t="s">
        <v>23</v>
      </c>
      <c r="G26" s="757"/>
      <c r="H26" s="756" t="s">
        <v>24</v>
      </c>
      <c r="I26" s="757"/>
    </row>
    <row r="27" spans="1:9" ht="25.5" customHeight="1" x14ac:dyDescent="0.35">
      <c r="A27" s="753"/>
      <c r="B27" s="33">
        <v>44620</v>
      </c>
      <c r="C27" s="34" t="s">
        <v>25</v>
      </c>
      <c r="D27" s="33">
        <v>44620</v>
      </c>
      <c r="E27" s="34" t="s">
        <v>26</v>
      </c>
      <c r="F27" s="33">
        <v>44620</v>
      </c>
      <c r="G27" s="34" t="s">
        <v>26</v>
      </c>
      <c r="H27" s="33">
        <v>44620</v>
      </c>
      <c r="I27" s="34" t="s">
        <v>26</v>
      </c>
    </row>
    <row r="28" spans="1:9" ht="14.25" customHeight="1" x14ac:dyDescent="0.35">
      <c r="A28" s="19">
        <v>201</v>
      </c>
      <c r="B28" s="35"/>
      <c r="C28" s="35"/>
      <c r="D28" s="35"/>
      <c r="E28" s="35">
        <v>0.51200000000000001</v>
      </c>
      <c r="F28" s="35"/>
      <c r="G28" s="35"/>
      <c r="H28" s="35"/>
      <c r="I28" s="35"/>
    </row>
    <row r="29" spans="1:9" ht="14.25" customHeight="1" x14ac:dyDescent="0.35">
      <c r="A29" s="19" t="s">
        <v>27</v>
      </c>
      <c r="B29" s="35"/>
      <c r="C29" s="35">
        <v>7.02</v>
      </c>
      <c r="D29" s="36"/>
      <c r="E29" s="35">
        <f>0.543+3.39+0.69+1.005+0.235</f>
        <v>5.8630000000000004</v>
      </c>
      <c r="F29" s="35"/>
      <c r="G29" s="35">
        <v>2.5419999999999998</v>
      </c>
      <c r="H29" s="35"/>
      <c r="I29" s="35">
        <v>2.5350000000000001</v>
      </c>
    </row>
    <row r="30" spans="1:9" ht="14.25" customHeight="1" x14ac:dyDescent="0.35">
      <c r="A30" s="19" t="s">
        <v>28</v>
      </c>
      <c r="B30" s="35"/>
      <c r="C30" s="35"/>
      <c r="D30" s="36"/>
      <c r="E30" s="35"/>
      <c r="F30" s="35"/>
      <c r="G30" s="35"/>
      <c r="H30" s="35"/>
      <c r="I30" s="35"/>
    </row>
    <row r="31" spans="1:9" ht="14.25" customHeight="1" x14ac:dyDescent="0.35">
      <c r="A31" s="19" t="s">
        <v>29</v>
      </c>
      <c r="B31" s="35"/>
      <c r="C31" s="35">
        <f>56.875+58.83</f>
        <v>115.705</v>
      </c>
      <c r="D31" s="36"/>
      <c r="E31" s="35">
        <v>13.301</v>
      </c>
      <c r="F31" s="35"/>
      <c r="G31" s="35"/>
      <c r="H31" s="35"/>
      <c r="I31" s="35"/>
    </row>
    <row r="32" spans="1:9" ht="14.25" customHeight="1" x14ac:dyDescent="0.35">
      <c r="A32" s="19" t="s">
        <v>30</v>
      </c>
      <c r="B32" s="35"/>
      <c r="C32" s="35">
        <v>1.94</v>
      </c>
      <c r="D32" s="35"/>
      <c r="E32" s="35">
        <v>2.3450000000000002</v>
      </c>
      <c r="F32" s="35"/>
      <c r="G32" s="35"/>
      <c r="H32" s="35"/>
      <c r="I32" s="35"/>
    </row>
    <row r="33" spans="1:15" ht="14.25" customHeight="1" x14ac:dyDescent="0.35">
      <c r="A33" s="19" t="s">
        <v>31</v>
      </c>
      <c r="B33" s="25">
        <v>5.2450000000000001</v>
      </c>
      <c r="C33" s="35">
        <f>450.067+2.465+65.535</f>
        <v>518.06700000000001</v>
      </c>
      <c r="D33" s="35"/>
      <c r="E33" s="35">
        <f>44.939+3.38</f>
        <v>48.319000000000003</v>
      </c>
      <c r="F33" s="35"/>
      <c r="G33" s="35"/>
      <c r="H33" s="35"/>
      <c r="I33" s="35"/>
      <c r="L33" s="17"/>
      <c r="O33" s="37"/>
    </row>
    <row r="34" spans="1:15" ht="14.25" customHeight="1" x14ac:dyDescent="0.35">
      <c r="A34" s="19">
        <v>301</v>
      </c>
      <c r="B34" s="35"/>
      <c r="C34" s="35"/>
      <c r="D34" s="35"/>
      <c r="E34" s="35"/>
      <c r="F34" s="35"/>
      <c r="G34" s="35"/>
      <c r="H34" s="35"/>
      <c r="I34" s="35"/>
      <c r="L34" s="17"/>
      <c r="O34" s="37"/>
    </row>
    <row r="35" spans="1:15" ht="14.25" customHeight="1" x14ac:dyDescent="0.35">
      <c r="A35" s="19" t="s">
        <v>32</v>
      </c>
      <c r="B35" s="35"/>
      <c r="C35" s="35">
        <v>10.17</v>
      </c>
      <c r="D35" s="35"/>
      <c r="E35" s="35">
        <v>0.71499999999999997</v>
      </c>
      <c r="F35" s="35"/>
      <c r="G35" s="35"/>
      <c r="H35" s="35"/>
      <c r="I35" s="35"/>
    </row>
    <row r="36" spans="1:15" ht="14.25" customHeight="1" x14ac:dyDescent="0.35">
      <c r="A36" s="19">
        <v>430</v>
      </c>
      <c r="B36" s="35"/>
      <c r="C36" s="35">
        <v>10.624000000000001</v>
      </c>
      <c r="D36" s="35"/>
      <c r="E36" s="35">
        <v>3.4049999999999998</v>
      </c>
      <c r="F36" s="35"/>
      <c r="G36" s="35">
        <f>0.283</f>
        <v>0.28299999999999997</v>
      </c>
      <c r="H36" s="35"/>
      <c r="I36" s="35">
        <v>0.41899999999999998</v>
      </c>
    </row>
    <row r="37" spans="1:15" ht="14.25" customHeight="1" x14ac:dyDescent="0.35">
      <c r="A37" s="19" t="s">
        <v>33</v>
      </c>
      <c r="B37" s="35"/>
      <c r="C37" s="35"/>
      <c r="D37" s="35"/>
      <c r="E37" s="35">
        <v>0.315</v>
      </c>
      <c r="F37" s="35"/>
      <c r="G37" s="35"/>
      <c r="H37" s="35"/>
      <c r="I37" s="35"/>
    </row>
    <row r="38" spans="1:15" ht="14.25" customHeight="1" x14ac:dyDescent="0.35">
      <c r="A38" s="19">
        <v>410</v>
      </c>
      <c r="B38" s="35"/>
      <c r="C38" s="35">
        <f>0.07</f>
        <v>7.0000000000000007E-2</v>
      </c>
      <c r="D38" s="35"/>
      <c r="E38" s="35">
        <f>0.22+0.26</f>
        <v>0.48</v>
      </c>
      <c r="F38" s="35"/>
      <c r="G38" s="35">
        <v>79.775999999999996</v>
      </c>
      <c r="H38" s="35"/>
      <c r="I38" s="35">
        <v>0.16500000000000001</v>
      </c>
    </row>
    <row r="39" spans="1:15" ht="16.5" customHeight="1" x14ac:dyDescent="0.35">
      <c r="A39" s="38" t="s">
        <v>34</v>
      </c>
      <c r="B39" s="39">
        <f>SUM(B28:B38)</f>
        <v>5.2450000000000001</v>
      </c>
      <c r="C39" s="39">
        <f>SUM(C28:C38)</f>
        <v>663.596</v>
      </c>
      <c r="D39" s="39">
        <f t="shared" ref="D39:I39" si="0">SUM(D28:D38)</f>
        <v>0</v>
      </c>
      <c r="E39" s="39">
        <f t="shared" si="0"/>
        <v>75.25500000000001</v>
      </c>
      <c r="F39" s="39">
        <f t="shared" si="0"/>
        <v>0</v>
      </c>
      <c r="G39" s="39">
        <f>SUM(G28:G38)</f>
        <v>82.600999999999999</v>
      </c>
      <c r="H39" s="39">
        <f t="shared" si="0"/>
        <v>0</v>
      </c>
      <c r="I39" s="39">
        <f t="shared" si="0"/>
        <v>3.1190000000000002</v>
      </c>
    </row>
    <row r="40" spans="1:15" ht="16.5" customHeight="1" x14ac:dyDescent="0.35">
      <c r="A40" s="38" t="s">
        <v>34</v>
      </c>
      <c r="B40" s="764">
        <f>SUM(B39:I39)</f>
        <v>829.81600000000003</v>
      </c>
      <c r="C40" s="764"/>
      <c r="D40" s="764"/>
      <c r="E40" s="764"/>
      <c r="F40" s="764"/>
      <c r="G40" s="764"/>
      <c r="H40" s="764"/>
      <c r="I40" s="764"/>
      <c r="J40" s="17"/>
    </row>
    <row r="41" spans="1:15" x14ac:dyDescent="0.35">
      <c r="B41" s="17"/>
      <c r="C41" s="17"/>
      <c r="D41" s="17"/>
      <c r="E41" s="17"/>
      <c r="F41" s="17"/>
      <c r="G41" s="17"/>
      <c r="H41" s="17"/>
      <c r="I41" s="17"/>
    </row>
    <row r="43" spans="1:15" ht="15.75" customHeight="1" x14ac:dyDescent="0.35">
      <c r="A43" s="759" t="s">
        <v>35</v>
      </c>
      <c r="B43" s="759"/>
      <c r="C43" s="759"/>
      <c r="D43" s="759"/>
      <c r="E43" s="759"/>
      <c r="F43" s="759"/>
      <c r="G43" s="759"/>
      <c r="H43" s="759"/>
      <c r="I43" s="759"/>
      <c r="J43" s="765"/>
    </row>
    <row r="44" spans="1:15" ht="14.25" customHeight="1" x14ac:dyDescent="0.35">
      <c r="A44" s="766" t="s">
        <v>20</v>
      </c>
      <c r="B44" s="766" t="s">
        <v>13</v>
      </c>
      <c r="C44" s="768" t="s">
        <v>14</v>
      </c>
      <c r="D44" s="769"/>
      <c r="E44" s="769"/>
      <c r="F44" s="769"/>
      <c r="G44" s="770"/>
      <c r="H44" s="766" t="s">
        <v>16</v>
      </c>
      <c r="I44" s="771" t="s">
        <v>18</v>
      </c>
    </row>
    <row r="45" spans="1:15" ht="32.25" customHeight="1" x14ac:dyDescent="0.35">
      <c r="A45" s="767"/>
      <c r="B45" s="767"/>
      <c r="C45" s="40" t="s">
        <v>36</v>
      </c>
      <c r="D45" s="40" t="s">
        <v>37</v>
      </c>
      <c r="E45" s="41" t="s">
        <v>38</v>
      </c>
      <c r="F45" s="40" t="s">
        <v>39</v>
      </c>
      <c r="G45" s="41" t="s">
        <v>40</v>
      </c>
      <c r="H45" s="767"/>
      <c r="I45" s="771"/>
    </row>
    <row r="46" spans="1:15" ht="14.25" customHeight="1" x14ac:dyDescent="0.35">
      <c r="A46" s="19">
        <v>201</v>
      </c>
      <c r="B46" s="35" t="s">
        <v>41</v>
      </c>
      <c r="C46" s="35" t="s">
        <v>41</v>
      </c>
      <c r="D46" s="35" t="s">
        <v>41</v>
      </c>
      <c r="E46" s="35" t="s">
        <v>41</v>
      </c>
      <c r="F46" s="35" t="s">
        <v>41</v>
      </c>
      <c r="G46" s="35" t="s">
        <v>41</v>
      </c>
      <c r="H46" s="35"/>
      <c r="I46" s="39">
        <f>SUM(B46:H46)</f>
        <v>0</v>
      </c>
    </row>
    <row r="47" spans="1:15" ht="14.25" customHeight="1" x14ac:dyDescent="0.35">
      <c r="A47" s="19" t="s">
        <v>27</v>
      </c>
      <c r="B47" s="35" t="s">
        <v>41</v>
      </c>
      <c r="C47" s="35" t="s">
        <v>41</v>
      </c>
      <c r="D47" s="35" t="s">
        <v>41</v>
      </c>
      <c r="E47" s="35" t="s">
        <v>41</v>
      </c>
      <c r="F47" s="35" t="s">
        <v>41</v>
      </c>
      <c r="G47" s="35">
        <v>17.149999999999999</v>
      </c>
      <c r="H47" s="35"/>
      <c r="I47" s="39">
        <f>SUM(B47:H47)</f>
        <v>17.149999999999999</v>
      </c>
    </row>
    <row r="48" spans="1:15" ht="14.25" customHeight="1" x14ac:dyDescent="0.35">
      <c r="A48" s="19" t="s">
        <v>28</v>
      </c>
      <c r="B48" s="32" t="s">
        <v>41</v>
      </c>
      <c r="C48" s="35" t="s">
        <v>41</v>
      </c>
      <c r="D48" s="35" t="s">
        <v>41</v>
      </c>
      <c r="E48" s="35" t="s">
        <v>41</v>
      </c>
      <c r="F48" s="35" t="s">
        <v>41</v>
      </c>
      <c r="G48" s="35">
        <v>10.01</v>
      </c>
      <c r="H48" s="35"/>
      <c r="I48" s="39">
        <f>SUM(C48:H48)</f>
        <v>10.01</v>
      </c>
    </row>
    <row r="49" spans="1:11" ht="14.25" customHeight="1" x14ac:dyDescent="0.35">
      <c r="A49" s="19" t="s">
        <v>29</v>
      </c>
      <c r="B49" s="35">
        <v>66.284999999999997</v>
      </c>
      <c r="C49" s="35">
        <v>184.12500000000003</v>
      </c>
      <c r="D49" s="35">
        <v>17.675000000000001</v>
      </c>
      <c r="E49" s="35">
        <v>41.784999999999997</v>
      </c>
      <c r="F49" s="35">
        <v>28.774999999999999</v>
      </c>
      <c r="G49" s="35">
        <v>28.405000000000001</v>
      </c>
      <c r="H49" s="35"/>
      <c r="I49" s="39">
        <f t="shared" ref="I49:I56" si="1">SUM(B49:H49)</f>
        <v>367.04999999999995</v>
      </c>
    </row>
    <row r="50" spans="1:11" ht="14.25" customHeight="1" x14ac:dyDescent="0.35">
      <c r="A50" s="19" t="s">
        <v>30</v>
      </c>
      <c r="B50" s="35" t="s">
        <v>41</v>
      </c>
      <c r="C50" s="35" t="s">
        <v>41</v>
      </c>
      <c r="D50" s="35" t="s">
        <v>41</v>
      </c>
      <c r="E50" s="35" t="s">
        <v>41</v>
      </c>
      <c r="F50" s="35" t="s">
        <v>41</v>
      </c>
      <c r="G50" s="35" t="s">
        <v>41</v>
      </c>
      <c r="H50" s="35"/>
      <c r="I50" s="39">
        <f t="shared" si="1"/>
        <v>0</v>
      </c>
    </row>
    <row r="51" spans="1:11" ht="14.25" customHeight="1" x14ac:dyDescent="0.35">
      <c r="A51" s="19" t="s">
        <v>31</v>
      </c>
      <c r="B51" s="35">
        <v>147.12</v>
      </c>
      <c r="C51" s="35">
        <v>295.14999999999998</v>
      </c>
      <c r="D51" s="42">
        <v>22.344999999999999</v>
      </c>
      <c r="E51" s="35" t="s">
        <v>41</v>
      </c>
      <c r="F51" s="35">
        <v>3.74</v>
      </c>
      <c r="G51" s="35">
        <v>69.215999999999994</v>
      </c>
      <c r="H51" s="35"/>
      <c r="I51" s="39">
        <f t="shared" si="1"/>
        <v>537.57100000000003</v>
      </c>
    </row>
    <row r="52" spans="1:11" ht="14.25" customHeight="1" x14ac:dyDescent="0.35">
      <c r="A52" s="19" t="s">
        <v>32</v>
      </c>
      <c r="B52" s="35">
        <v>2.16</v>
      </c>
      <c r="C52" s="35">
        <v>5.3550000000000004</v>
      </c>
      <c r="D52" s="35" t="s">
        <v>41</v>
      </c>
      <c r="E52" s="35"/>
      <c r="F52" s="35" t="s">
        <v>41</v>
      </c>
      <c r="G52" s="35">
        <v>4.3899999999999997</v>
      </c>
      <c r="H52" s="35"/>
      <c r="I52" s="39">
        <f t="shared" si="1"/>
        <v>11.905000000000001</v>
      </c>
    </row>
    <row r="53" spans="1:11" ht="14.25" customHeight="1" x14ac:dyDescent="0.35">
      <c r="A53" s="19">
        <v>430</v>
      </c>
      <c r="B53" s="35" t="s">
        <v>41</v>
      </c>
      <c r="C53" s="35" t="s">
        <v>41</v>
      </c>
      <c r="D53" s="35" t="s">
        <v>41</v>
      </c>
      <c r="E53" s="35" t="s">
        <v>41</v>
      </c>
      <c r="F53" s="35" t="s">
        <v>41</v>
      </c>
      <c r="G53" s="35">
        <v>12.091000000000001</v>
      </c>
      <c r="H53" s="35"/>
      <c r="I53" s="39">
        <f t="shared" si="1"/>
        <v>12.091000000000001</v>
      </c>
    </row>
    <row r="54" spans="1:11" ht="14.25" customHeight="1" x14ac:dyDescent="0.35">
      <c r="A54" s="19" t="s">
        <v>33</v>
      </c>
      <c r="B54" s="35" t="s">
        <v>41</v>
      </c>
      <c r="C54" s="35" t="s">
        <v>41</v>
      </c>
      <c r="D54" s="35" t="s">
        <v>41</v>
      </c>
      <c r="E54" s="35" t="s">
        <v>41</v>
      </c>
      <c r="F54" s="35" t="s">
        <v>41</v>
      </c>
      <c r="G54" s="35" t="s">
        <v>41</v>
      </c>
      <c r="H54" s="35"/>
      <c r="I54" s="39">
        <f t="shared" si="1"/>
        <v>0</v>
      </c>
    </row>
    <row r="55" spans="1:11" ht="14.25" customHeight="1" x14ac:dyDescent="0.35">
      <c r="A55" s="19">
        <v>410</v>
      </c>
      <c r="B55" s="35" t="s">
        <v>41</v>
      </c>
      <c r="C55" s="35" t="s">
        <v>41</v>
      </c>
      <c r="D55" s="35">
        <v>0.85499999999999998</v>
      </c>
      <c r="E55" s="35" t="s">
        <v>41</v>
      </c>
      <c r="F55" s="35" t="s">
        <v>41</v>
      </c>
      <c r="G55" s="35" t="s">
        <v>41</v>
      </c>
      <c r="H55" s="35"/>
      <c r="I55" s="39">
        <f t="shared" si="1"/>
        <v>0.85499999999999998</v>
      </c>
    </row>
    <row r="56" spans="1:11" ht="14.25" customHeight="1" x14ac:dyDescent="0.35">
      <c r="A56" s="19">
        <v>301</v>
      </c>
      <c r="B56" s="35" t="s">
        <v>41</v>
      </c>
      <c r="C56" s="35" t="s">
        <v>41</v>
      </c>
      <c r="D56" s="35" t="s">
        <v>41</v>
      </c>
      <c r="E56" s="35" t="s">
        <v>41</v>
      </c>
      <c r="F56" s="35" t="s">
        <v>41</v>
      </c>
      <c r="G56" s="35" t="s">
        <v>41</v>
      </c>
      <c r="H56" s="35"/>
      <c r="I56" s="39">
        <f t="shared" si="1"/>
        <v>0</v>
      </c>
    </row>
    <row r="57" spans="1:11" ht="14.25" customHeight="1" x14ac:dyDescent="0.35">
      <c r="A57" s="38" t="s">
        <v>34</v>
      </c>
      <c r="B57" s="39">
        <f t="shared" ref="B57:I57" si="2">SUM(B46:B56)</f>
        <v>215.565</v>
      </c>
      <c r="C57" s="39">
        <f t="shared" si="2"/>
        <v>484.63</v>
      </c>
      <c r="D57" s="39">
        <f t="shared" si="2"/>
        <v>40.874999999999993</v>
      </c>
      <c r="E57" s="39">
        <f t="shared" si="2"/>
        <v>41.784999999999997</v>
      </c>
      <c r="F57" s="39">
        <f t="shared" si="2"/>
        <v>32.515000000000001</v>
      </c>
      <c r="G57" s="39">
        <f t="shared" si="2"/>
        <v>141.262</v>
      </c>
      <c r="H57" s="39">
        <f t="shared" si="2"/>
        <v>0</v>
      </c>
      <c r="I57" s="39">
        <f t="shared" si="2"/>
        <v>956.63199999999995</v>
      </c>
    </row>
    <row r="58" spans="1:11" ht="14.25" customHeight="1" x14ac:dyDescent="0.35">
      <c r="A58" s="7"/>
      <c r="B58" s="43"/>
      <c r="C58" s="43"/>
      <c r="D58" s="43"/>
      <c r="E58" s="43"/>
      <c r="F58" s="43"/>
      <c r="G58" s="32"/>
      <c r="H58" s="32"/>
      <c r="I58" s="32"/>
      <c r="J58" s="17"/>
    </row>
    <row r="60" spans="1:11" ht="19.5" customHeight="1" x14ac:dyDescent="0.35">
      <c r="A60" s="759" t="s">
        <v>42</v>
      </c>
      <c r="B60" s="759"/>
      <c r="C60" s="759"/>
      <c r="D60" s="759"/>
      <c r="E60" s="759"/>
      <c r="F60" s="759"/>
      <c r="G60" s="759"/>
      <c r="H60" s="759"/>
      <c r="I60" s="759"/>
      <c r="K60" s="17"/>
    </row>
    <row r="61" spans="1:11" ht="18.75" customHeight="1" x14ac:dyDescent="0.35">
      <c r="A61" s="44" t="s">
        <v>43</v>
      </c>
      <c r="B61" s="45" t="s">
        <v>27</v>
      </c>
      <c r="C61" s="45" t="s">
        <v>28</v>
      </c>
      <c r="D61" s="46" t="s">
        <v>29</v>
      </c>
      <c r="E61" s="46" t="s">
        <v>30</v>
      </c>
      <c r="F61" s="47" t="s">
        <v>31</v>
      </c>
      <c r="G61" s="47" t="s">
        <v>32</v>
      </c>
      <c r="H61" s="47">
        <v>430</v>
      </c>
      <c r="I61" s="47">
        <v>410</v>
      </c>
      <c r="J61" s="47">
        <v>301</v>
      </c>
    </row>
    <row r="62" spans="1:11" ht="15.75" customHeight="1" x14ac:dyDescent="0.35">
      <c r="A62" s="19" t="s">
        <v>44</v>
      </c>
      <c r="B62" s="42" t="s">
        <v>41</v>
      </c>
      <c r="C62" s="42">
        <v>49.287999999999997</v>
      </c>
      <c r="D62" s="42">
        <v>700.21600000000001</v>
      </c>
      <c r="E62" s="42">
        <v>41.09</v>
      </c>
      <c r="F62" s="42">
        <v>4792.875</v>
      </c>
      <c r="G62" s="42">
        <v>31.66</v>
      </c>
      <c r="H62" s="42">
        <v>20.887999999999998</v>
      </c>
      <c r="I62" s="42" t="s">
        <v>41</v>
      </c>
      <c r="J62" s="35">
        <v>54.373000000000005</v>
      </c>
      <c r="K62" s="17"/>
    </row>
    <row r="63" spans="1:11" x14ac:dyDescent="0.35">
      <c r="A63" s="19" t="s">
        <v>45</v>
      </c>
      <c r="B63" s="42" t="s">
        <v>41</v>
      </c>
      <c r="C63" s="42" t="s">
        <v>41</v>
      </c>
      <c r="D63" s="42">
        <v>10.199999999999999</v>
      </c>
      <c r="E63" s="42" t="s">
        <v>41</v>
      </c>
      <c r="F63" s="48" t="s">
        <v>41</v>
      </c>
      <c r="G63" s="42" t="s">
        <v>41</v>
      </c>
      <c r="H63" s="42" t="s">
        <v>41</v>
      </c>
      <c r="I63" s="42" t="s">
        <v>41</v>
      </c>
      <c r="J63" s="42" t="s">
        <v>41</v>
      </c>
      <c r="K63" s="17"/>
    </row>
    <row r="64" spans="1:11" x14ac:dyDescent="0.35">
      <c r="A64" s="19" t="s">
        <v>46</v>
      </c>
      <c r="B64" s="42">
        <v>5.0170000000000003</v>
      </c>
      <c r="C64" s="42" t="s">
        <v>41</v>
      </c>
      <c r="D64" s="42">
        <v>368.96300000000002</v>
      </c>
      <c r="E64" s="42" t="s">
        <v>41</v>
      </c>
      <c r="F64" s="42" t="s">
        <v>41</v>
      </c>
      <c r="G64" s="42" t="s">
        <v>41</v>
      </c>
      <c r="H64" s="42" t="s">
        <v>41</v>
      </c>
      <c r="I64" s="42">
        <v>28.369999999999997</v>
      </c>
      <c r="J64" s="42" t="s">
        <v>41</v>
      </c>
      <c r="K64" s="17"/>
    </row>
    <row r="65" spans="1:12" x14ac:dyDescent="0.35">
      <c r="A65" s="19" t="s">
        <v>47</v>
      </c>
      <c r="B65" s="48" t="s">
        <v>41</v>
      </c>
      <c r="C65" s="42" t="s">
        <v>41</v>
      </c>
      <c r="D65" s="42">
        <v>46.831999999999994</v>
      </c>
      <c r="E65" s="42" t="s">
        <v>41</v>
      </c>
      <c r="F65" s="42" t="s">
        <v>41</v>
      </c>
      <c r="G65" s="42" t="s">
        <v>41</v>
      </c>
      <c r="H65" s="42" t="s">
        <v>41</v>
      </c>
      <c r="I65" s="42" t="s">
        <v>41</v>
      </c>
      <c r="J65" s="42" t="s">
        <v>41</v>
      </c>
      <c r="K65" s="17"/>
    </row>
    <row r="66" spans="1:12" ht="15" customHeight="1" x14ac:dyDescent="0.35">
      <c r="A66" s="38" t="s">
        <v>48</v>
      </c>
      <c r="B66" s="39">
        <f t="shared" ref="B66:G66" si="3">SUM(B62:B65)</f>
        <v>5.0170000000000003</v>
      </c>
      <c r="C66" s="39">
        <f t="shared" si="3"/>
        <v>49.287999999999997</v>
      </c>
      <c r="D66" s="39">
        <f t="shared" si="3"/>
        <v>1126.2110000000002</v>
      </c>
      <c r="E66" s="39">
        <f t="shared" si="3"/>
        <v>41.09</v>
      </c>
      <c r="F66" s="39">
        <f t="shared" si="3"/>
        <v>4792.875</v>
      </c>
      <c r="G66" s="39">
        <f t="shared" si="3"/>
        <v>31.66</v>
      </c>
      <c r="H66" s="39">
        <f>SUM(H62:H65)</f>
        <v>20.887999999999998</v>
      </c>
      <c r="I66" s="39">
        <f>SUM(I62:I65)</f>
        <v>28.369999999999997</v>
      </c>
      <c r="J66" s="39">
        <f>SUM(J62:J65)</f>
        <v>54.373000000000005</v>
      </c>
      <c r="K66" s="17"/>
      <c r="L66" s="17"/>
    </row>
    <row r="67" spans="1:12" ht="15" customHeight="1" x14ac:dyDescent="0.35">
      <c r="A67" s="38" t="s">
        <v>34</v>
      </c>
      <c r="B67" s="761">
        <f>SUM(B66:J66)</f>
        <v>6149.771999999999</v>
      </c>
      <c r="C67" s="762"/>
      <c r="D67" s="762"/>
      <c r="E67" s="762"/>
      <c r="F67" s="762"/>
      <c r="G67" s="762"/>
      <c r="H67" s="762"/>
      <c r="I67" s="762"/>
      <c r="J67" s="763"/>
      <c r="K67" s="17"/>
    </row>
    <row r="68" spans="1:12" x14ac:dyDescent="0.35">
      <c r="B68" s="17"/>
      <c r="C68" s="17"/>
      <c r="D68" s="17"/>
      <c r="E68" s="17"/>
      <c r="F68" s="17"/>
      <c r="G68" s="17"/>
      <c r="H68" s="17"/>
      <c r="I68" s="17"/>
    </row>
    <row r="69" spans="1:12" x14ac:dyDescent="0.35">
      <c r="B69" s="32"/>
      <c r="C69" s="32"/>
      <c r="D69" s="32"/>
      <c r="E69" s="32"/>
      <c r="F69" s="32"/>
      <c r="G69" s="32"/>
    </row>
  </sheetData>
  <mergeCells count="19">
    <mergeCell ref="A60:I60"/>
    <mergeCell ref="B67:J67"/>
    <mergeCell ref="B40:I40"/>
    <mergeCell ref="A43:J43"/>
    <mergeCell ref="A44:A45"/>
    <mergeCell ref="B44:B45"/>
    <mergeCell ref="C44:G44"/>
    <mergeCell ref="H44:H45"/>
    <mergeCell ref="I44:I45"/>
    <mergeCell ref="A1:H1"/>
    <mergeCell ref="A6:F6"/>
    <mergeCell ref="A14:B14"/>
    <mergeCell ref="A15:F15"/>
    <mergeCell ref="A25:G25"/>
    <mergeCell ref="A26:A27"/>
    <mergeCell ref="B26:C26"/>
    <mergeCell ref="D26:E26"/>
    <mergeCell ref="F26:G26"/>
    <mergeCell ref="H26:I26"/>
  </mergeCells>
  <pageMargins left="0" right="0" top="0.75" bottom="0.75" header="0.3" footer="0.3"/>
  <pageSetup scale="55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77548-E033-4127-83BF-B5667485F2AF}">
  <sheetPr>
    <pageSetUpPr fitToPage="1"/>
  </sheetPr>
  <dimension ref="A1:BJ708"/>
  <sheetViews>
    <sheetView zoomScale="70" zoomScaleNormal="70" workbookViewId="0">
      <pane ySplit="4" topLeftCell="A246" activePane="bottomLeft" state="frozen"/>
      <selection activeCell="J367" sqref="J367"/>
      <selection pane="bottomLeft" activeCell="J367" sqref="J367"/>
    </sheetView>
  </sheetViews>
  <sheetFormatPr defaultColWidth="9.1796875" defaultRowHeight="14" x14ac:dyDescent="0.35"/>
  <cols>
    <col min="1" max="2" width="15.1796875" style="260" customWidth="1"/>
    <col min="3" max="3" width="16.81640625" style="260" customWidth="1"/>
    <col min="4" max="4" width="43" style="260" customWidth="1"/>
    <col min="5" max="5" width="26.453125" style="260" customWidth="1"/>
    <col min="6" max="6" width="21.7265625" style="260" customWidth="1"/>
    <col min="7" max="7" width="25.1796875" style="260" customWidth="1"/>
    <col min="8" max="8" width="11.26953125" style="260" customWidth="1"/>
    <col min="9" max="9" width="9.1796875" style="260" customWidth="1"/>
    <col min="10" max="10" width="13.54296875" style="274" customWidth="1"/>
    <col min="11" max="11" width="11.1796875" style="304" customWidth="1"/>
    <col min="12" max="12" width="10.81640625" style="304" customWidth="1"/>
    <col min="13" max="13" width="10" style="304" customWidth="1"/>
    <col min="14" max="14" width="9.7265625" style="275" customWidth="1"/>
    <col min="15" max="15" width="12.1796875" style="276" customWidth="1"/>
    <col min="16" max="16" width="13" style="276" customWidth="1"/>
    <col min="17" max="17" width="11.1796875" style="276" customWidth="1"/>
    <col min="18" max="18" width="12.54296875" style="276" customWidth="1"/>
    <col min="19" max="19" width="12.453125" style="276" customWidth="1"/>
    <col min="20" max="20" width="26.54296875" style="304" customWidth="1"/>
    <col min="21" max="21" width="35.1796875" style="274" customWidth="1"/>
    <col min="22" max="22" width="57.54296875" style="274" customWidth="1"/>
    <col min="23" max="23" width="34.81640625" style="274" customWidth="1"/>
    <col min="24" max="24" width="13.26953125" style="274" customWidth="1"/>
    <col min="25" max="28" width="12.453125" style="274" customWidth="1"/>
    <col min="29" max="29" width="18.81640625" style="274" customWidth="1"/>
    <col min="30" max="30" width="12.453125" style="274" customWidth="1"/>
    <col min="31" max="31" width="36.453125" style="260" customWidth="1"/>
    <col min="32" max="32" width="18.26953125" style="260" customWidth="1"/>
    <col min="33" max="33" width="12.81640625" style="260" customWidth="1"/>
    <col min="34" max="34" width="12.7265625" style="260" customWidth="1"/>
    <col min="35" max="38" width="13.453125" style="260" customWidth="1"/>
    <col min="39" max="39" width="22.453125" style="260" customWidth="1"/>
    <col min="40" max="40" width="19.81640625" style="260" customWidth="1"/>
    <col min="41" max="43" width="13.54296875" style="305" customWidth="1"/>
    <col min="44" max="45" width="12.453125" style="274" customWidth="1"/>
    <col min="46" max="46" width="11.453125" style="260" customWidth="1"/>
    <col min="47" max="56" width="9.1796875" style="260" customWidth="1"/>
    <col min="57" max="57" width="13.81640625" style="260" customWidth="1"/>
    <col min="58" max="58" width="14.1796875" style="260" customWidth="1"/>
    <col min="59" max="59" width="13.54296875" style="260" customWidth="1"/>
    <col min="60" max="60" width="16.1796875" style="260" customWidth="1"/>
    <col min="61" max="61" width="11.54296875" style="260" customWidth="1"/>
    <col min="62" max="62" width="10.54296875" style="260" bestFit="1" customWidth="1"/>
    <col min="63" max="16384" width="9.1796875" style="260"/>
  </cols>
  <sheetData>
    <row r="1" spans="1:61" ht="31.5" customHeight="1" x14ac:dyDescent="0.35">
      <c r="A1" s="836" t="s">
        <v>3727</v>
      </c>
      <c r="B1" s="836"/>
      <c r="C1" s="836"/>
      <c r="D1" s="836"/>
      <c r="E1" s="836"/>
      <c r="F1" s="836"/>
      <c r="G1" s="836"/>
      <c r="H1" s="836"/>
      <c r="I1" s="836"/>
      <c r="J1" s="836"/>
      <c r="K1" s="836"/>
      <c r="L1" s="836"/>
      <c r="M1" s="836"/>
      <c r="N1" s="836"/>
      <c r="O1" s="836"/>
      <c r="P1" s="836"/>
      <c r="Q1" s="836"/>
      <c r="R1" s="836"/>
      <c r="S1" s="836"/>
      <c r="T1" s="836"/>
      <c r="U1" s="836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</row>
    <row r="2" spans="1:61" x14ac:dyDescent="0.35">
      <c r="D2" s="302" t="str">
        <f>IF(G2="","",IF(Q2="MULTI","FGMS","FGC")&amp;"-"&amp;H2&amp;"/"&amp;I2&amp;"-"&amp;TEXT(K2,"0.00")&amp;"X"&amp;IF(Q2="MULTI",R2,Q2))</f>
        <v/>
      </c>
      <c r="BF2" s="302"/>
      <c r="BG2" s="302"/>
      <c r="BH2" s="306"/>
      <c r="BI2" s="302"/>
    </row>
    <row r="3" spans="1:61" x14ac:dyDescent="0.35">
      <c r="G3" s="280"/>
    </row>
    <row r="4" spans="1:61" ht="42" x14ac:dyDescent="0.35">
      <c r="A4" s="271" t="s">
        <v>3728</v>
      </c>
      <c r="B4" s="261" t="s">
        <v>3729</v>
      </c>
      <c r="C4" s="261" t="s">
        <v>3730</v>
      </c>
      <c r="D4" s="109" t="s">
        <v>69</v>
      </c>
      <c r="E4" s="110" t="s">
        <v>4</v>
      </c>
      <c r="F4" s="261" t="s">
        <v>71</v>
      </c>
      <c r="G4" s="261" t="s">
        <v>72</v>
      </c>
      <c r="H4" s="261" t="s">
        <v>73</v>
      </c>
      <c r="I4" s="261" t="s">
        <v>74</v>
      </c>
      <c r="J4" s="262" t="s">
        <v>3731</v>
      </c>
      <c r="K4" s="262" t="s">
        <v>3732</v>
      </c>
      <c r="L4" s="263" t="s">
        <v>2544</v>
      </c>
      <c r="M4" s="263" t="s">
        <v>2545</v>
      </c>
      <c r="N4" s="264" t="s">
        <v>3733</v>
      </c>
      <c r="O4" s="292" t="s">
        <v>3734</v>
      </c>
      <c r="P4" s="307" t="s">
        <v>3735</v>
      </c>
      <c r="Q4" s="262" t="s">
        <v>3736</v>
      </c>
      <c r="R4" s="308" t="s">
        <v>3737</v>
      </c>
      <c r="S4" s="262" t="s">
        <v>3738</v>
      </c>
      <c r="T4" s="303" t="s">
        <v>3739</v>
      </c>
      <c r="U4" s="262" t="s">
        <v>83</v>
      </c>
      <c r="V4" s="262"/>
      <c r="W4" s="262" t="s">
        <v>3740</v>
      </c>
      <c r="X4" s="266" t="s">
        <v>10</v>
      </c>
      <c r="Y4" s="267" t="s">
        <v>3741</v>
      </c>
      <c r="Z4" s="268" t="s">
        <v>3742</v>
      </c>
      <c r="AA4" s="269" t="s">
        <v>14</v>
      </c>
      <c r="AB4" s="270" t="s">
        <v>16</v>
      </c>
      <c r="AC4" s="262" t="s">
        <v>86</v>
      </c>
      <c r="AD4" s="262" t="s">
        <v>87</v>
      </c>
      <c r="AE4" s="261" t="s">
        <v>88</v>
      </c>
      <c r="AF4" s="261" t="s">
        <v>89</v>
      </c>
      <c r="AG4" s="271" t="s">
        <v>90</v>
      </c>
      <c r="AH4" s="271" t="s">
        <v>91</v>
      </c>
      <c r="AI4" s="271" t="s">
        <v>2553</v>
      </c>
      <c r="AJ4" s="271" t="s">
        <v>2554</v>
      </c>
      <c r="AK4" s="271" t="s">
        <v>93</v>
      </c>
      <c r="AL4" s="271"/>
      <c r="AM4" s="261" t="s">
        <v>95</v>
      </c>
      <c r="AN4" s="261" t="s">
        <v>96</v>
      </c>
      <c r="AO4" s="272" t="s">
        <v>2556</v>
      </c>
      <c r="AP4" s="272" t="s">
        <v>2557</v>
      </c>
      <c r="AQ4" s="272" t="s">
        <v>2558</v>
      </c>
      <c r="AR4" s="262" t="s">
        <v>2559</v>
      </c>
      <c r="AS4" s="262"/>
      <c r="AT4" s="309"/>
      <c r="BB4" s="309" t="s">
        <v>3743</v>
      </c>
      <c r="BC4" s="310" t="s">
        <v>3744</v>
      </c>
      <c r="BD4" s="309" t="s">
        <v>3745</v>
      </c>
      <c r="BE4" s="309" t="s">
        <v>111</v>
      </c>
      <c r="BF4" s="309"/>
      <c r="BG4" s="309"/>
      <c r="BH4" s="309" t="s">
        <v>3746</v>
      </c>
      <c r="BI4" s="98" t="s">
        <v>3747</v>
      </c>
    </row>
    <row r="5" spans="1:61" s="312" customFormat="1" ht="19.5" customHeight="1" x14ac:dyDescent="0.35">
      <c r="A5" s="311" t="s">
        <v>3748</v>
      </c>
      <c r="B5" s="311"/>
      <c r="J5" s="313"/>
      <c r="K5" s="314"/>
      <c r="L5" s="314"/>
      <c r="M5" s="314"/>
      <c r="N5" s="315"/>
      <c r="O5" s="316"/>
      <c r="P5" s="316"/>
      <c r="Q5" s="316"/>
      <c r="R5" s="316"/>
      <c r="S5" s="316"/>
      <c r="T5" s="314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O5" s="317"/>
      <c r="AP5" s="317"/>
      <c r="AQ5" s="317"/>
      <c r="AR5" s="313"/>
      <c r="AS5" s="313"/>
    </row>
    <row r="6" spans="1:61" s="331" customFormat="1" ht="20.25" customHeight="1" x14ac:dyDescent="0.35">
      <c r="A6" s="318" t="s">
        <v>3749</v>
      </c>
      <c r="B6" s="319"/>
      <c r="C6" s="320"/>
      <c r="D6" s="302"/>
      <c r="E6" s="302"/>
      <c r="F6" s="302"/>
      <c r="G6" s="302"/>
      <c r="H6" s="302"/>
      <c r="I6" s="260"/>
      <c r="J6" s="321"/>
      <c r="K6" s="321"/>
      <c r="L6" s="321"/>
      <c r="M6" s="321"/>
      <c r="N6" s="319"/>
      <c r="O6" s="322"/>
      <c r="P6" s="323"/>
      <c r="Q6" s="324"/>
      <c r="R6" s="325"/>
      <c r="S6" s="326"/>
      <c r="T6" s="327"/>
      <c r="U6" s="328"/>
      <c r="V6" s="328"/>
      <c r="W6" s="328"/>
      <c r="X6" s="329"/>
      <c r="Y6" s="329"/>
      <c r="Z6" s="329"/>
      <c r="AA6" s="329"/>
      <c r="AB6" s="329"/>
      <c r="AC6" s="330"/>
      <c r="AF6" s="332"/>
      <c r="AG6" s="332"/>
      <c r="AH6" s="332"/>
      <c r="AI6" s="332"/>
      <c r="AJ6" s="320"/>
      <c r="AM6" s="332"/>
      <c r="AN6" s="332"/>
      <c r="AO6" s="333"/>
      <c r="AP6" s="333"/>
      <c r="AQ6" s="333"/>
      <c r="AR6" s="333"/>
    </row>
    <row r="7" spans="1:61" s="331" customFormat="1" ht="18" customHeight="1" x14ac:dyDescent="0.35">
      <c r="A7" s="334">
        <v>44516</v>
      </c>
      <c r="B7" s="335">
        <f ca="1">IF(A7="",(IF(ISNUMBER(SUBSTITUTE(LEFT(RIGHT(E7,LEN(E7)-MIN(SEARCH({1,2,3,4,5,6,7,8,9,0},E7&amp;"1234567890"))+1),10),".","/"))=TRUE,AJ7-(SUBSTITUTE(LEFT(RIGHT(E7,LEN(E7)-MIN(SEARCH({1,2,3,4,5,6,7,8,9,0},E7&amp;"1234567890"))+1),10),".","/")),IF((SUBSTITUTE(LEFT(RIGHT(E7,LEN(E7)-MIN(SEARCH({1,2,3,4,5,6,7,8,9,0},E7&amp;"1234567890"))+1),10),".","/"))="","",(AJ7)-(MID(RIGHT((SUBSTITUTE(LEFT(RIGHT(E7,LEN(E7)-MIN(SEARCH({1,2,3,4,5,6,7,8,9,0},E7&amp;"1234567890"))+1),10),".","/")),10),4,2)&amp;"/"&amp;LEFT((RIGHT((SUBSTITUTE(LEFT(RIGHT(E7,LEN(E7)-MIN(SEARCH({1,2,3,4,5,6,7,8,9,0},E7&amp;"1234567890"))+1),10),".","/")),10)),2)&amp;"/"&amp;RIGHT((SUBSTITUTE(LEFT(RIGHT(E7,LEN(E7)-MIN(SEARCH({1,2,3,4,5,6,7,8,9,0},E7&amp;"1234567890"))+1),10),".","/")),4))))),(AJ7-A7))</f>
        <v>447</v>
      </c>
      <c r="C7" s="334"/>
      <c r="D7" s="294" t="str">
        <f t="shared" ref="D7:D40" si="0">IF(Q7="MULTI","FGM","FGC")&amp;"-"&amp;H7&amp;"/"&amp;I7&amp;"-"&amp;TEXT(K7,"0.00")&amp;"X"&amp;IF(Q7="MULTI",N7,Q7)</f>
        <v>FGM-J1/2B-001X715</v>
      </c>
      <c r="E7" s="294" t="s">
        <v>3750</v>
      </c>
      <c r="F7" s="294" t="s">
        <v>3751</v>
      </c>
      <c r="G7" s="336" t="s">
        <v>3752</v>
      </c>
      <c r="H7" s="294" t="s">
        <v>27</v>
      </c>
      <c r="I7" s="337" t="s">
        <v>116</v>
      </c>
      <c r="J7" s="149">
        <v>0.75</v>
      </c>
      <c r="K7" s="149">
        <v>0.75</v>
      </c>
      <c r="L7" s="149"/>
      <c r="M7" s="149"/>
      <c r="N7" s="335">
        <v>715</v>
      </c>
      <c r="O7" s="837">
        <v>3.91</v>
      </c>
      <c r="P7" s="839">
        <v>3.94</v>
      </c>
      <c r="Q7" s="138" t="s">
        <v>3598</v>
      </c>
      <c r="R7" s="338">
        <f>78.3*5</f>
        <v>391.5</v>
      </c>
      <c r="S7" s="339"/>
      <c r="T7" s="299" t="s">
        <v>3510</v>
      </c>
      <c r="U7" s="282" t="s">
        <v>446</v>
      </c>
      <c r="V7" s="282" t="s">
        <v>3753</v>
      </c>
      <c r="W7" s="282"/>
      <c r="X7" s="340"/>
      <c r="Y7" s="340"/>
      <c r="Z7" s="340"/>
      <c r="AA7" s="340"/>
      <c r="AB7" s="340"/>
      <c r="AC7" s="341"/>
      <c r="AD7" s="342" t="s">
        <v>116</v>
      </c>
      <c r="AE7" s="342" t="s">
        <v>261</v>
      </c>
      <c r="AF7" s="284" t="s">
        <v>278</v>
      </c>
      <c r="AG7" s="284"/>
      <c r="AH7" s="284">
        <v>44126</v>
      </c>
      <c r="AI7" s="284"/>
      <c r="AJ7" s="334">
        <f t="shared" ref="AJ7:AJ53" ca="1" si="1">TODAY()</f>
        <v>44963</v>
      </c>
      <c r="AK7" s="342">
        <f t="shared" ref="AK7:AK53" ca="1" si="2">IF(AH7&lt;&gt;0,AJ7-AH7,0)</f>
        <v>837</v>
      </c>
      <c r="AL7" s="342" t="str">
        <f>IF(ISNUMBER(Z7)=TRUE,AJ7-Z7,IF(Z7="","",(AJ7)-(MID(RIGHT(Z7,10),4,2)&amp;"/"&amp;LEFT((RIGHT(Z7,10)),2)&amp;"/"&amp;RIGHT(Z7,4))))</f>
        <v/>
      </c>
      <c r="AM7" s="284" t="s">
        <v>3754</v>
      </c>
      <c r="AN7" s="284" t="s">
        <v>3755</v>
      </c>
      <c r="AO7" s="343">
        <v>11.414999999999999</v>
      </c>
      <c r="AP7" s="343">
        <v>11.444999999999999</v>
      </c>
      <c r="AQ7" s="343">
        <v>11.469999999999997</v>
      </c>
      <c r="AR7" s="343">
        <v>11.474999999999998</v>
      </c>
      <c r="AS7" s="331" t="str">
        <f t="shared" ref="AS7:AS26" si="3">IF(ISNUMBER(Y7)=TRUE,AJ7-Y7,IF(Y7="","",(AJ7)-(MID(RIGHT(Y7,10),4,2)&amp;"/"&amp;LEFT((RIGHT(Y7,10)),2)&amp;"/"&amp;RIGHT(Y7,4))))</f>
        <v/>
      </c>
      <c r="AV7" s="331" t="s">
        <v>136</v>
      </c>
    </row>
    <row r="8" spans="1:61" s="331" customFormat="1" ht="18" customHeight="1" x14ac:dyDescent="0.35">
      <c r="A8" s="334">
        <v>44516</v>
      </c>
      <c r="B8" s="335">
        <f ca="1">IF(A8="",(IF(ISNUMBER(SUBSTITUTE(LEFT(RIGHT(E8,LEN(E8)-MIN(SEARCH({1,2,3,4,5,6,7,8,9,0},E8&amp;"1234567890"))+1),10),".","/"))=TRUE,AJ8-(SUBSTITUTE(LEFT(RIGHT(E8,LEN(E8)-MIN(SEARCH({1,2,3,4,5,6,7,8,9,0},E8&amp;"1234567890"))+1),10),".","/")),IF((SUBSTITUTE(LEFT(RIGHT(E8,LEN(E8)-MIN(SEARCH({1,2,3,4,5,6,7,8,9,0},E8&amp;"1234567890"))+1),10),".","/"))="","",(AJ8)-(MID(RIGHT((SUBSTITUTE(LEFT(RIGHT(E8,LEN(E8)-MIN(SEARCH({1,2,3,4,5,6,7,8,9,0},E8&amp;"1234567890"))+1),10),".","/")),10),4,2)&amp;"/"&amp;LEFT((RIGHT((SUBSTITUTE(LEFT(RIGHT(E8,LEN(E8)-MIN(SEARCH({1,2,3,4,5,6,7,8,9,0},E8&amp;"1234567890"))+1),10),".","/")),10)),2)&amp;"/"&amp;RIGHT((SUBSTITUTE(LEFT(RIGHT(E8,LEN(E8)-MIN(SEARCH({1,2,3,4,5,6,7,8,9,0},E8&amp;"1234567890"))+1),10),".","/")),4))))),(AJ8-A8))</f>
        <v>447</v>
      </c>
      <c r="C8" s="334"/>
      <c r="D8" s="294" t="str">
        <f t="shared" si="0"/>
        <v>FGM-J3/2B-001X595</v>
      </c>
      <c r="E8" s="294" t="s">
        <v>3756</v>
      </c>
      <c r="F8" s="294" t="s">
        <v>3757</v>
      </c>
      <c r="G8" s="336" t="s">
        <v>3758</v>
      </c>
      <c r="H8" s="294" t="s">
        <v>29</v>
      </c>
      <c r="I8" s="337" t="s">
        <v>116</v>
      </c>
      <c r="J8" s="149">
        <v>2.2000000000000002</v>
      </c>
      <c r="K8" s="149">
        <v>0.75</v>
      </c>
      <c r="L8" s="149">
        <v>0.74</v>
      </c>
      <c r="M8" s="149">
        <v>0.75</v>
      </c>
      <c r="N8" s="335">
        <v>595</v>
      </c>
      <c r="O8" s="838"/>
      <c r="P8" s="840"/>
      <c r="Q8" s="138" t="s">
        <v>3598</v>
      </c>
      <c r="R8" s="344">
        <f>58.5*2</f>
        <v>117</v>
      </c>
      <c r="S8" s="339"/>
      <c r="T8" s="299" t="s">
        <v>3510</v>
      </c>
      <c r="U8" s="282" t="s">
        <v>446</v>
      </c>
      <c r="V8" s="282" t="s">
        <v>3759</v>
      </c>
      <c r="W8" s="282" t="s">
        <v>3760</v>
      </c>
      <c r="X8" s="340">
        <v>44387</v>
      </c>
      <c r="Y8" s="340">
        <v>44387</v>
      </c>
      <c r="Z8" s="340">
        <v>44389</v>
      </c>
      <c r="AA8" s="340"/>
      <c r="AB8" s="340"/>
      <c r="AC8" s="341"/>
      <c r="AD8" s="342" t="s">
        <v>64</v>
      </c>
      <c r="AE8" s="342" t="s">
        <v>132</v>
      </c>
      <c r="AF8" s="284" t="s">
        <v>580</v>
      </c>
      <c r="AG8" s="284">
        <v>44303</v>
      </c>
      <c r="AH8" s="284">
        <v>44327</v>
      </c>
      <c r="AI8" s="284"/>
      <c r="AJ8" s="334">
        <f t="shared" ca="1" si="1"/>
        <v>44963</v>
      </c>
      <c r="AK8" s="342">
        <f t="shared" ca="1" si="2"/>
        <v>636</v>
      </c>
      <c r="AL8" s="342">
        <f ca="1">IF(ISNUMBER(Z8)=TRUE,AJ8-Z8,IF(Z8="","",(AJ8)-(MID(RIGHT(Z8,10),4,2)&amp;"/"&amp;LEFT((RIGHT(Z8,10)),2)&amp;"/"&amp;RIGHT(Z8,4))))</f>
        <v>574</v>
      </c>
      <c r="AM8" s="284" t="s">
        <v>598</v>
      </c>
      <c r="AN8" s="284" t="s">
        <v>3761</v>
      </c>
      <c r="AO8" s="343">
        <v>8.1769999999999996</v>
      </c>
      <c r="AP8" s="343">
        <v>8.1920000000000002</v>
      </c>
      <c r="AQ8" s="343">
        <v>8.2169999999999987</v>
      </c>
      <c r="AR8" s="343">
        <v>8.2219999999999995</v>
      </c>
      <c r="AS8" s="331">
        <f t="shared" ca="1" si="3"/>
        <v>576</v>
      </c>
      <c r="AV8" s="331" t="s">
        <v>136</v>
      </c>
    </row>
    <row r="9" spans="1:61" s="331" customFormat="1" ht="18" customHeight="1" x14ac:dyDescent="0.35">
      <c r="A9" s="334">
        <v>44516</v>
      </c>
      <c r="B9" s="335">
        <f ca="1">IF(A9="",(IF(ISNUMBER(SUBSTITUTE(LEFT(RIGHT(E9,LEN(E9)-MIN(SEARCH({1,2,3,4,5,6,7,8,9,0},E9&amp;"1234567890"))+1),10),".","/"))=TRUE,AJ9-(SUBSTITUTE(LEFT(RIGHT(E9,LEN(E9)-MIN(SEARCH({1,2,3,4,5,6,7,8,9,0},E9&amp;"1234567890"))+1),10),".","/")),IF((SUBSTITUTE(LEFT(RIGHT(E9,LEN(E9)-MIN(SEARCH({1,2,3,4,5,6,7,8,9,0},E9&amp;"1234567890"))+1),10),".","/"))="","",(AJ9)-(MID(RIGHT((SUBSTITUTE(LEFT(RIGHT(E9,LEN(E9)-MIN(SEARCH({1,2,3,4,5,6,7,8,9,0},E9&amp;"1234567890"))+1),10),".","/")),10),4,2)&amp;"/"&amp;LEFT((RIGHT((SUBSTITUTE(LEFT(RIGHT(E9,LEN(E9)-MIN(SEARCH({1,2,3,4,5,6,7,8,9,0},E9&amp;"1234567890"))+1),10),".","/")),10)),2)&amp;"/"&amp;RIGHT((SUBSTITUTE(LEFT(RIGHT(E9,LEN(E9)-MIN(SEARCH({1,2,3,4,5,6,7,8,9,0},E9&amp;"1234567890"))+1),10),".","/")),4))))),(AJ9-A9))</f>
        <v>447</v>
      </c>
      <c r="C9" s="334"/>
      <c r="D9" s="294" t="str">
        <f t="shared" si="0"/>
        <v>FGM-J3/2B-001X595</v>
      </c>
      <c r="E9" s="294" t="s">
        <v>3762</v>
      </c>
      <c r="F9" s="294" t="s">
        <v>3763</v>
      </c>
      <c r="G9" s="336" t="s">
        <v>3764</v>
      </c>
      <c r="H9" s="294" t="s">
        <v>29</v>
      </c>
      <c r="I9" s="337" t="s">
        <v>116</v>
      </c>
      <c r="J9" s="149">
        <v>2.2000000000000002</v>
      </c>
      <c r="K9" s="149">
        <v>0.75</v>
      </c>
      <c r="L9" s="149">
        <v>0.74</v>
      </c>
      <c r="M9" s="149">
        <v>0.76</v>
      </c>
      <c r="N9" s="335">
        <v>595</v>
      </c>
      <c r="O9" s="296">
        <v>2.9550000000000001</v>
      </c>
      <c r="P9" s="345">
        <v>2.98</v>
      </c>
      <c r="Q9" s="138" t="s">
        <v>3598</v>
      </c>
      <c r="R9" s="344">
        <f>118.2*3+78.2</f>
        <v>432.8</v>
      </c>
      <c r="S9" s="339"/>
      <c r="T9" s="299" t="s">
        <v>3510</v>
      </c>
      <c r="U9" s="282" t="s">
        <v>446</v>
      </c>
      <c r="V9" s="282" t="s">
        <v>3765</v>
      </c>
      <c r="W9" s="282" t="s">
        <v>116</v>
      </c>
      <c r="X9" s="340">
        <v>44226</v>
      </c>
      <c r="Y9" s="340">
        <v>44227</v>
      </c>
      <c r="Z9" s="340">
        <v>44239</v>
      </c>
      <c r="AA9" s="340"/>
      <c r="AB9" s="340"/>
      <c r="AC9" s="341"/>
      <c r="AD9" s="342" t="s">
        <v>64</v>
      </c>
      <c r="AE9" s="342" t="s">
        <v>261</v>
      </c>
      <c r="AF9" s="284" t="s">
        <v>3766</v>
      </c>
      <c r="AG9" s="284">
        <v>44186</v>
      </c>
      <c r="AH9" s="284">
        <v>44216</v>
      </c>
      <c r="AI9" s="284"/>
      <c r="AJ9" s="334">
        <f t="shared" ca="1" si="1"/>
        <v>44963</v>
      </c>
      <c r="AK9" s="342">
        <f t="shared" ca="1" si="2"/>
        <v>747</v>
      </c>
      <c r="AL9" s="342">
        <f ca="1">IF(ISNUMBER(Z9)=TRUE,AJ9-Z9,IF(Z9="","",(AJ9)-(MID(RIGHT(Z9,10),4,2)&amp;"/"&amp;LEFT((RIGHT(Z9,10)),2)&amp;"/"&amp;RIGHT(Z9,4))))</f>
        <v>724</v>
      </c>
      <c r="AM9" s="284" t="s">
        <v>3767</v>
      </c>
      <c r="AN9" s="284" t="s">
        <v>3768</v>
      </c>
      <c r="AO9" s="343">
        <v>8.2129999999999992</v>
      </c>
      <c r="AP9" s="343">
        <v>8.2529999999999983</v>
      </c>
      <c r="AQ9" s="343">
        <v>8.2779999999999969</v>
      </c>
      <c r="AR9" s="343">
        <v>8.2829999999999977</v>
      </c>
      <c r="AS9" s="331">
        <f t="shared" ca="1" si="3"/>
        <v>736</v>
      </c>
      <c r="AV9" s="331" t="s">
        <v>136</v>
      </c>
    </row>
    <row r="10" spans="1:61" s="331" customFormat="1" ht="18" customHeight="1" x14ac:dyDescent="0.35">
      <c r="A10" s="334">
        <v>44516</v>
      </c>
      <c r="B10" s="335">
        <f ca="1">IF(A10="",(IF(ISNUMBER(SUBSTITUTE(LEFT(RIGHT(E10,LEN(E10)-MIN(SEARCH({1,2,3,4,5,6,7,8,9,0},E10&amp;"1234567890"))+1),10),".","/"))=TRUE,AJ10-(SUBSTITUTE(LEFT(RIGHT(E10,LEN(E10)-MIN(SEARCH({1,2,3,4,5,6,7,8,9,0},E10&amp;"1234567890"))+1),10),".","/")),IF((SUBSTITUTE(LEFT(RIGHT(E10,LEN(E10)-MIN(SEARCH({1,2,3,4,5,6,7,8,9,0},E10&amp;"1234567890"))+1),10),".","/"))="","",(AJ10)-(MID(RIGHT((SUBSTITUTE(LEFT(RIGHT(E10,LEN(E10)-MIN(SEARCH({1,2,3,4,5,6,7,8,9,0},E10&amp;"1234567890"))+1),10),".","/")),10),4,2)&amp;"/"&amp;LEFT((RIGHT((SUBSTITUTE(LEFT(RIGHT(E10,LEN(E10)-MIN(SEARCH({1,2,3,4,5,6,7,8,9,0},E10&amp;"1234567890"))+1),10),".","/")),10)),2)&amp;"/"&amp;RIGHT((SUBSTITUTE(LEFT(RIGHT(E10,LEN(E10)-MIN(SEARCH({1,2,3,4,5,6,7,8,9,0},E10&amp;"1234567890"))+1),10),".","/")),4))))),(AJ10-A10))</f>
        <v>447</v>
      </c>
      <c r="C10" s="334"/>
      <c r="D10" s="294" t="str">
        <f t="shared" si="0"/>
        <v>FGM-J3/2B-001X595</v>
      </c>
      <c r="E10" s="294" t="s">
        <v>3762</v>
      </c>
      <c r="F10" s="294" t="s">
        <v>3763</v>
      </c>
      <c r="G10" s="336" t="s">
        <v>3769</v>
      </c>
      <c r="H10" s="294" t="s">
        <v>29</v>
      </c>
      <c r="I10" s="337" t="s">
        <v>116</v>
      </c>
      <c r="J10" s="149">
        <v>2.2000000000000002</v>
      </c>
      <c r="K10" s="149">
        <v>0.75</v>
      </c>
      <c r="L10" s="149">
        <v>0.74</v>
      </c>
      <c r="M10" s="149">
        <v>0.76</v>
      </c>
      <c r="N10" s="335">
        <v>595</v>
      </c>
      <c r="O10" s="296">
        <v>2.88</v>
      </c>
      <c r="P10" s="345">
        <v>2.9049999999999998</v>
      </c>
      <c r="Q10" s="138" t="s">
        <v>3598</v>
      </c>
      <c r="R10" s="344">
        <f>118.2*3+78.2</f>
        <v>432.8</v>
      </c>
      <c r="S10" s="339"/>
      <c r="T10" s="299" t="s">
        <v>3510</v>
      </c>
      <c r="U10" s="282" t="s">
        <v>446</v>
      </c>
      <c r="V10" s="282" t="s">
        <v>3765</v>
      </c>
      <c r="W10" s="282" t="s">
        <v>116</v>
      </c>
      <c r="X10" s="340">
        <v>44226</v>
      </c>
      <c r="Y10" s="340">
        <v>44227</v>
      </c>
      <c r="Z10" s="340">
        <v>44239</v>
      </c>
      <c r="AA10" s="340"/>
      <c r="AB10" s="340"/>
      <c r="AC10" s="341"/>
      <c r="AD10" s="342" t="s">
        <v>64</v>
      </c>
      <c r="AE10" s="342" t="s">
        <v>261</v>
      </c>
      <c r="AF10" s="284" t="s">
        <v>3766</v>
      </c>
      <c r="AG10" s="284">
        <v>44186</v>
      </c>
      <c r="AH10" s="284">
        <v>44216</v>
      </c>
      <c r="AI10" s="284"/>
      <c r="AJ10" s="334">
        <f t="shared" ca="1" si="1"/>
        <v>44963</v>
      </c>
      <c r="AK10" s="342">
        <f t="shared" ca="1" si="2"/>
        <v>747</v>
      </c>
      <c r="AL10" s="342">
        <f ca="1">IF(ISNUMBER(Z10)=TRUE,AJ10-Z10,IF(Z10="","",(AJ10)-(MID(RIGHT(Z10,10),4,2)&amp;"/"&amp;LEFT((RIGHT(Z10,10)),2)&amp;"/"&amp;RIGHT(Z10,4))))</f>
        <v>724</v>
      </c>
      <c r="AM10" s="284" t="s">
        <v>3767</v>
      </c>
      <c r="AN10" s="284" t="s">
        <v>3768</v>
      </c>
      <c r="AO10" s="343">
        <v>8.2129999999999992</v>
      </c>
      <c r="AP10" s="343">
        <v>8.2529999999999983</v>
      </c>
      <c r="AQ10" s="343">
        <v>8.2779999999999969</v>
      </c>
      <c r="AR10" s="343">
        <v>8.2829999999999977</v>
      </c>
      <c r="AS10" s="331">
        <f t="shared" ca="1" si="3"/>
        <v>736</v>
      </c>
      <c r="AV10" s="331" t="s">
        <v>136</v>
      </c>
    </row>
    <row r="11" spans="1:61" s="331" customFormat="1" ht="18" customHeight="1" x14ac:dyDescent="0.35">
      <c r="A11" s="334">
        <v>44427</v>
      </c>
      <c r="B11" s="335">
        <f ca="1">IF(A11="",(IF(ISNUMBER(SUBSTITUTE(LEFT(RIGHT(E11,LEN(E11)-MIN(SEARCH({1,2,3,4,5,6,7,8,9,0},E11&amp;"1234567890"))+1),10),".","/"))=TRUE,AJ11-(SUBSTITUTE(LEFT(RIGHT(E11,LEN(E11)-MIN(SEARCH({1,2,3,4,5,6,7,8,9,0},E11&amp;"1234567890"))+1),10),".","/")),IF((SUBSTITUTE(LEFT(RIGHT(E11,LEN(E11)-MIN(SEARCH({1,2,3,4,5,6,7,8,9,0},E11&amp;"1234567890"))+1),10),".","/"))="","",(AJ11)-(MID(RIGHT((SUBSTITUTE(LEFT(RIGHT(E11,LEN(E11)-MIN(SEARCH({1,2,3,4,5,6,7,8,9,0},E11&amp;"1234567890"))+1),10),".","/")),10),4,2)&amp;"/"&amp;LEFT((RIGHT((SUBSTITUTE(LEFT(RIGHT(E11,LEN(E11)-MIN(SEARCH({1,2,3,4,5,6,7,8,9,0},E11&amp;"1234567890"))+1),10),".","/")),10)),2)&amp;"/"&amp;RIGHT((SUBSTITUTE(LEFT(RIGHT(E11,LEN(E11)-MIN(SEARCH({1,2,3,4,5,6,7,8,9,0},E11&amp;"1234567890"))+1),10),".","/")),4))))),(AJ11-A11))</f>
        <v>536</v>
      </c>
      <c r="C11" s="334"/>
      <c r="D11" s="294" t="str">
        <f t="shared" si="0"/>
        <v>FGM-J3/2B-001X595</v>
      </c>
      <c r="E11" s="294" t="s">
        <v>3770</v>
      </c>
      <c r="F11" s="294" t="s">
        <v>3771</v>
      </c>
      <c r="G11" s="336" t="s">
        <v>3772</v>
      </c>
      <c r="H11" s="294" t="s">
        <v>29</v>
      </c>
      <c r="I11" s="337" t="s">
        <v>116</v>
      </c>
      <c r="J11" s="149">
        <v>2.4</v>
      </c>
      <c r="K11" s="149">
        <v>1.4</v>
      </c>
      <c r="L11" s="149">
        <v>1.38</v>
      </c>
      <c r="M11" s="149">
        <v>1.4</v>
      </c>
      <c r="N11" s="335">
        <v>595</v>
      </c>
      <c r="O11" s="296">
        <v>4.0350000000000001</v>
      </c>
      <c r="P11" s="345">
        <v>4.0549999999999997</v>
      </c>
      <c r="Q11" s="138" t="s">
        <v>3598</v>
      </c>
      <c r="R11" s="138">
        <f>116.9*3+77*3</f>
        <v>581.70000000000005</v>
      </c>
      <c r="S11" s="138"/>
      <c r="T11" s="299" t="s">
        <v>3510</v>
      </c>
      <c r="U11" s="282" t="s">
        <v>446</v>
      </c>
      <c r="V11" s="282" t="s">
        <v>3759</v>
      </c>
      <c r="W11" s="346" t="s">
        <v>3773</v>
      </c>
      <c r="X11" s="340">
        <v>44299</v>
      </c>
      <c r="Y11" s="340">
        <v>44299</v>
      </c>
      <c r="Z11" s="340">
        <v>44300</v>
      </c>
      <c r="AA11" s="340"/>
      <c r="AB11" s="340"/>
      <c r="AC11" s="341"/>
      <c r="AD11" s="342" t="s">
        <v>64</v>
      </c>
      <c r="AE11" s="342" t="s">
        <v>132</v>
      </c>
      <c r="AF11" s="284" t="s">
        <v>365</v>
      </c>
      <c r="AG11" s="284">
        <v>44275</v>
      </c>
      <c r="AH11" s="284">
        <v>44294</v>
      </c>
      <c r="AI11" s="284"/>
      <c r="AJ11" s="334">
        <f t="shared" ca="1" si="1"/>
        <v>44963</v>
      </c>
      <c r="AK11" s="342">
        <f t="shared" ca="1" si="2"/>
        <v>669</v>
      </c>
      <c r="AL11" s="342"/>
      <c r="AM11" s="284"/>
      <c r="AN11" s="284" t="s">
        <v>3774</v>
      </c>
      <c r="AO11" s="343">
        <v>8.1780000000000008</v>
      </c>
      <c r="AP11" s="343">
        <v>8.1930000000000014</v>
      </c>
      <c r="AQ11" s="343">
        <v>8.218</v>
      </c>
      <c r="AR11" s="343">
        <v>8.2230000000000008</v>
      </c>
      <c r="AS11" s="331">
        <f t="shared" ca="1" si="3"/>
        <v>664</v>
      </c>
      <c r="AV11" s="331" t="s">
        <v>136</v>
      </c>
    </row>
    <row r="12" spans="1:61" s="331" customFormat="1" ht="18" customHeight="1" x14ac:dyDescent="0.35">
      <c r="A12" s="334">
        <v>44574</v>
      </c>
      <c r="B12" s="335">
        <f ca="1">IF(A12="",(IF(ISNUMBER(SUBSTITUTE(LEFT(RIGHT(E12,LEN(E12)-MIN(SEARCH({1,2,3,4,5,6,7,8,9,0},E12&amp;"1234567890"))+1),10),".","/"))=TRUE,AJ12-(SUBSTITUTE(LEFT(RIGHT(E12,LEN(E12)-MIN(SEARCH({1,2,3,4,5,6,7,8,9,0},E12&amp;"1234567890"))+1),10),".","/")),IF((SUBSTITUTE(LEFT(RIGHT(E12,LEN(E12)-MIN(SEARCH({1,2,3,4,5,6,7,8,9,0},E12&amp;"1234567890"))+1),10),".","/"))="","",(AJ12)-(MID(RIGHT((SUBSTITUTE(LEFT(RIGHT(E12,LEN(E12)-MIN(SEARCH({1,2,3,4,5,6,7,8,9,0},E12&amp;"1234567890"))+1),10),".","/")),10),4,2)&amp;"/"&amp;LEFT((RIGHT((SUBSTITUTE(LEFT(RIGHT(E12,LEN(E12)-MIN(SEARCH({1,2,3,4,5,6,7,8,9,0},E12&amp;"1234567890"))+1),10),".","/")),10)),2)&amp;"/"&amp;RIGHT((SUBSTITUTE(LEFT(RIGHT(E12,LEN(E12)-MIN(SEARCH({1,2,3,4,5,6,7,8,9,0},E12&amp;"1234567890"))+1),10),".","/")),4))))),(AJ12-A12))</f>
        <v>389</v>
      </c>
      <c r="C12" s="334"/>
      <c r="D12" s="294" t="str">
        <f t="shared" si="0"/>
        <v>FGC-304/304L/2B-002X115,8</v>
      </c>
      <c r="E12" s="294" t="s">
        <v>3775</v>
      </c>
      <c r="F12" s="294" t="s">
        <v>3776</v>
      </c>
      <c r="G12" s="294" t="s">
        <v>3777</v>
      </c>
      <c r="H12" s="294" t="s">
        <v>377</v>
      </c>
      <c r="I12" s="337" t="s">
        <v>116</v>
      </c>
      <c r="J12" s="149">
        <v>4</v>
      </c>
      <c r="K12" s="149">
        <v>2</v>
      </c>
      <c r="L12" s="149">
        <v>1.95</v>
      </c>
      <c r="M12" s="149">
        <v>2</v>
      </c>
      <c r="N12" s="335">
        <v>135</v>
      </c>
      <c r="O12" s="296">
        <v>0.71499999999999997</v>
      </c>
      <c r="P12" s="839">
        <v>4.4450000000000003</v>
      </c>
      <c r="Q12" s="138">
        <v>115.8</v>
      </c>
      <c r="R12" s="339"/>
      <c r="S12" s="339"/>
      <c r="T12" s="299" t="s">
        <v>3510</v>
      </c>
      <c r="U12" s="282" t="s">
        <v>446</v>
      </c>
      <c r="V12" s="282" t="s">
        <v>3778</v>
      </c>
      <c r="W12" s="138" t="s">
        <v>116</v>
      </c>
      <c r="X12" s="340">
        <v>44266</v>
      </c>
      <c r="Y12" s="340">
        <v>44266</v>
      </c>
      <c r="Z12" s="340">
        <v>44266</v>
      </c>
      <c r="AA12" s="340"/>
      <c r="AB12" s="340"/>
      <c r="AC12" s="341"/>
      <c r="AD12" s="342" t="s">
        <v>64</v>
      </c>
      <c r="AE12" s="342" t="s">
        <v>154</v>
      </c>
      <c r="AF12" s="284" t="s">
        <v>380</v>
      </c>
      <c r="AG12" s="284"/>
      <c r="AH12" s="284">
        <v>44257</v>
      </c>
      <c r="AI12" s="284"/>
      <c r="AJ12" s="334">
        <f t="shared" ca="1" si="1"/>
        <v>44963</v>
      </c>
      <c r="AK12" s="342">
        <f t="shared" ca="1" si="2"/>
        <v>706</v>
      </c>
      <c r="AL12" s="342"/>
      <c r="AM12" s="284"/>
      <c r="AN12" s="284" t="s">
        <v>3779</v>
      </c>
      <c r="AO12" s="343">
        <v>10.275</v>
      </c>
      <c r="AP12" s="343">
        <v>10.285</v>
      </c>
      <c r="AQ12" s="343">
        <v>10.309999999999999</v>
      </c>
      <c r="AR12" s="343">
        <v>10.315</v>
      </c>
      <c r="AS12" s="331">
        <f t="shared" ca="1" si="3"/>
        <v>697</v>
      </c>
      <c r="AV12" s="331" t="s">
        <v>136</v>
      </c>
      <c r="AX12" s="331" t="s">
        <v>382</v>
      </c>
      <c r="BI12" s="347" t="s">
        <v>3584</v>
      </c>
    </row>
    <row r="13" spans="1:61" s="331" customFormat="1" ht="18" customHeight="1" x14ac:dyDescent="0.35">
      <c r="A13" s="334">
        <v>44574</v>
      </c>
      <c r="B13" s="335">
        <f ca="1">IF(A13="",(IF(ISNUMBER(SUBSTITUTE(LEFT(RIGHT(E13,LEN(E13)-MIN(SEARCH({1,2,3,4,5,6,7,8,9,0},E13&amp;"1234567890"))+1),10),".","/"))=TRUE,AJ13-(SUBSTITUTE(LEFT(RIGHT(E13,LEN(E13)-MIN(SEARCH({1,2,3,4,5,6,7,8,9,0},E13&amp;"1234567890"))+1),10),".","/")),IF((SUBSTITUTE(LEFT(RIGHT(E13,LEN(E13)-MIN(SEARCH({1,2,3,4,5,6,7,8,9,0},E13&amp;"1234567890"))+1),10),".","/"))="","",(AJ13)-(MID(RIGHT((SUBSTITUTE(LEFT(RIGHT(E13,LEN(E13)-MIN(SEARCH({1,2,3,4,5,6,7,8,9,0},E13&amp;"1234567890"))+1),10),".","/")),10),4,2)&amp;"/"&amp;LEFT((RIGHT((SUBSTITUTE(LEFT(RIGHT(E13,LEN(E13)-MIN(SEARCH({1,2,3,4,5,6,7,8,9,0},E13&amp;"1234567890"))+1),10),".","/")),10)),2)&amp;"/"&amp;RIGHT((SUBSTITUTE(LEFT(RIGHT(E13,LEN(E13)-MIN(SEARCH({1,2,3,4,5,6,7,8,9,0},E13&amp;"1234567890"))+1),10),".","/")),4))))),(AJ13-A13))</f>
        <v>389</v>
      </c>
      <c r="C13" s="334"/>
      <c r="D13" s="294" t="str">
        <f t="shared" si="0"/>
        <v>FGC-304/304L/2B-002X115,8</v>
      </c>
      <c r="E13" s="294" t="s">
        <v>3775</v>
      </c>
      <c r="F13" s="294" t="s">
        <v>3780</v>
      </c>
      <c r="G13" s="294" t="s">
        <v>3781</v>
      </c>
      <c r="H13" s="294" t="s">
        <v>377</v>
      </c>
      <c r="I13" s="337" t="s">
        <v>116</v>
      </c>
      <c r="J13" s="149">
        <v>3.79</v>
      </c>
      <c r="K13" s="149">
        <v>1.9</v>
      </c>
      <c r="L13" s="149">
        <v>1.82</v>
      </c>
      <c r="M13" s="149">
        <v>1.88</v>
      </c>
      <c r="N13" s="335">
        <v>126</v>
      </c>
      <c r="O13" s="296">
        <v>0.73499999999999999</v>
      </c>
      <c r="P13" s="841"/>
      <c r="Q13" s="138">
        <v>115.8</v>
      </c>
      <c r="R13" s="339"/>
      <c r="S13" s="339"/>
      <c r="T13" s="299" t="s">
        <v>3510</v>
      </c>
      <c r="U13" s="282" t="s">
        <v>446</v>
      </c>
      <c r="V13" s="282" t="s">
        <v>3778</v>
      </c>
      <c r="W13" s="138" t="s">
        <v>116</v>
      </c>
      <c r="X13" s="340">
        <v>44266</v>
      </c>
      <c r="Y13" s="340">
        <v>44266</v>
      </c>
      <c r="Z13" s="340">
        <v>44267</v>
      </c>
      <c r="AA13" s="340"/>
      <c r="AB13" s="340"/>
      <c r="AC13" s="341"/>
      <c r="AD13" s="342" t="s">
        <v>64</v>
      </c>
      <c r="AE13" s="342" t="s">
        <v>154</v>
      </c>
      <c r="AF13" s="284" t="s">
        <v>380</v>
      </c>
      <c r="AG13" s="284"/>
      <c r="AH13" s="284">
        <v>44257</v>
      </c>
      <c r="AI13" s="284"/>
      <c r="AJ13" s="334">
        <f t="shared" ca="1" si="1"/>
        <v>44963</v>
      </c>
      <c r="AK13" s="342">
        <f t="shared" ca="1" si="2"/>
        <v>706</v>
      </c>
      <c r="AL13" s="342"/>
      <c r="AM13" s="284"/>
      <c r="AN13" s="284" t="s">
        <v>381</v>
      </c>
      <c r="AO13" s="343">
        <v>10.3</v>
      </c>
      <c r="AP13" s="343">
        <v>10.31</v>
      </c>
      <c r="AQ13" s="343">
        <v>10.334999999999999</v>
      </c>
      <c r="AR13" s="343">
        <v>10.34</v>
      </c>
      <c r="AS13" s="331">
        <f t="shared" ca="1" si="3"/>
        <v>697</v>
      </c>
      <c r="AV13" s="331" t="s">
        <v>136</v>
      </c>
      <c r="AX13" s="331" t="s">
        <v>382</v>
      </c>
      <c r="BI13" s="347" t="s">
        <v>3584</v>
      </c>
    </row>
    <row r="14" spans="1:61" s="331" customFormat="1" ht="18" customHeight="1" x14ac:dyDescent="0.35">
      <c r="A14" s="334">
        <v>44574</v>
      </c>
      <c r="B14" s="335">
        <f ca="1">IF(A14="",(IF(ISNUMBER(SUBSTITUTE(LEFT(RIGHT(E14,LEN(E14)-MIN(SEARCH({1,2,3,4,5,6,7,8,9,0},E14&amp;"1234567890"))+1),10),".","/"))=TRUE,AJ14-(SUBSTITUTE(LEFT(RIGHT(E14,LEN(E14)-MIN(SEARCH({1,2,3,4,5,6,7,8,9,0},E14&amp;"1234567890"))+1),10),".","/")),IF((SUBSTITUTE(LEFT(RIGHT(E14,LEN(E14)-MIN(SEARCH({1,2,3,4,5,6,7,8,9,0},E14&amp;"1234567890"))+1),10),".","/"))="","",(AJ14)-(MID(RIGHT((SUBSTITUTE(LEFT(RIGHT(E14,LEN(E14)-MIN(SEARCH({1,2,3,4,5,6,7,8,9,0},E14&amp;"1234567890"))+1),10),".","/")),10),4,2)&amp;"/"&amp;LEFT((RIGHT((SUBSTITUTE(LEFT(RIGHT(E14,LEN(E14)-MIN(SEARCH({1,2,3,4,5,6,7,8,9,0},E14&amp;"1234567890"))+1),10),".","/")),10)),2)&amp;"/"&amp;RIGHT((SUBSTITUTE(LEFT(RIGHT(E14,LEN(E14)-MIN(SEARCH({1,2,3,4,5,6,7,8,9,0},E14&amp;"1234567890"))+1),10),".","/")),4))))),(AJ14-A14))</f>
        <v>389</v>
      </c>
      <c r="C14" s="334"/>
      <c r="D14" s="294" t="str">
        <f t="shared" si="0"/>
        <v>FGC-304/304L/2B-002X115,8</v>
      </c>
      <c r="E14" s="294" t="s">
        <v>3782</v>
      </c>
      <c r="F14" s="294" t="s">
        <v>3783</v>
      </c>
      <c r="G14" s="294" t="s">
        <v>3784</v>
      </c>
      <c r="H14" s="294" t="s">
        <v>377</v>
      </c>
      <c r="I14" s="337" t="s">
        <v>116</v>
      </c>
      <c r="J14" s="149">
        <v>3.98</v>
      </c>
      <c r="K14" s="149">
        <v>2</v>
      </c>
      <c r="L14" s="149">
        <v>1.95</v>
      </c>
      <c r="M14" s="149">
        <v>1.99</v>
      </c>
      <c r="N14" s="335">
        <v>135</v>
      </c>
      <c r="O14" s="296">
        <v>0.75</v>
      </c>
      <c r="P14" s="841"/>
      <c r="Q14" s="138">
        <v>115.8</v>
      </c>
      <c r="R14" s="348"/>
      <c r="S14" s="339"/>
      <c r="T14" s="299" t="s">
        <v>3510</v>
      </c>
      <c r="U14" s="282" t="s">
        <v>446</v>
      </c>
      <c r="V14" s="282" t="s">
        <v>3778</v>
      </c>
      <c r="W14" s="138" t="s">
        <v>116</v>
      </c>
      <c r="X14" s="340">
        <v>44264</v>
      </c>
      <c r="Y14" s="340">
        <v>44264</v>
      </c>
      <c r="Z14" s="340">
        <v>44267</v>
      </c>
      <c r="AA14" s="340"/>
      <c r="AB14" s="340"/>
      <c r="AC14" s="341"/>
      <c r="AD14" s="342" t="s">
        <v>64</v>
      </c>
      <c r="AE14" s="342" t="s">
        <v>154</v>
      </c>
      <c r="AF14" s="284" t="s">
        <v>380</v>
      </c>
      <c r="AG14" s="284"/>
      <c r="AH14" s="284">
        <v>44257</v>
      </c>
      <c r="AI14" s="284"/>
      <c r="AJ14" s="334">
        <f t="shared" ca="1" si="1"/>
        <v>44963</v>
      </c>
      <c r="AK14" s="342">
        <f t="shared" ca="1" si="2"/>
        <v>706</v>
      </c>
      <c r="AL14" s="342"/>
      <c r="AM14" s="284"/>
      <c r="AN14" s="284" t="s">
        <v>3785</v>
      </c>
      <c r="AO14" s="343">
        <v>10.145</v>
      </c>
      <c r="AP14" s="343">
        <v>10.154999999999999</v>
      </c>
      <c r="AQ14" s="343">
        <v>10.179999999999998</v>
      </c>
      <c r="AR14" s="343">
        <v>10.184999999999999</v>
      </c>
      <c r="AS14" s="331">
        <f t="shared" ca="1" si="3"/>
        <v>699</v>
      </c>
      <c r="AV14" s="331" t="s">
        <v>136</v>
      </c>
      <c r="AX14" s="331" t="s">
        <v>382</v>
      </c>
      <c r="BI14" s="347" t="s">
        <v>3786</v>
      </c>
    </row>
    <row r="15" spans="1:61" s="331" customFormat="1" ht="18" customHeight="1" x14ac:dyDescent="0.35">
      <c r="A15" s="334">
        <v>44574</v>
      </c>
      <c r="B15" s="335">
        <f ca="1">IF(A15="",(IF(ISNUMBER(SUBSTITUTE(LEFT(RIGHT(E15,LEN(E15)-MIN(SEARCH({1,2,3,4,5,6,7,8,9,0},E15&amp;"1234567890"))+1),10),".","/"))=TRUE,AJ15-(SUBSTITUTE(LEFT(RIGHT(E15,LEN(E15)-MIN(SEARCH({1,2,3,4,5,6,7,8,9,0},E15&amp;"1234567890"))+1),10),".","/")),IF((SUBSTITUTE(LEFT(RIGHT(E15,LEN(E15)-MIN(SEARCH({1,2,3,4,5,6,7,8,9,0},E15&amp;"1234567890"))+1),10),".","/"))="","",(AJ15)-(MID(RIGHT((SUBSTITUTE(LEFT(RIGHT(E15,LEN(E15)-MIN(SEARCH({1,2,3,4,5,6,7,8,9,0},E15&amp;"1234567890"))+1),10),".","/")),10),4,2)&amp;"/"&amp;LEFT((RIGHT((SUBSTITUTE(LEFT(RIGHT(E15,LEN(E15)-MIN(SEARCH({1,2,3,4,5,6,7,8,9,0},E15&amp;"1234567890"))+1),10),".","/")),10)),2)&amp;"/"&amp;RIGHT((SUBSTITUTE(LEFT(RIGHT(E15,LEN(E15)-MIN(SEARCH({1,2,3,4,5,6,7,8,9,0},E15&amp;"1234567890"))+1),10),".","/")),4))))),(AJ15-A15))</f>
        <v>389</v>
      </c>
      <c r="C15" s="334"/>
      <c r="D15" s="294" t="str">
        <f t="shared" si="0"/>
        <v>FGC-304/304L/2B-002X115,8</v>
      </c>
      <c r="E15" s="294" t="s">
        <v>3782</v>
      </c>
      <c r="F15" s="294" t="s">
        <v>3787</v>
      </c>
      <c r="G15" s="294" t="s">
        <v>3788</v>
      </c>
      <c r="H15" s="294" t="s">
        <v>377</v>
      </c>
      <c r="I15" s="337" t="s">
        <v>116</v>
      </c>
      <c r="J15" s="149">
        <v>3.99</v>
      </c>
      <c r="K15" s="149">
        <v>2</v>
      </c>
      <c r="L15" s="149">
        <v>2</v>
      </c>
      <c r="M15" s="149">
        <v>2.0299999999999998</v>
      </c>
      <c r="N15" s="335">
        <v>129</v>
      </c>
      <c r="O15" s="296">
        <v>0.72499999999999998</v>
      </c>
      <c r="P15" s="841"/>
      <c r="Q15" s="138">
        <v>115.8</v>
      </c>
      <c r="R15" s="348"/>
      <c r="S15" s="339"/>
      <c r="T15" s="299" t="s">
        <v>3510</v>
      </c>
      <c r="U15" s="282" t="s">
        <v>446</v>
      </c>
      <c r="V15" s="282" t="s">
        <v>3778</v>
      </c>
      <c r="W15" s="138" t="s">
        <v>116</v>
      </c>
      <c r="X15" s="340">
        <v>44265</v>
      </c>
      <c r="Y15" s="340">
        <v>44265</v>
      </c>
      <c r="Z15" s="340">
        <v>44266</v>
      </c>
      <c r="AA15" s="340"/>
      <c r="AB15" s="340"/>
      <c r="AC15" s="341"/>
      <c r="AD15" s="342" t="s">
        <v>64</v>
      </c>
      <c r="AE15" s="342" t="s">
        <v>154</v>
      </c>
      <c r="AF15" s="284" t="s">
        <v>380</v>
      </c>
      <c r="AG15" s="284"/>
      <c r="AH15" s="284">
        <v>44257</v>
      </c>
      <c r="AI15" s="284"/>
      <c r="AJ15" s="334">
        <f t="shared" ca="1" si="1"/>
        <v>44963</v>
      </c>
      <c r="AK15" s="342">
        <f t="shared" ca="1" si="2"/>
        <v>706</v>
      </c>
      <c r="AL15" s="342"/>
      <c r="AM15" s="284"/>
      <c r="AN15" s="284" t="s">
        <v>3789</v>
      </c>
      <c r="AO15" s="343">
        <v>10.175000000000001</v>
      </c>
      <c r="AP15" s="343">
        <v>10.185</v>
      </c>
      <c r="AQ15" s="343">
        <v>10.209999999999999</v>
      </c>
      <c r="AR15" s="343">
        <v>10.215</v>
      </c>
      <c r="AS15" s="331">
        <f t="shared" ca="1" si="3"/>
        <v>698</v>
      </c>
      <c r="AV15" s="331" t="s">
        <v>136</v>
      </c>
      <c r="AX15" s="331" t="s">
        <v>382</v>
      </c>
      <c r="BI15" s="347"/>
    </row>
    <row r="16" spans="1:61" s="331" customFormat="1" ht="18" customHeight="1" x14ac:dyDescent="0.35">
      <c r="A16" s="334">
        <v>44574</v>
      </c>
      <c r="B16" s="335">
        <f ca="1">IF(A16="",(IF(ISNUMBER(SUBSTITUTE(LEFT(RIGHT(E16,LEN(E16)-MIN(SEARCH({1,2,3,4,5,6,7,8,9,0},E16&amp;"1234567890"))+1),10),".","/"))=TRUE,AJ16-(SUBSTITUTE(LEFT(RIGHT(E16,LEN(E16)-MIN(SEARCH({1,2,3,4,5,6,7,8,9,0},E16&amp;"1234567890"))+1),10),".","/")),IF((SUBSTITUTE(LEFT(RIGHT(E16,LEN(E16)-MIN(SEARCH({1,2,3,4,5,6,7,8,9,0},E16&amp;"1234567890"))+1),10),".","/"))="","",(AJ16)-(MID(RIGHT((SUBSTITUTE(LEFT(RIGHT(E16,LEN(E16)-MIN(SEARCH({1,2,3,4,5,6,7,8,9,0},E16&amp;"1234567890"))+1),10),".","/")),10),4,2)&amp;"/"&amp;LEFT((RIGHT((SUBSTITUTE(LEFT(RIGHT(E16,LEN(E16)-MIN(SEARCH({1,2,3,4,5,6,7,8,9,0},E16&amp;"1234567890"))+1),10),".","/")),10)),2)&amp;"/"&amp;RIGHT((SUBSTITUTE(LEFT(RIGHT(E16,LEN(E16)-MIN(SEARCH({1,2,3,4,5,6,7,8,9,0},E16&amp;"1234567890"))+1),10),".","/")),4))))),(AJ16-A16))</f>
        <v>389</v>
      </c>
      <c r="C16" s="334"/>
      <c r="D16" s="294" t="str">
        <f t="shared" si="0"/>
        <v>FGC-304/304L/2B-002X115,8</v>
      </c>
      <c r="E16" s="294" t="s">
        <v>3782</v>
      </c>
      <c r="F16" s="294" t="s">
        <v>3776</v>
      </c>
      <c r="G16" s="294" t="s">
        <v>3790</v>
      </c>
      <c r="H16" s="294" t="s">
        <v>377</v>
      </c>
      <c r="I16" s="337" t="s">
        <v>116</v>
      </c>
      <c r="J16" s="149">
        <v>4</v>
      </c>
      <c r="K16" s="149">
        <v>2</v>
      </c>
      <c r="L16" s="149">
        <v>1.95</v>
      </c>
      <c r="M16" s="149">
        <v>2</v>
      </c>
      <c r="N16" s="335">
        <v>135</v>
      </c>
      <c r="O16" s="296">
        <v>0.76</v>
      </c>
      <c r="P16" s="841"/>
      <c r="Q16" s="138">
        <v>115.8</v>
      </c>
      <c r="R16" s="348"/>
      <c r="S16" s="339"/>
      <c r="T16" s="299" t="s">
        <v>3510</v>
      </c>
      <c r="U16" s="282" t="s">
        <v>446</v>
      </c>
      <c r="V16" s="282" t="s">
        <v>3778</v>
      </c>
      <c r="W16" s="138" t="s">
        <v>116</v>
      </c>
      <c r="X16" s="340">
        <v>44266</v>
      </c>
      <c r="Y16" s="340">
        <v>44266</v>
      </c>
      <c r="Z16" s="340">
        <v>44266</v>
      </c>
      <c r="AA16" s="340"/>
      <c r="AB16" s="340"/>
      <c r="AC16" s="341"/>
      <c r="AD16" s="342" t="s">
        <v>64</v>
      </c>
      <c r="AE16" s="342" t="s">
        <v>154</v>
      </c>
      <c r="AF16" s="284" t="s">
        <v>380</v>
      </c>
      <c r="AG16" s="284"/>
      <c r="AH16" s="284">
        <v>44257</v>
      </c>
      <c r="AI16" s="284"/>
      <c r="AJ16" s="334">
        <f t="shared" ca="1" si="1"/>
        <v>44963</v>
      </c>
      <c r="AK16" s="342">
        <f t="shared" ca="1" si="2"/>
        <v>706</v>
      </c>
      <c r="AL16" s="342"/>
      <c r="AM16" s="284"/>
      <c r="AN16" s="284" t="s">
        <v>3779</v>
      </c>
      <c r="AO16" s="343">
        <v>10.275</v>
      </c>
      <c r="AP16" s="343">
        <v>10.285</v>
      </c>
      <c r="AQ16" s="343">
        <v>10.309999999999999</v>
      </c>
      <c r="AR16" s="343">
        <v>10.315</v>
      </c>
      <c r="AS16" s="331">
        <f t="shared" ca="1" si="3"/>
        <v>697</v>
      </c>
      <c r="AV16" s="331" t="s">
        <v>136</v>
      </c>
      <c r="AX16" s="331" t="s">
        <v>382</v>
      </c>
      <c r="BI16" s="347"/>
    </row>
    <row r="17" spans="1:61" s="331" customFormat="1" ht="18" customHeight="1" x14ac:dyDescent="0.35">
      <c r="A17" s="334">
        <v>44574</v>
      </c>
      <c r="B17" s="335">
        <f ca="1">IF(A17="",(IF(ISNUMBER(SUBSTITUTE(LEFT(RIGHT(E17,LEN(E17)-MIN(SEARCH({1,2,3,4,5,6,7,8,9,0},E17&amp;"1234567890"))+1),10),".","/"))=TRUE,AJ17-(SUBSTITUTE(LEFT(RIGHT(E17,LEN(E17)-MIN(SEARCH({1,2,3,4,5,6,7,8,9,0},E17&amp;"1234567890"))+1),10),".","/")),IF((SUBSTITUTE(LEFT(RIGHT(E17,LEN(E17)-MIN(SEARCH({1,2,3,4,5,6,7,8,9,0},E17&amp;"1234567890"))+1),10),".","/"))="","",(AJ17)-(MID(RIGHT((SUBSTITUTE(LEFT(RIGHT(E17,LEN(E17)-MIN(SEARCH({1,2,3,4,5,6,7,8,9,0},E17&amp;"1234567890"))+1),10),".","/")),10),4,2)&amp;"/"&amp;LEFT((RIGHT((SUBSTITUTE(LEFT(RIGHT(E17,LEN(E17)-MIN(SEARCH({1,2,3,4,5,6,7,8,9,0},E17&amp;"1234567890"))+1),10),".","/")),10)),2)&amp;"/"&amp;RIGHT((SUBSTITUTE(LEFT(RIGHT(E17,LEN(E17)-MIN(SEARCH({1,2,3,4,5,6,7,8,9,0},E17&amp;"1234567890"))+1),10),".","/")),4))))),(AJ17-A17))</f>
        <v>389</v>
      </c>
      <c r="C17" s="334"/>
      <c r="D17" s="294" t="str">
        <f t="shared" si="0"/>
        <v>FGC-304/304L/2B-002X115,8</v>
      </c>
      <c r="E17" s="294" t="s">
        <v>3782</v>
      </c>
      <c r="F17" s="294" t="s">
        <v>3783</v>
      </c>
      <c r="G17" s="294" t="s">
        <v>3791</v>
      </c>
      <c r="H17" s="294" t="s">
        <v>377</v>
      </c>
      <c r="I17" s="337" t="s">
        <v>116</v>
      </c>
      <c r="J17" s="149">
        <v>3.98</v>
      </c>
      <c r="K17" s="149">
        <v>2</v>
      </c>
      <c r="L17" s="149">
        <v>1.95</v>
      </c>
      <c r="M17" s="149">
        <v>1.99</v>
      </c>
      <c r="N17" s="335">
        <v>135</v>
      </c>
      <c r="O17" s="296">
        <v>0.73499999999999999</v>
      </c>
      <c r="P17" s="840"/>
      <c r="Q17" s="138">
        <v>115.8</v>
      </c>
      <c r="R17" s="348"/>
      <c r="S17" s="339"/>
      <c r="T17" s="299" t="s">
        <v>3510</v>
      </c>
      <c r="U17" s="282" t="s">
        <v>446</v>
      </c>
      <c r="V17" s="282" t="s">
        <v>3778</v>
      </c>
      <c r="W17" s="138" t="s">
        <v>116</v>
      </c>
      <c r="X17" s="340">
        <v>44264</v>
      </c>
      <c r="Y17" s="340">
        <v>44264</v>
      </c>
      <c r="Z17" s="340">
        <v>44267</v>
      </c>
      <c r="AA17" s="340"/>
      <c r="AB17" s="340"/>
      <c r="AC17" s="341"/>
      <c r="AD17" s="342" t="s">
        <v>64</v>
      </c>
      <c r="AE17" s="342" t="s">
        <v>154</v>
      </c>
      <c r="AF17" s="284" t="s">
        <v>380</v>
      </c>
      <c r="AG17" s="284"/>
      <c r="AH17" s="284">
        <v>44257</v>
      </c>
      <c r="AI17" s="284"/>
      <c r="AJ17" s="334">
        <f t="shared" ca="1" si="1"/>
        <v>44963</v>
      </c>
      <c r="AK17" s="342">
        <f t="shared" ca="1" si="2"/>
        <v>706</v>
      </c>
      <c r="AL17" s="342"/>
      <c r="AM17" s="284"/>
      <c r="AN17" s="284" t="s">
        <v>3785</v>
      </c>
      <c r="AO17" s="343">
        <v>10.145</v>
      </c>
      <c r="AP17" s="343">
        <v>10.154999999999999</v>
      </c>
      <c r="AQ17" s="343">
        <v>10.179999999999998</v>
      </c>
      <c r="AR17" s="343">
        <v>10.184999999999999</v>
      </c>
      <c r="AS17" s="331">
        <f t="shared" ca="1" si="3"/>
        <v>699</v>
      </c>
      <c r="AV17" s="331" t="s">
        <v>136</v>
      </c>
      <c r="AX17" s="331" t="s">
        <v>382</v>
      </c>
      <c r="BI17" s="347"/>
    </row>
    <row r="18" spans="1:61" s="331" customFormat="1" ht="18" customHeight="1" x14ac:dyDescent="0.35">
      <c r="A18" s="334">
        <v>44443</v>
      </c>
      <c r="B18" s="335">
        <f ca="1">IF(A18="",(IF(ISNUMBER(SUBSTITUTE(LEFT(RIGHT(E18,LEN(E18)-MIN(SEARCH({1,2,3,4,5,6,7,8,9,0},E18&amp;"1234567890"))+1),10),".","/"))=TRUE,AJ18-(SUBSTITUTE(LEFT(RIGHT(E18,LEN(E18)-MIN(SEARCH({1,2,3,4,5,6,7,8,9,0},E18&amp;"1234567890"))+1),10),".","/")),IF((SUBSTITUTE(LEFT(RIGHT(E18,LEN(E18)-MIN(SEARCH({1,2,3,4,5,6,7,8,9,0},E18&amp;"1234567890"))+1),10),".","/"))="","",(AJ18)-(MID(RIGHT((SUBSTITUTE(LEFT(RIGHT(E18,LEN(E18)-MIN(SEARCH({1,2,3,4,5,6,7,8,9,0},E18&amp;"1234567890"))+1),10),".","/")),10),4,2)&amp;"/"&amp;LEFT((RIGHT((SUBSTITUTE(LEFT(RIGHT(E18,LEN(E18)-MIN(SEARCH({1,2,3,4,5,6,7,8,9,0},E18&amp;"1234567890"))+1),10),".","/")),10)),2)&amp;"/"&amp;RIGHT((SUBSTITUTE(LEFT(RIGHT(E18,LEN(E18)-MIN(SEARCH({1,2,3,4,5,6,7,8,9,0},E18&amp;"1234567890"))+1),10),".","/")),4))))),(AJ18-A18))</f>
        <v>520</v>
      </c>
      <c r="C18" s="334"/>
      <c r="D18" s="294" t="str">
        <f t="shared" si="0"/>
        <v>FGM-J3/2B-001X595</v>
      </c>
      <c r="E18" s="294" t="s">
        <v>3792</v>
      </c>
      <c r="F18" s="294" t="s">
        <v>3793</v>
      </c>
      <c r="G18" s="336" t="s">
        <v>3794</v>
      </c>
      <c r="H18" s="294" t="s">
        <v>29</v>
      </c>
      <c r="I18" s="337" t="s">
        <v>116</v>
      </c>
      <c r="J18" s="149">
        <v>2.4</v>
      </c>
      <c r="K18" s="149">
        <v>0.75</v>
      </c>
      <c r="L18" s="149">
        <v>0.75</v>
      </c>
      <c r="M18" s="149">
        <v>0.76</v>
      </c>
      <c r="N18" s="335">
        <v>595</v>
      </c>
      <c r="O18" s="837">
        <v>4.4249999999999998</v>
      </c>
      <c r="P18" s="839">
        <v>4.4550000000000001</v>
      </c>
      <c r="Q18" s="138" t="s">
        <v>3598</v>
      </c>
      <c r="R18" s="344">
        <f>98.4+78.3</f>
        <v>176.7</v>
      </c>
      <c r="S18" s="339"/>
      <c r="T18" s="299" t="s">
        <v>3510</v>
      </c>
      <c r="U18" s="282" t="s">
        <v>446</v>
      </c>
      <c r="V18" s="282" t="s">
        <v>3759</v>
      </c>
      <c r="W18" s="282" t="s">
        <v>116</v>
      </c>
      <c r="X18" s="340">
        <v>44157</v>
      </c>
      <c r="Y18" s="340">
        <v>44157</v>
      </c>
      <c r="Z18" s="340">
        <v>44159</v>
      </c>
      <c r="AA18" s="340"/>
      <c r="AB18" s="340"/>
      <c r="AC18" s="341"/>
      <c r="AD18" s="342" t="s">
        <v>64</v>
      </c>
      <c r="AE18" s="342" t="s">
        <v>261</v>
      </c>
      <c r="AF18" s="284" t="s">
        <v>3795</v>
      </c>
      <c r="AG18" s="284">
        <v>44126</v>
      </c>
      <c r="AH18" s="284">
        <v>44154</v>
      </c>
      <c r="AI18" s="284"/>
      <c r="AJ18" s="334">
        <f t="shared" ca="1" si="1"/>
        <v>44963</v>
      </c>
      <c r="AK18" s="342">
        <f t="shared" ca="1" si="2"/>
        <v>809</v>
      </c>
      <c r="AL18" s="342">
        <f ca="1">IF(ISNUMBER(Z18)=TRUE,AJ18-Z18,IF(Z18="","",(AJ18)-(MID(RIGHT(Z18,10),4,2)&amp;"/"&amp;LEFT((RIGHT(Z18,10)),2)&amp;"/"&amp;RIGHT(Z18,4))))</f>
        <v>804</v>
      </c>
      <c r="AM18" s="284"/>
      <c r="AN18" s="284" t="s">
        <v>3796</v>
      </c>
      <c r="AO18" s="343">
        <v>8.1020000000000003</v>
      </c>
      <c r="AP18" s="343">
        <v>8.1319999999999997</v>
      </c>
      <c r="AQ18" s="343">
        <v>8.1569999999999983</v>
      </c>
      <c r="AR18" s="343">
        <v>8.161999999999999</v>
      </c>
      <c r="AS18" s="331">
        <f t="shared" ca="1" si="3"/>
        <v>806</v>
      </c>
      <c r="AV18" s="331" t="s">
        <v>136</v>
      </c>
    </row>
    <row r="19" spans="1:61" s="331" customFormat="1" ht="18" customHeight="1" x14ac:dyDescent="0.35">
      <c r="A19" s="334">
        <v>44443</v>
      </c>
      <c r="B19" s="335">
        <f ca="1">IF(A19="",(IF(ISNUMBER(SUBSTITUTE(LEFT(RIGHT(E19,LEN(E19)-MIN(SEARCH({1,2,3,4,5,6,7,8,9,0},E19&amp;"1234567890"))+1),10),".","/"))=TRUE,AJ19-(SUBSTITUTE(LEFT(RIGHT(E19,LEN(E19)-MIN(SEARCH({1,2,3,4,5,6,7,8,9,0},E19&amp;"1234567890"))+1),10),".","/")),IF((SUBSTITUTE(LEFT(RIGHT(E19,LEN(E19)-MIN(SEARCH({1,2,3,4,5,6,7,8,9,0},E19&amp;"1234567890"))+1),10),".","/"))="","",(AJ19)-(MID(RIGHT((SUBSTITUTE(LEFT(RIGHT(E19,LEN(E19)-MIN(SEARCH({1,2,3,4,5,6,7,8,9,0},E19&amp;"1234567890"))+1),10),".","/")),10),4,2)&amp;"/"&amp;LEFT((RIGHT((SUBSTITUTE(LEFT(RIGHT(E19,LEN(E19)-MIN(SEARCH({1,2,3,4,5,6,7,8,9,0},E19&amp;"1234567890"))+1),10),".","/")),10)),2)&amp;"/"&amp;RIGHT((SUBSTITUTE(LEFT(RIGHT(E19,LEN(E19)-MIN(SEARCH({1,2,3,4,5,6,7,8,9,0},E19&amp;"1234567890"))+1),10),".","/")),4))))),(AJ19-A19))</f>
        <v>520</v>
      </c>
      <c r="C19" s="334"/>
      <c r="D19" s="294" t="str">
        <f t="shared" si="0"/>
        <v>FGM-J3/2B-001X595</v>
      </c>
      <c r="E19" s="294" t="s">
        <v>3797</v>
      </c>
      <c r="F19" s="294" t="s">
        <v>3798</v>
      </c>
      <c r="G19" s="336" t="s">
        <v>3799</v>
      </c>
      <c r="H19" s="294" t="s">
        <v>29</v>
      </c>
      <c r="I19" s="337" t="s">
        <v>116</v>
      </c>
      <c r="J19" s="149">
        <v>2.2000000000000002</v>
      </c>
      <c r="K19" s="149">
        <v>0.75</v>
      </c>
      <c r="L19" s="149">
        <v>0.75</v>
      </c>
      <c r="M19" s="149">
        <v>0.76</v>
      </c>
      <c r="N19" s="335">
        <v>595</v>
      </c>
      <c r="O19" s="838"/>
      <c r="P19" s="840"/>
      <c r="Q19" s="138" t="s">
        <v>3598</v>
      </c>
      <c r="R19" s="338">
        <f>238*2+48.5</f>
        <v>524.5</v>
      </c>
      <c r="S19" s="339"/>
      <c r="T19" s="299" t="s">
        <v>3510</v>
      </c>
      <c r="U19" s="282" t="s">
        <v>446</v>
      </c>
      <c r="V19" s="282" t="s">
        <v>3753</v>
      </c>
      <c r="W19" s="282" t="s">
        <v>116</v>
      </c>
      <c r="X19" s="340">
        <v>44140</v>
      </c>
      <c r="Y19" s="340">
        <v>44141</v>
      </c>
      <c r="Z19" s="340">
        <v>44144</v>
      </c>
      <c r="AA19" s="340"/>
      <c r="AB19" s="340"/>
      <c r="AC19" s="341"/>
      <c r="AD19" s="342" t="s">
        <v>64</v>
      </c>
      <c r="AE19" s="342" t="s">
        <v>261</v>
      </c>
      <c r="AF19" s="284" t="s">
        <v>3800</v>
      </c>
      <c r="AG19" s="284">
        <v>44104</v>
      </c>
      <c r="AH19" s="284">
        <v>44131</v>
      </c>
      <c r="AI19" s="284"/>
      <c r="AJ19" s="334">
        <f t="shared" ca="1" si="1"/>
        <v>44963</v>
      </c>
      <c r="AK19" s="342">
        <f t="shared" ca="1" si="2"/>
        <v>832</v>
      </c>
      <c r="AL19" s="342">
        <f ca="1">IF(ISNUMBER(Z19)=TRUE,AJ19-Z19,IF(Z19="","",(AJ19)-(MID(RIGHT(Z19,10),4,2)&amp;"/"&amp;LEFT((RIGHT(Z19,10)),2)&amp;"/"&amp;RIGHT(Z19,4))))</f>
        <v>819</v>
      </c>
      <c r="AM19" s="284" t="s">
        <v>3801</v>
      </c>
      <c r="AN19" s="284" t="s">
        <v>3802</v>
      </c>
      <c r="AO19" s="343">
        <v>8.0920000000000005</v>
      </c>
      <c r="AP19" s="343">
        <v>8.1219999999999999</v>
      </c>
      <c r="AQ19" s="343">
        <v>8.1469999999999985</v>
      </c>
      <c r="AR19" s="343">
        <v>8.1519999999999992</v>
      </c>
      <c r="AS19" s="331">
        <f t="shared" ca="1" si="3"/>
        <v>822</v>
      </c>
      <c r="AV19" s="331" t="s">
        <v>136</v>
      </c>
    </row>
    <row r="20" spans="1:61" s="331" customFormat="1" ht="18" customHeight="1" x14ac:dyDescent="0.35">
      <c r="A20" s="334">
        <v>44572</v>
      </c>
      <c r="B20" s="335">
        <f ca="1">IF(A20="",(IF(ISNUMBER(SUBSTITUTE(LEFT(RIGHT(E20,LEN(E20)-MIN(SEARCH({1,2,3,4,5,6,7,8,9,0},E20&amp;"1234567890"))+1),10),".","/"))=TRUE,AJ20-(SUBSTITUTE(LEFT(RIGHT(E20,LEN(E20)-MIN(SEARCH({1,2,3,4,5,6,7,8,9,0},E20&amp;"1234567890"))+1),10),".","/")),IF((SUBSTITUTE(LEFT(RIGHT(E20,LEN(E20)-MIN(SEARCH({1,2,3,4,5,6,7,8,9,0},E20&amp;"1234567890"))+1),10),".","/"))="","",(AJ20)-(MID(RIGHT((SUBSTITUTE(LEFT(RIGHT(E20,LEN(E20)-MIN(SEARCH({1,2,3,4,5,6,7,8,9,0},E20&amp;"1234567890"))+1),10),".","/")),10),4,2)&amp;"/"&amp;LEFT((RIGHT((SUBSTITUTE(LEFT(RIGHT(E20,LEN(E20)-MIN(SEARCH({1,2,3,4,5,6,7,8,9,0},E20&amp;"1234567890"))+1),10),".","/")),10)),2)&amp;"/"&amp;RIGHT((SUBSTITUTE(LEFT(RIGHT(E20,LEN(E20)-MIN(SEARCH({1,2,3,4,5,6,7,8,9,0},E20&amp;"1234567890"))+1),10),".","/")),4))))),(AJ20-A20))</f>
        <v>391</v>
      </c>
      <c r="C20" s="334"/>
      <c r="D20" s="294" t="str">
        <f t="shared" si="0"/>
        <v>FGM-J3/2B-001X595</v>
      </c>
      <c r="E20" s="294" t="s">
        <v>3803</v>
      </c>
      <c r="F20" s="294" t="s">
        <v>3804</v>
      </c>
      <c r="G20" s="336" t="s">
        <v>3805</v>
      </c>
      <c r="H20" s="294" t="s">
        <v>29</v>
      </c>
      <c r="I20" s="337" t="s">
        <v>116</v>
      </c>
      <c r="J20" s="149">
        <v>2.2000000000000002</v>
      </c>
      <c r="K20" s="149">
        <v>0.75</v>
      </c>
      <c r="L20" s="149">
        <v>0.73</v>
      </c>
      <c r="M20" s="149">
        <v>0.75</v>
      </c>
      <c r="N20" s="335">
        <v>595</v>
      </c>
      <c r="O20" s="296">
        <v>3.94</v>
      </c>
      <c r="P20" s="345">
        <v>3.9750000000000001</v>
      </c>
      <c r="Q20" s="138" t="s">
        <v>3598</v>
      </c>
      <c r="R20" s="344">
        <f>198*2+158.2+28.4</f>
        <v>582.6</v>
      </c>
      <c r="S20" s="339"/>
      <c r="T20" s="299" t="s">
        <v>3510</v>
      </c>
      <c r="U20" s="282" t="s">
        <v>446</v>
      </c>
      <c r="V20" s="282" t="s">
        <v>3759</v>
      </c>
      <c r="W20" s="282" t="s">
        <v>116</v>
      </c>
      <c r="X20" s="340">
        <v>44238</v>
      </c>
      <c r="Y20" s="340">
        <v>44240</v>
      </c>
      <c r="Z20" s="340">
        <v>44240</v>
      </c>
      <c r="AA20" s="340"/>
      <c r="AB20" s="340"/>
      <c r="AC20" s="341"/>
      <c r="AD20" s="342" t="s">
        <v>64</v>
      </c>
      <c r="AE20" s="342" t="s">
        <v>261</v>
      </c>
      <c r="AF20" s="284" t="s">
        <v>298</v>
      </c>
      <c r="AG20" s="284">
        <v>44177</v>
      </c>
      <c r="AH20" s="284">
        <v>44212</v>
      </c>
      <c r="AI20" s="284"/>
      <c r="AJ20" s="334">
        <f t="shared" ca="1" si="1"/>
        <v>44963</v>
      </c>
      <c r="AK20" s="342">
        <f t="shared" ca="1" si="2"/>
        <v>751</v>
      </c>
      <c r="AL20" s="342">
        <f ca="1">IF(ISNUMBER(Z20)=TRUE,AJ20-Z20,IF(Z20="","",(AJ20)-(MID(RIGHT(Z20,10),4,2)&amp;"/"&amp;LEFT((RIGHT(Z20,10)),2)&amp;"/"&amp;RIGHT(Z20,4))))</f>
        <v>723</v>
      </c>
      <c r="AM20" s="284" t="s">
        <v>3806</v>
      </c>
      <c r="AN20" s="284" t="s">
        <v>3807</v>
      </c>
      <c r="AO20" s="343">
        <v>8.25</v>
      </c>
      <c r="AP20" s="343">
        <v>8.2899999999999991</v>
      </c>
      <c r="AQ20" s="343">
        <v>8.3149999999999977</v>
      </c>
      <c r="AR20" s="343">
        <v>8.3199999999999985</v>
      </c>
      <c r="AS20" s="331">
        <f t="shared" ca="1" si="3"/>
        <v>723</v>
      </c>
      <c r="AV20" s="331" t="s">
        <v>136</v>
      </c>
    </row>
    <row r="21" spans="1:61" s="331" customFormat="1" ht="18" customHeight="1" x14ac:dyDescent="0.35">
      <c r="A21" s="334">
        <v>44574</v>
      </c>
      <c r="B21" s="335">
        <f ca="1">IF(A21="",(IF(ISNUMBER(SUBSTITUTE(LEFT(RIGHT(E21,LEN(E21)-MIN(SEARCH({1,2,3,4,5,6,7,8,9,0},E21&amp;"1234567890"))+1),10),".","/"))=TRUE,AJ21-(SUBSTITUTE(LEFT(RIGHT(E21,LEN(E21)-MIN(SEARCH({1,2,3,4,5,6,7,8,9,0},E21&amp;"1234567890"))+1),10),".","/")),IF((SUBSTITUTE(LEFT(RIGHT(E21,LEN(E21)-MIN(SEARCH({1,2,3,4,5,6,7,8,9,0},E21&amp;"1234567890"))+1),10),".","/"))="","",(AJ21)-(MID(RIGHT((SUBSTITUTE(LEFT(RIGHT(E21,LEN(E21)-MIN(SEARCH({1,2,3,4,5,6,7,8,9,0},E21&amp;"1234567890"))+1),10),".","/")),10),4,2)&amp;"/"&amp;LEFT((RIGHT((SUBSTITUTE(LEFT(RIGHT(E21,LEN(E21)-MIN(SEARCH({1,2,3,4,5,6,7,8,9,0},E21&amp;"1234567890"))+1),10),".","/")),10)),2)&amp;"/"&amp;RIGHT((SUBSTITUTE(LEFT(RIGHT(E21,LEN(E21)-MIN(SEARCH({1,2,3,4,5,6,7,8,9,0},E21&amp;"1234567890"))+1),10),".","/")),4))))),(AJ21-A21))</f>
        <v>389</v>
      </c>
      <c r="C21" s="334"/>
      <c r="D21" s="294" t="str">
        <f t="shared" si="0"/>
        <v>FGC-304/304L/2B-002X115,8</v>
      </c>
      <c r="E21" s="294" t="s">
        <v>3775</v>
      </c>
      <c r="F21" s="294" t="s">
        <v>3808</v>
      </c>
      <c r="G21" s="294" t="s">
        <v>3809</v>
      </c>
      <c r="H21" s="294" t="s">
        <v>377</v>
      </c>
      <c r="I21" s="337" t="s">
        <v>116</v>
      </c>
      <c r="J21" s="149">
        <v>4</v>
      </c>
      <c r="K21" s="149">
        <v>1.9</v>
      </c>
      <c r="L21" s="149">
        <v>1.87</v>
      </c>
      <c r="M21" s="149">
        <v>1.88</v>
      </c>
      <c r="N21" s="335">
        <v>135</v>
      </c>
      <c r="O21" s="296">
        <v>0.755</v>
      </c>
      <c r="P21" s="839">
        <v>4.7850000000000001</v>
      </c>
      <c r="Q21" s="138">
        <v>115.8</v>
      </c>
      <c r="R21" s="339"/>
      <c r="S21" s="339"/>
      <c r="T21" s="299" t="s">
        <v>3510</v>
      </c>
      <c r="U21" s="282" t="s">
        <v>446</v>
      </c>
      <c r="V21" s="282" t="s">
        <v>3778</v>
      </c>
      <c r="W21" s="138" t="s">
        <v>116</v>
      </c>
      <c r="X21" s="340">
        <v>44264</v>
      </c>
      <c r="Y21" s="340">
        <v>44265</v>
      </c>
      <c r="Z21" s="340">
        <v>44268</v>
      </c>
      <c r="AA21" s="340"/>
      <c r="AB21" s="340"/>
      <c r="AC21" s="341"/>
      <c r="AD21" s="342" t="s">
        <v>64</v>
      </c>
      <c r="AE21" s="342" t="s">
        <v>154</v>
      </c>
      <c r="AF21" s="284" t="s">
        <v>380</v>
      </c>
      <c r="AG21" s="284"/>
      <c r="AH21" s="284">
        <v>44257</v>
      </c>
      <c r="AI21" s="284"/>
      <c r="AJ21" s="334">
        <f t="shared" ca="1" si="1"/>
        <v>44963</v>
      </c>
      <c r="AK21" s="342">
        <f t="shared" ca="1" si="2"/>
        <v>706</v>
      </c>
      <c r="AL21" s="342"/>
      <c r="AM21" s="284"/>
      <c r="AN21" s="284" t="s">
        <v>3779</v>
      </c>
      <c r="AO21" s="343">
        <v>10.29</v>
      </c>
      <c r="AP21" s="343">
        <v>10.3</v>
      </c>
      <c r="AQ21" s="343">
        <v>10.324999999999999</v>
      </c>
      <c r="AR21" s="343">
        <v>10.33</v>
      </c>
      <c r="AS21" s="331">
        <f t="shared" ca="1" si="3"/>
        <v>698</v>
      </c>
      <c r="AV21" s="331" t="s">
        <v>136</v>
      </c>
      <c r="AX21" s="331" t="s">
        <v>382</v>
      </c>
      <c r="BI21" s="347" t="s">
        <v>3584</v>
      </c>
    </row>
    <row r="22" spans="1:61" s="331" customFormat="1" ht="18" customHeight="1" x14ac:dyDescent="0.35">
      <c r="A22" s="334">
        <v>44574</v>
      </c>
      <c r="B22" s="335">
        <f ca="1">IF(A22="",(IF(ISNUMBER(SUBSTITUTE(LEFT(RIGHT(E22,LEN(E22)-MIN(SEARCH({1,2,3,4,5,6,7,8,9,0},E22&amp;"1234567890"))+1),10),".","/"))=TRUE,AJ22-(SUBSTITUTE(LEFT(RIGHT(E22,LEN(E22)-MIN(SEARCH({1,2,3,4,5,6,7,8,9,0},E22&amp;"1234567890"))+1),10),".","/")),IF((SUBSTITUTE(LEFT(RIGHT(E22,LEN(E22)-MIN(SEARCH({1,2,3,4,5,6,7,8,9,0},E22&amp;"1234567890"))+1),10),".","/"))="","",(AJ22)-(MID(RIGHT((SUBSTITUTE(LEFT(RIGHT(E22,LEN(E22)-MIN(SEARCH({1,2,3,4,5,6,7,8,9,0},E22&amp;"1234567890"))+1),10),".","/")),10),4,2)&amp;"/"&amp;LEFT((RIGHT((SUBSTITUTE(LEFT(RIGHT(E22,LEN(E22)-MIN(SEARCH({1,2,3,4,5,6,7,8,9,0},E22&amp;"1234567890"))+1),10),".","/")),10)),2)&amp;"/"&amp;RIGHT((SUBSTITUTE(LEFT(RIGHT(E22,LEN(E22)-MIN(SEARCH({1,2,3,4,5,6,7,8,9,0},E22&amp;"1234567890"))+1),10),".","/")),4))))),(AJ22-A22))</f>
        <v>389</v>
      </c>
      <c r="C22" s="334"/>
      <c r="D22" s="294" t="str">
        <f t="shared" si="0"/>
        <v>FGC-304/304L/2B-002X115,8</v>
      </c>
      <c r="E22" s="294" t="s">
        <v>3775</v>
      </c>
      <c r="F22" s="294" t="s">
        <v>3808</v>
      </c>
      <c r="G22" s="294" t="s">
        <v>3810</v>
      </c>
      <c r="H22" s="294" t="s">
        <v>377</v>
      </c>
      <c r="I22" s="337" t="s">
        <v>116</v>
      </c>
      <c r="J22" s="149">
        <v>4</v>
      </c>
      <c r="K22" s="149">
        <v>1.9</v>
      </c>
      <c r="L22" s="149">
        <v>1.87</v>
      </c>
      <c r="M22" s="149">
        <v>1.88</v>
      </c>
      <c r="N22" s="335">
        <v>135</v>
      </c>
      <c r="O22" s="296">
        <v>0.74</v>
      </c>
      <c r="P22" s="841"/>
      <c r="Q22" s="138">
        <v>115.8</v>
      </c>
      <c r="R22" s="339"/>
      <c r="S22" s="339"/>
      <c r="T22" s="299" t="s">
        <v>3510</v>
      </c>
      <c r="U22" s="282" t="s">
        <v>446</v>
      </c>
      <c r="V22" s="282" t="s">
        <v>3778</v>
      </c>
      <c r="W22" s="138" t="s">
        <v>116</v>
      </c>
      <c r="X22" s="340">
        <v>44264</v>
      </c>
      <c r="Y22" s="340">
        <v>44265</v>
      </c>
      <c r="Z22" s="340">
        <v>44268</v>
      </c>
      <c r="AA22" s="340"/>
      <c r="AB22" s="340"/>
      <c r="AC22" s="341"/>
      <c r="AD22" s="342" t="s">
        <v>64</v>
      </c>
      <c r="AE22" s="342" t="s">
        <v>154</v>
      </c>
      <c r="AF22" s="284" t="s">
        <v>380</v>
      </c>
      <c r="AG22" s="284"/>
      <c r="AH22" s="284">
        <v>44257</v>
      </c>
      <c r="AI22" s="284"/>
      <c r="AJ22" s="334">
        <f t="shared" ca="1" si="1"/>
        <v>44963</v>
      </c>
      <c r="AK22" s="342">
        <f t="shared" ca="1" si="2"/>
        <v>706</v>
      </c>
      <c r="AL22" s="342"/>
      <c r="AM22" s="284"/>
      <c r="AN22" s="284" t="s">
        <v>3779</v>
      </c>
      <c r="AO22" s="343">
        <v>10.29</v>
      </c>
      <c r="AP22" s="343">
        <v>10.3</v>
      </c>
      <c r="AQ22" s="343">
        <v>10.324999999999999</v>
      </c>
      <c r="AR22" s="343">
        <v>10.33</v>
      </c>
      <c r="AS22" s="331">
        <f t="shared" ca="1" si="3"/>
        <v>698</v>
      </c>
      <c r="AV22" s="331" t="s">
        <v>136</v>
      </c>
      <c r="AX22" s="331" t="s">
        <v>382</v>
      </c>
      <c r="BI22" s="347" t="s">
        <v>3584</v>
      </c>
    </row>
    <row r="23" spans="1:61" s="331" customFormat="1" ht="18" customHeight="1" x14ac:dyDescent="0.35">
      <c r="A23" s="334">
        <v>44574</v>
      </c>
      <c r="B23" s="335">
        <f ca="1">IF(A23="",(IF(ISNUMBER(SUBSTITUTE(LEFT(RIGHT(E23,LEN(E23)-MIN(SEARCH({1,2,3,4,5,6,7,8,9,0},E23&amp;"1234567890"))+1),10),".","/"))=TRUE,AJ23-(SUBSTITUTE(LEFT(RIGHT(E23,LEN(E23)-MIN(SEARCH({1,2,3,4,5,6,7,8,9,0},E23&amp;"1234567890"))+1),10),".","/")),IF((SUBSTITUTE(LEFT(RIGHT(E23,LEN(E23)-MIN(SEARCH({1,2,3,4,5,6,7,8,9,0},E23&amp;"1234567890"))+1),10),".","/"))="","",(AJ23)-(MID(RIGHT((SUBSTITUTE(LEFT(RIGHT(E23,LEN(E23)-MIN(SEARCH({1,2,3,4,5,6,7,8,9,0},E23&amp;"1234567890"))+1),10),".","/")),10),4,2)&amp;"/"&amp;LEFT((RIGHT((SUBSTITUTE(LEFT(RIGHT(E23,LEN(E23)-MIN(SEARCH({1,2,3,4,5,6,7,8,9,0},E23&amp;"1234567890"))+1),10),".","/")),10)),2)&amp;"/"&amp;RIGHT((SUBSTITUTE(LEFT(RIGHT(E23,LEN(E23)-MIN(SEARCH({1,2,3,4,5,6,7,8,9,0},E23&amp;"1234567890"))+1),10),".","/")),4))))),(AJ23-A23))</f>
        <v>389</v>
      </c>
      <c r="C23" s="334"/>
      <c r="D23" s="294" t="str">
        <f t="shared" si="0"/>
        <v>FGC-304/304L/2B-002X115,8</v>
      </c>
      <c r="E23" s="294" t="s">
        <v>3775</v>
      </c>
      <c r="F23" s="294" t="s">
        <v>3780</v>
      </c>
      <c r="G23" s="294" t="s">
        <v>3811</v>
      </c>
      <c r="H23" s="294" t="s">
        <v>377</v>
      </c>
      <c r="I23" s="337" t="s">
        <v>116</v>
      </c>
      <c r="J23" s="149">
        <v>3.79</v>
      </c>
      <c r="K23" s="149">
        <v>1.9</v>
      </c>
      <c r="L23" s="149">
        <v>1.82</v>
      </c>
      <c r="M23" s="149">
        <v>1.88</v>
      </c>
      <c r="N23" s="335">
        <v>132</v>
      </c>
      <c r="O23" s="296">
        <v>0.75</v>
      </c>
      <c r="P23" s="841"/>
      <c r="Q23" s="138">
        <v>115.8</v>
      </c>
      <c r="R23" s="339"/>
      <c r="S23" s="339"/>
      <c r="T23" s="299" t="s">
        <v>3510</v>
      </c>
      <c r="U23" s="282" t="s">
        <v>446</v>
      </c>
      <c r="V23" s="282" t="s">
        <v>3778</v>
      </c>
      <c r="W23" s="138" t="s">
        <v>116</v>
      </c>
      <c r="X23" s="340">
        <v>44266</v>
      </c>
      <c r="Y23" s="340">
        <v>44266</v>
      </c>
      <c r="Z23" s="340">
        <v>44267</v>
      </c>
      <c r="AA23" s="340"/>
      <c r="AB23" s="340"/>
      <c r="AC23" s="341"/>
      <c r="AD23" s="342" t="s">
        <v>64</v>
      </c>
      <c r="AE23" s="342" t="s">
        <v>154</v>
      </c>
      <c r="AF23" s="284" t="s">
        <v>380</v>
      </c>
      <c r="AG23" s="284"/>
      <c r="AH23" s="284">
        <v>44257</v>
      </c>
      <c r="AI23" s="284"/>
      <c r="AJ23" s="334">
        <f t="shared" ca="1" si="1"/>
        <v>44963</v>
      </c>
      <c r="AK23" s="342">
        <f t="shared" ca="1" si="2"/>
        <v>706</v>
      </c>
      <c r="AL23" s="342"/>
      <c r="AM23" s="284"/>
      <c r="AN23" s="284" t="s">
        <v>381</v>
      </c>
      <c r="AO23" s="343">
        <v>10.3</v>
      </c>
      <c r="AP23" s="343">
        <v>10.31</v>
      </c>
      <c r="AQ23" s="343">
        <v>10.334999999999999</v>
      </c>
      <c r="AR23" s="343">
        <v>10.34</v>
      </c>
      <c r="AS23" s="331">
        <f t="shared" ca="1" si="3"/>
        <v>697</v>
      </c>
      <c r="AV23" s="331" t="s">
        <v>136</v>
      </c>
      <c r="AX23" s="331" t="s">
        <v>382</v>
      </c>
      <c r="BI23" s="347" t="s">
        <v>3572</v>
      </c>
    </row>
    <row r="24" spans="1:61" s="331" customFormat="1" ht="18" customHeight="1" x14ac:dyDescent="0.35">
      <c r="A24" s="334">
        <v>44574</v>
      </c>
      <c r="B24" s="335">
        <f ca="1">IF(A24="",(IF(ISNUMBER(SUBSTITUTE(LEFT(RIGHT(E24,LEN(E24)-MIN(SEARCH({1,2,3,4,5,6,7,8,9,0},E24&amp;"1234567890"))+1),10),".","/"))=TRUE,AJ24-(SUBSTITUTE(LEFT(RIGHT(E24,LEN(E24)-MIN(SEARCH({1,2,3,4,5,6,7,8,9,0},E24&amp;"1234567890"))+1),10),".","/")),IF((SUBSTITUTE(LEFT(RIGHT(E24,LEN(E24)-MIN(SEARCH({1,2,3,4,5,6,7,8,9,0},E24&amp;"1234567890"))+1),10),".","/"))="","",(AJ24)-(MID(RIGHT((SUBSTITUTE(LEFT(RIGHT(E24,LEN(E24)-MIN(SEARCH({1,2,3,4,5,6,7,8,9,0},E24&amp;"1234567890"))+1),10),".","/")),10),4,2)&amp;"/"&amp;LEFT((RIGHT((SUBSTITUTE(LEFT(RIGHT(E24,LEN(E24)-MIN(SEARCH({1,2,3,4,5,6,7,8,9,0},E24&amp;"1234567890"))+1),10),".","/")),10)),2)&amp;"/"&amp;RIGHT((SUBSTITUTE(LEFT(RIGHT(E24,LEN(E24)-MIN(SEARCH({1,2,3,4,5,6,7,8,9,0},E24&amp;"1234567890"))+1),10),".","/")),4))))),(AJ24-A24))</f>
        <v>389</v>
      </c>
      <c r="C24" s="334"/>
      <c r="D24" s="294" t="str">
        <f t="shared" si="0"/>
        <v>FGC-304/304L/2B-002X115,8</v>
      </c>
      <c r="E24" s="294" t="s">
        <v>3782</v>
      </c>
      <c r="F24" s="294" t="s">
        <v>3812</v>
      </c>
      <c r="G24" s="294" t="s">
        <v>3813</v>
      </c>
      <c r="H24" s="294" t="s">
        <v>377</v>
      </c>
      <c r="I24" s="337" t="s">
        <v>116</v>
      </c>
      <c r="J24" s="149">
        <v>3.99</v>
      </c>
      <c r="K24" s="149">
        <v>1.9</v>
      </c>
      <c r="L24" s="149">
        <v>1.9</v>
      </c>
      <c r="M24" s="149">
        <v>1.91</v>
      </c>
      <c r="N24" s="335">
        <v>130</v>
      </c>
      <c r="O24" s="296">
        <v>0.86</v>
      </c>
      <c r="P24" s="841"/>
      <c r="Q24" s="138">
        <v>115.8</v>
      </c>
      <c r="R24" s="348"/>
      <c r="S24" s="339"/>
      <c r="T24" s="299" t="s">
        <v>3510</v>
      </c>
      <c r="U24" s="282" t="s">
        <v>446</v>
      </c>
      <c r="V24" s="282" t="s">
        <v>3778</v>
      </c>
      <c r="W24" s="138" t="s">
        <v>116</v>
      </c>
      <c r="X24" s="340">
        <v>44265</v>
      </c>
      <c r="Y24" s="340">
        <v>44265</v>
      </c>
      <c r="Z24" s="340">
        <v>44266</v>
      </c>
      <c r="AA24" s="340"/>
      <c r="AB24" s="340"/>
      <c r="AC24" s="341"/>
      <c r="AD24" s="342" t="s">
        <v>64</v>
      </c>
      <c r="AE24" s="342" t="s">
        <v>154</v>
      </c>
      <c r="AF24" s="284" t="s">
        <v>380</v>
      </c>
      <c r="AG24" s="284"/>
      <c r="AH24" s="284">
        <v>44257</v>
      </c>
      <c r="AI24" s="284"/>
      <c r="AJ24" s="334">
        <f t="shared" ca="1" si="1"/>
        <v>44963</v>
      </c>
      <c r="AK24" s="342">
        <f t="shared" ca="1" si="2"/>
        <v>706</v>
      </c>
      <c r="AL24" s="342"/>
      <c r="AM24" s="284"/>
      <c r="AN24" s="284" t="s">
        <v>3814</v>
      </c>
      <c r="AO24" s="343">
        <v>11.87</v>
      </c>
      <c r="AP24" s="343">
        <v>11.88</v>
      </c>
      <c r="AQ24" s="343">
        <v>11.904999999999999</v>
      </c>
      <c r="AR24" s="343">
        <v>11.91</v>
      </c>
      <c r="AS24" s="331">
        <f t="shared" ca="1" si="3"/>
        <v>698</v>
      </c>
      <c r="AV24" s="331" t="s">
        <v>136</v>
      </c>
      <c r="AX24" s="331" t="s">
        <v>382</v>
      </c>
      <c r="BI24" s="347" t="s">
        <v>3584</v>
      </c>
    </row>
    <row r="25" spans="1:61" s="331" customFormat="1" ht="18" customHeight="1" x14ac:dyDescent="0.35">
      <c r="A25" s="334">
        <v>44574</v>
      </c>
      <c r="B25" s="335">
        <f ca="1">IF(A25="",(IF(ISNUMBER(SUBSTITUTE(LEFT(RIGHT(E25,LEN(E25)-MIN(SEARCH({1,2,3,4,5,6,7,8,9,0},E25&amp;"1234567890"))+1),10),".","/"))=TRUE,AJ25-(SUBSTITUTE(LEFT(RIGHT(E25,LEN(E25)-MIN(SEARCH({1,2,3,4,5,6,7,8,9,0},E25&amp;"1234567890"))+1),10),".","/")),IF((SUBSTITUTE(LEFT(RIGHT(E25,LEN(E25)-MIN(SEARCH({1,2,3,4,5,6,7,8,9,0},E25&amp;"1234567890"))+1),10),".","/"))="","",(AJ25)-(MID(RIGHT((SUBSTITUTE(LEFT(RIGHT(E25,LEN(E25)-MIN(SEARCH({1,2,3,4,5,6,7,8,9,0},E25&amp;"1234567890"))+1),10),".","/")),10),4,2)&amp;"/"&amp;LEFT((RIGHT((SUBSTITUTE(LEFT(RIGHT(E25,LEN(E25)-MIN(SEARCH({1,2,3,4,5,6,7,8,9,0},E25&amp;"1234567890"))+1),10),".","/")),10)),2)&amp;"/"&amp;RIGHT((SUBSTITUTE(LEFT(RIGHT(E25,LEN(E25)-MIN(SEARCH({1,2,3,4,5,6,7,8,9,0},E25&amp;"1234567890"))+1),10),".","/")),4))))),(AJ25-A25))</f>
        <v>389</v>
      </c>
      <c r="C25" s="334"/>
      <c r="D25" s="294" t="str">
        <f t="shared" si="0"/>
        <v>FGC-304/304L/2B-002X115,8</v>
      </c>
      <c r="E25" s="294" t="s">
        <v>3782</v>
      </c>
      <c r="F25" s="294" t="s">
        <v>3812</v>
      </c>
      <c r="G25" s="294" t="s">
        <v>3815</v>
      </c>
      <c r="H25" s="294" t="s">
        <v>377</v>
      </c>
      <c r="I25" s="337" t="s">
        <v>116</v>
      </c>
      <c r="J25" s="149">
        <v>3.99</v>
      </c>
      <c r="K25" s="149">
        <v>1.9</v>
      </c>
      <c r="L25" s="149">
        <v>1.9</v>
      </c>
      <c r="M25" s="149">
        <v>1.91</v>
      </c>
      <c r="N25" s="335">
        <v>125</v>
      </c>
      <c r="O25" s="296">
        <v>0.875</v>
      </c>
      <c r="P25" s="841"/>
      <c r="Q25" s="138">
        <v>115.8</v>
      </c>
      <c r="R25" s="348"/>
      <c r="S25" s="339"/>
      <c r="T25" s="299" t="s">
        <v>3510</v>
      </c>
      <c r="U25" s="282" t="s">
        <v>446</v>
      </c>
      <c r="V25" s="282" t="s">
        <v>3778</v>
      </c>
      <c r="W25" s="138" t="s">
        <v>116</v>
      </c>
      <c r="X25" s="340">
        <v>44265</v>
      </c>
      <c r="Y25" s="340">
        <v>44265</v>
      </c>
      <c r="Z25" s="340">
        <v>44266</v>
      </c>
      <c r="AA25" s="340"/>
      <c r="AB25" s="340"/>
      <c r="AC25" s="341"/>
      <c r="AD25" s="342" t="s">
        <v>64</v>
      </c>
      <c r="AE25" s="342" t="s">
        <v>154</v>
      </c>
      <c r="AF25" s="284" t="s">
        <v>380</v>
      </c>
      <c r="AG25" s="284"/>
      <c r="AH25" s="284">
        <v>44257</v>
      </c>
      <c r="AI25" s="284"/>
      <c r="AJ25" s="334">
        <f t="shared" ca="1" si="1"/>
        <v>44963</v>
      </c>
      <c r="AK25" s="342">
        <f t="shared" ca="1" si="2"/>
        <v>706</v>
      </c>
      <c r="AL25" s="342"/>
      <c r="AM25" s="284"/>
      <c r="AN25" s="284" t="s">
        <v>3814</v>
      </c>
      <c r="AO25" s="343">
        <v>11.87</v>
      </c>
      <c r="AP25" s="343">
        <v>11.88</v>
      </c>
      <c r="AQ25" s="343">
        <v>11.904999999999999</v>
      </c>
      <c r="AR25" s="343">
        <v>11.91</v>
      </c>
      <c r="AS25" s="331">
        <f t="shared" ca="1" si="3"/>
        <v>698</v>
      </c>
      <c r="AV25" s="331" t="s">
        <v>136</v>
      </c>
      <c r="AX25" s="331" t="s">
        <v>382</v>
      </c>
      <c r="BI25" s="347" t="s">
        <v>3584</v>
      </c>
    </row>
    <row r="26" spans="1:61" s="331" customFormat="1" ht="18" customHeight="1" x14ac:dyDescent="0.35">
      <c r="A26" s="334">
        <v>44585</v>
      </c>
      <c r="B26" s="335">
        <f ca="1">IF(A26="",(IF(ISNUMBER(SUBSTITUTE(LEFT(RIGHT(E26,LEN(E26)-MIN(SEARCH({1,2,3,4,5,6,7,8,9,0},E26&amp;"1234567890"))+1),10),".","/"))=TRUE,AJ26-(SUBSTITUTE(LEFT(RIGHT(E26,LEN(E26)-MIN(SEARCH({1,2,3,4,5,6,7,8,9,0},E26&amp;"1234567890"))+1),10),".","/")),IF((SUBSTITUTE(LEFT(RIGHT(E26,LEN(E26)-MIN(SEARCH({1,2,3,4,5,6,7,8,9,0},E26&amp;"1234567890"))+1),10),".","/"))="","",(AJ26)-(MID(RIGHT((SUBSTITUTE(LEFT(RIGHT(E26,LEN(E26)-MIN(SEARCH({1,2,3,4,5,6,7,8,9,0},E26&amp;"1234567890"))+1),10),".","/")),10),4,2)&amp;"/"&amp;LEFT((RIGHT((SUBSTITUTE(LEFT(RIGHT(E26,LEN(E26)-MIN(SEARCH({1,2,3,4,5,6,7,8,9,0},E26&amp;"1234567890"))+1),10),".","/")),10)),2)&amp;"/"&amp;RIGHT((SUBSTITUTE(LEFT(RIGHT(E26,LEN(E26)-MIN(SEARCH({1,2,3,4,5,6,7,8,9,0},E26&amp;"1234567890"))+1),10),".","/")),4))))),(AJ26-A26))</f>
        <v>378</v>
      </c>
      <c r="C26" s="334"/>
      <c r="D26" s="294" t="str">
        <f t="shared" si="0"/>
        <v>FGC-304/304L/2B-002X115,8</v>
      </c>
      <c r="E26" s="294" t="s">
        <v>3782</v>
      </c>
      <c r="F26" s="294" t="s">
        <v>3787</v>
      </c>
      <c r="G26" s="294" t="s">
        <v>3816</v>
      </c>
      <c r="H26" s="294" t="s">
        <v>377</v>
      </c>
      <c r="I26" s="337" t="s">
        <v>116</v>
      </c>
      <c r="J26" s="149">
        <v>3.99</v>
      </c>
      <c r="K26" s="149">
        <v>2</v>
      </c>
      <c r="L26" s="149">
        <v>2</v>
      </c>
      <c r="M26" s="149">
        <v>2.0299999999999998</v>
      </c>
      <c r="N26" s="335">
        <v>129</v>
      </c>
      <c r="O26" s="296">
        <v>0.76500000000000001</v>
      </c>
      <c r="P26" s="840"/>
      <c r="Q26" s="138">
        <v>115.8</v>
      </c>
      <c r="R26" s="348"/>
      <c r="S26" s="339"/>
      <c r="T26" s="299" t="s">
        <v>3510</v>
      </c>
      <c r="U26" s="282" t="s">
        <v>446</v>
      </c>
      <c r="V26" s="282" t="s">
        <v>3778</v>
      </c>
      <c r="W26" s="138" t="s">
        <v>116</v>
      </c>
      <c r="X26" s="340">
        <v>44265</v>
      </c>
      <c r="Y26" s="340">
        <v>44265</v>
      </c>
      <c r="Z26" s="340">
        <v>44266</v>
      </c>
      <c r="AA26" s="340"/>
      <c r="AB26" s="340"/>
      <c r="AC26" s="341"/>
      <c r="AD26" s="342" t="s">
        <v>64</v>
      </c>
      <c r="AE26" s="342" t="s">
        <v>154</v>
      </c>
      <c r="AF26" s="284" t="s">
        <v>380</v>
      </c>
      <c r="AG26" s="284"/>
      <c r="AH26" s="284">
        <v>44257</v>
      </c>
      <c r="AI26" s="284"/>
      <c r="AJ26" s="334">
        <f t="shared" ca="1" si="1"/>
        <v>44963</v>
      </c>
      <c r="AK26" s="342">
        <f t="shared" ca="1" si="2"/>
        <v>706</v>
      </c>
      <c r="AL26" s="342"/>
      <c r="AM26" s="284"/>
      <c r="AN26" s="284" t="s">
        <v>3789</v>
      </c>
      <c r="AO26" s="343">
        <v>10.175000000000001</v>
      </c>
      <c r="AP26" s="343">
        <v>10.185</v>
      </c>
      <c r="AQ26" s="343">
        <v>10.209999999999999</v>
      </c>
      <c r="AR26" s="343">
        <v>10.215</v>
      </c>
      <c r="AS26" s="331">
        <f t="shared" ca="1" si="3"/>
        <v>698</v>
      </c>
      <c r="AV26" s="331" t="s">
        <v>136</v>
      </c>
      <c r="AX26" s="331" t="s">
        <v>382</v>
      </c>
      <c r="BI26" s="347"/>
    </row>
    <row r="27" spans="1:61" s="331" customFormat="1" ht="18" customHeight="1" x14ac:dyDescent="0.35">
      <c r="A27" s="334"/>
      <c r="B27" s="335">
        <f ca="1">IF(A27="",(IF(ISNUMBER(SUBSTITUTE(LEFT(RIGHT(E27,LEN(E27)-MIN(SEARCH({1,2,3,4,5,6,7,8,9,0},E27&amp;"1234567890"))+1),10),".","/"))=TRUE,AJ27-(SUBSTITUTE(LEFT(RIGHT(E27,LEN(E27)-MIN(SEARCH({1,2,3,4,5,6,7,8,9,0},E27&amp;"1234567890"))+1),10),".","/")),IF((SUBSTITUTE(LEFT(RIGHT(E27,LEN(E27)-MIN(SEARCH({1,2,3,4,5,6,7,8,9,0},E27&amp;"1234567890"))+1),10),".","/"))="","",(AJ27)-(MID(RIGHT((SUBSTITUTE(LEFT(RIGHT(E27,LEN(E27)-MIN(SEARCH({1,2,3,4,5,6,7,8,9,0},E27&amp;"1234567890"))+1),10),".","/")),10),4,2)&amp;"/"&amp;LEFT((RIGHT((SUBSTITUTE(LEFT(RIGHT(E27,LEN(E27)-MIN(SEARCH({1,2,3,4,5,6,7,8,9,0},E27&amp;"1234567890"))+1),10),".","/")),10)),2)&amp;"/"&amp;RIGHT((SUBSTITUTE(LEFT(RIGHT(E27,LEN(E27)-MIN(SEARCH({1,2,3,4,5,6,7,8,9,0},E27&amp;"1234567890"))+1),10),".","/")),4))))),(AJ27-A27))</f>
        <v>97</v>
      </c>
      <c r="C27" s="334"/>
      <c r="D27" s="294" t="str">
        <f t="shared" si="0"/>
        <v>FGC-304/2B-001X56,8</v>
      </c>
      <c r="E27" s="294" t="s">
        <v>3775</v>
      </c>
      <c r="F27" s="294" t="s">
        <v>3573</v>
      </c>
      <c r="G27" s="294" t="s">
        <v>3817</v>
      </c>
      <c r="H27" s="294">
        <v>304</v>
      </c>
      <c r="I27" s="337" t="s">
        <v>116</v>
      </c>
      <c r="J27" s="149">
        <v>2.8</v>
      </c>
      <c r="K27" s="149">
        <v>1.35</v>
      </c>
      <c r="L27" s="149">
        <v>1.33</v>
      </c>
      <c r="M27" s="149">
        <v>1.36</v>
      </c>
      <c r="N27" s="335">
        <v>75</v>
      </c>
      <c r="O27" s="296">
        <v>0.34</v>
      </c>
      <c r="P27" s="345"/>
      <c r="Q27" s="138">
        <v>56.8</v>
      </c>
      <c r="R27" s="339"/>
      <c r="S27" s="339"/>
      <c r="T27" s="299" t="s">
        <v>3510</v>
      </c>
      <c r="U27" s="282" t="s">
        <v>446</v>
      </c>
      <c r="V27" s="282" t="s">
        <v>3541</v>
      </c>
      <c r="W27" s="138" t="s">
        <v>208</v>
      </c>
      <c r="X27" s="340">
        <v>43166</v>
      </c>
      <c r="Y27" s="340">
        <v>43166</v>
      </c>
      <c r="Z27" s="340">
        <v>43170</v>
      </c>
      <c r="AA27" s="340"/>
      <c r="AB27" s="340"/>
      <c r="AC27" s="341"/>
      <c r="AD27" s="342" t="s">
        <v>64</v>
      </c>
      <c r="AE27" s="342" t="s">
        <v>3542</v>
      </c>
      <c r="AF27" s="284" t="s">
        <v>3549</v>
      </c>
      <c r="AG27" s="284">
        <v>43120</v>
      </c>
      <c r="AH27" s="284">
        <v>43145</v>
      </c>
      <c r="AI27" s="284"/>
      <c r="AJ27" s="334">
        <f t="shared" ca="1" si="1"/>
        <v>44963</v>
      </c>
      <c r="AK27" s="342">
        <f t="shared" ca="1" si="2"/>
        <v>1818</v>
      </c>
      <c r="AL27" s="342"/>
      <c r="AM27" s="284" t="s">
        <v>3575</v>
      </c>
      <c r="AN27" s="284" t="s">
        <v>3573</v>
      </c>
      <c r="AO27" s="343">
        <v>9.17</v>
      </c>
      <c r="AP27" s="343">
        <v>9.1999999999999993</v>
      </c>
      <c r="AQ27" s="343">
        <v>9.1949999999999985</v>
      </c>
      <c r="AR27" s="343">
        <v>9.1999999999999993</v>
      </c>
      <c r="AW27" s="331" t="s">
        <v>136</v>
      </c>
      <c r="BE27" s="331" t="s">
        <v>125</v>
      </c>
      <c r="BH27" s="331" t="s">
        <v>3514</v>
      </c>
      <c r="BI27" s="347" t="s">
        <v>3572</v>
      </c>
    </row>
    <row r="28" spans="1:61" s="331" customFormat="1" ht="18" customHeight="1" x14ac:dyDescent="0.35">
      <c r="A28" s="334"/>
      <c r="B28" s="335">
        <f ca="1">IF(A28="",(IF(ISNUMBER(SUBSTITUTE(LEFT(RIGHT(E28,LEN(E28)-MIN(SEARCH({1,2,3,4,5,6,7,8,9,0},E28&amp;"1234567890"))+1),10),".","/"))=TRUE,AJ28-(SUBSTITUTE(LEFT(RIGHT(E28,LEN(E28)-MIN(SEARCH({1,2,3,4,5,6,7,8,9,0},E28&amp;"1234567890"))+1),10),".","/")),IF((SUBSTITUTE(LEFT(RIGHT(E28,LEN(E28)-MIN(SEARCH({1,2,3,4,5,6,7,8,9,0},E28&amp;"1234567890"))+1),10),".","/"))="","",(AJ28)-(MID(RIGHT((SUBSTITUTE(LEFT(RIGHT(E28,LEN(E28)-MIN(SEARCH({1,2,3,4,5,6,7,8,9,0},E28&amp;"1234567890"))+1),10),".","/")),10),4,2)&amp;"/"&amp;LEFT((RIGHT((SUBSTITUTE(LEFT(RIGHT(E28,LEN(E28)-MIN(SEARCH({1,2,3,4,5,6,7,8,9,0},E28&amp;"1234567890"))+1),10),".","/")),10)),2)&amp;"/"&amp;RIGHT((SUBSTITUTE(LEFT(RIGHT(E28,LEN(E28)-MIN(SEARCH({1,2,3,4,5,6,7,8,9,0},E28&amp;"1234567890"))+1),10),".","/")),4))))),(AJ28-A28))</f>
        <v>97</v>
      </c>
      <c r="C28" s="334"/>
      <c r="D28" s="294" t="str">
        <f t="shared" si="0"/>
        <v>FGC-304/2B-001X56,8</v>
      </c>
      <c r="E28" s="294" t="s">
        <v>3775</v>
      </c>
      <c r="F28" s="294" t="s">
        <v>3818</v>
      </c>
      <c r="G28" s="294" t="s">
        <v>3819</v>
      </c>
      <c r="H28" s="294">
        <v>304</v>
      </c>
      <c r="I28" s="337" t="s">
        <v>116</v>
      </c>
      <c r="J28" s="149">
        <v>2.8</v>
      </c>
      <c r="K28" s="149">
        <v>1.35</v>
      </c>
      <c r="L28" s="149">
        <v>1.35</v>
      </c>
      <c r="M28" s="149">
        <v>1.36</v>
      </c>
      <c r="N28" s="335">
        <v>75</v>
      </c>
      <c r="O28" s="296">
        <v>0.34499999999999997</v>
      </c>
      <c r="P28" s="345"/>
      <c r="Q28" s="138">
        <v>56.8</v>
      </c>
      <c r="R28" s="339"/>
      <c r="S28" s="339"/>
      <c r="T28" s="299" t="s">
        <v>3510</v>
      </c>
      <c r="U28" s="282" t="s">
        <v>446</v>
      </c>
      <c r="V28" s="282" t="s">
        <v>3541</v>
      </c>
      <c r="W28" s="138" t="s">
        <v>208</v>
      </c>
      <c r="X28" s="340">
        <v>43168</v>
      </c>
      <c r="Y28" s="340">
        <v>43168</v>
      </c>
      <c r="Z28" s="340">
        <v>43189</v>
      </c>
      <c r="AA28" s="340"/>
      <c r="AB28" s="340"/>
      <c r="AC28" s="341"/>
      <c r="AD28" s="342" t="s">
        <v>64</v>
      </c>
      <c r="AE28" s="342" t="s">
        <v>3542</v>
      </c>
      <c r="AF28" s="284" t="s">
        <v>3543</v>
      </c>
      <c r="AG28" s="284">
        <v>43113</v>
      </c>
      <c r="AH28" s="284">
        <v>43146</v>
      </c>
      <c r="AI28" s="284"/>
      <c r="AJ28" s="334">
        <f t="shared" ca="1" si="1"/>
        <v>44963</v>
      </c>
      <c r="AK28" s="342">
        <f t="shared" ca="1" si="2"/>
        <v>1817</v>
      </c>
      <c r="AL28" s="342"/>
      <c r="AM28" s="284" t="s">
        <v>3820</v>
      </c>
      <c r="AN28" s="284" t="s">
        <v>3818</v>
      </c>
      <c r="AO28" s="343">
        <v>9.2040000000000006</v>
      </c>
      <c r="AP28" s="343">
        <v>9.234</v>
      </c>
      <c r="AQ28" s="343">
        <v>9.2299999999999986</v>
      </c>
      <c r="AR28" s="343">
        <v>9.2349999999999994</v>
      </c>
      <c r="AW28" s="331" t="s">
        <v>136</v>
      </c>
      <c r="BE28" s="331" t="s">
        <v>125</v>
      </c>
      <c r="BH28" s="331" t="s">
        <v>3514</v>
      </c>
      <c r="BI28" s="347" t="s">
        <v>3572</v>
      </c>
    </row>
    <row r="29" spans="1:61" s="331" customFormat="1" ht="18" customHeight="1" x14ac:dyDescent="0.35">
      <c r="A29" s="334"/>
      <c r="B29" s="335">
        <f ca="1">IF(A29="",(IF(ISNUMBER(SUBSTITUTE(LEFT(RIGHT(E29,LEN(E29)-MIN(SEARCH({1,2,3,4,5,6,7,8,9,0},E29&amp;"1234567890"))+1),10),".","/"))=TRUE,AJ29-(SUBSTITUTE(LEFT(RIGHT(E29,LEN(E29)-MIN(SEARCH({1,2,3,4,5,6,7,8,9,0},E29&amp;"1234567890"))+1),10),".","/")),IF((SUBSTITUTE(LEFT(RIGHT(E29,LEN(E29)-MIN(SEARCH({1,2,3,4,5,6,7,8,9,0},E29&amp;"1234567890"))+1),10),".","/"))="","",(AJ29)-(MID(RIGHT((SUBSTITUTE(LEFT(RIGHT(E29,LEN(E29)-MIN(SEARCH({1,2,3,4,5,6,7,8,9,0},E29&amp;"1234567890"))+1),10),".","/")),10),4,2)&amp;"/"&amp;LEFT((RIGHT((SUBSTITUTE(LEFT(RIGHT(E29,LEN(E29)-MIN(SEARCH({1,2,3,4,5,6,7,8,9,0},E29&amp;"1234567890"))+1),10),".","/")),10)),2)&amp;"/"&amp;RIGHT((SUBSTITUTE(LEFT(RIGHT(E29,LEN(E29)-MIN(SEARCH({1,2,3,4,5,6,7,8,9,0},E29&amp;"1234567890"))+1),10),".","/")),4))))),(AJ29-A29))</f>
        <v>97</v>
      </c>
      <c r="C29" s="334"/>
      <c r="D29" s="294" t="str">
        <f t="shared" si="0"/>
        <v>FGC-304/2B-001X56,8</v>
      </c>
      <c r="E29" s="294" t="s">
        <v>3775</v>
      </c>
      <c r="F29" s="294" t="s">
        <v>3818</v>
      </c>
      <c r="G29" s="294" t="s">
        <v>3821</v>
      </c>
      <c r="H29" s="294">
        <v>304</v>
      </c>
      <c r="I29" s="337" t="s">
        <v>116</v>
      </c>
      <c r="J29" s="149">
        <v>2.8</v>
      </c>
      <c r="K29" s="149">
        <v>1.35</v>
      </c>
      <c r="L29" s="149">
        <v>1.35</v>
      </c>
      <c r="M29" s="149">
        <v>1.36</v>
      </c>
      <c r="N29" s="335">
        <v>75</v>
      </c>
      <c r="O29" s="296">
        <v>0.34499999999999997</v>
      </c>
      <c r="P29" s="345"/>
      <c r="Q29" s="138">
        <v>56.8</v>
      </c>
      <c r="R29" s="339"/>
      <c r="S29" s="339"/>
      <c r="T29" s="299" t="s">
        <v>3510</v>
      </c>
      <c r="U29" s="282" t="s">
        <v>446</v>
      </c>
      <c r="V29" s="282" t="s">
        <v>3541</v>
      </c>
      <c r="W29" s="138" t="s">
        <v>208</v>
      </c>
      <c r="X29" s="340">
        <v>43168</v>
      </c>
      <c r="Y29" s="340">
        <v>43168</v>
      </c>
      <c r="Z29" s="340">
        <v>43189</v>
      </c>
      <c r="AA29" s="340"/>
      <c r="AB29" s="340"/>
      <c r="AC29" s="341"/>
      <c r="AD29" s="342" t="s">
        <v>64</v>
      </c>
      <c r="AE29" s="342" t="s">
        <v>3542</v>
      </c>
      <c r="AF29" s="284" t="s">
        <v>3543</v>
      </c>
      <c r="AG29" s="284">
        <v>43113</v>
      </c>
      <c r="AH29" s="284">
        <v>43146</v>
      </c>
      <c r="AI29" s="284"/>
      <c r="AJ29" s="334">
        <f t="shared" ca="1" si="1"/>
        <v>44963</v>
      </c>
      <c r="AK29" s="342">
        <f t="shared" ca="1" si="2"/>
        <v>1817</v>
      </c>
      <c r="AL29" s="342"/>
      <c r="AM29" s="284" t="s">
        <v>3820</v>
      </c>
      <c r="AN29" s="284" t="s">
        <v>3818</v>
      </c>
      <c r="AO29" s="343">
        <v>9.2040000000000006</v>
      </c>
      <c r="AP29" s="343">
        <v>9.234</v>
      </c>
      <c r="AQ29" s="343">
        <v>9.2299999999999986</v>
      </c>
      <c r="AR29" s="343">
        <v>9.2349999999999994</v>
      </c>
      <c r="AW29" s="331" t="s">
        <v>136</v>
      </c>
      <c r="BE29" s="331" t="s">
        <v>125</v>
      </c>
      <c r="BH29" s="331" t="s">
        <v>3514</v>
      </c>
      <c r="BI29" s="347" t="s">
        <v>3572</v>
      </c>
    </row>
    <row r="30" spans="1:61" s="331" customFormat="1" ht="18" customHeight="1" x14ac:dyDescent="0.35">
      <c r="A30" s="334"/>
      <c r="B30" s="335">
        <f ca="1">IF(A30="",(IF(ISNUMBER(SUBSTITUTE(LEFT(RIGHT(E30,LEN(E30)-MIN(SEARCH({1,2,3,4,5,6,7,8,9,0},E30&amp;"1234567890"))+1),10),".","/"))=TRUE,AJ30-(SUBSTITUTE(LEFT(RIGHT(E30,LEN(E30)-MIN(SEARCH({1,2,3,4,5,6,7,8,9,0},E30&amp;"1234567890"))+1),10),".","/")),IF((SUBSTITUTE(LEFT(RIGHT(E30,LEN(E30)-MIN(SEARCH({1,2,3,4,5,6,7,8,9,0},E30&amp;"1234567890"))+1),10),".","/"))="","",(AJ30)-(MID(RIGHT((SUBSTITUTE(LEFT(RIGHT(E30,LEN(E30)-MIN(SEARCH({1,2,3,4,5,6,7,8,9,0},E30&amp;"1234567890"))+1),10),".","/")),10),4,2)&amp;"/"&amp;LEFT((RIGHT((SUBSTITUTE(LEFT(RIGHT(E30,LEN(E30)-MIN(SEARCH({1,2,3,4,5,6,7,8,9,0},E30&amp;"1234567890"))+1),10),".","/")),10)),2)&amp;"/"&amp;RIGHT((SUBSTITUTE(LEFT(RIGHT(E30,LEN(E30)-MIN(SEARCH({1,2,3,4,5,6,7,8,9,0},E30&amp;"1234567890"))+1),10),".","/")),4))))),(AJ30-A30))</f>
        <v>97</v>
      </c>
      <c r="C30" s="334"/>
      <c r="D30" s="294" t="str">
        <f t="shared" si="0"/>
        <v>FGC-304/2B-001X56,8</v>
      </c>
      <c r="E30" s="294" t="s">
        <v>3775</v>
      </c>
      <c r="F30" s="294" t="s">
        <v>3554</v>
      </c>
      <c r="G30" s="294" t="s">
        <v>3822</v>
      </c>
      <c r="H30" s="294">
        <v>304</v>
      </c>
      <c r="I30" s="337" t="s">
        <v>116</v>
      </c>
      <c r="J30" s="149">
        <v>2.8</v>
      </c>
      <c r="K30" s="149">
        <v>1.35</v>
      </c>
      <c r="L30" s="149">
        <v>1.31</v>
      </c>
      <c r="M30" s="149">
        <v>1.35</v>
      </c>
      <c r="N30" s="335">
        <v>75</v>
      </c>
      <c r="O30" s="296">
        <v>0.34</v>
      </c>
      <c r="P30" s="345"/>
      <c r="Q30" s="138">
        <v>56.8</v>
      </c>
      <c r="R30" s="339"/>
      <c r="S30" s="339"/>
      <c r="T30" s="299" t="s">
        <v>3510</v>
      </c>
      <c r="U30" s="282" t="s">
        <v>446</v>
      </c>
      <c r="V30" s="282" t="s">
        <v>3541</v>
      </c>
      <c r="W30" s="138" t="s">
        <v>208</v>
      </c>
      <c r="X30" s="340">
        <v>43168</v>
      </c>
      <c r="Y30" s="340">
        <v>43168</v>
      </c>
      <c r="Z30" s="340">
        <v>43170</v>
      </c>
      <c r="AA30" s="340"/>
      <c r="AB30" s="340"/>
      <c r="AC30" s="341"/>
      <c r="AD30" s="342" t="s">
        <v>64</v>
      </c>
      <c r="AE30" s="342" t="s">
        <v>3542</v>
      </c>
      <c r="AF30" s="284" t="s">
        <v>3543</v>
      </c>
      <c r="AG30" s="284">
        <v>43113</v>
      </c>
      <c r="AH30" s="284">
        <v>43146</v>
      </c>
      <c r="AI30" s="284"/>
      <c r="AJ30" s="334">
        <f t="shared" ca="1" si="1"/>
        <v>44963</v>
      </c>
      <c r="AK30" s="342">
        <f t="shared" ca="1" si="2"/>
        <v>1817</v>
      </c>
      <c r="AL30" s="342"/>
      <c r="AM30" s="284" t="s">
        <v>3556</v>
      </c>
      <c r="AN30" s="284" t="s">
        <v>3554</v>
      </c>
      <c r="AO30" s="343">
        <v>9.0519999999999996</v>
      </c>
      <c r="AP30" s="343">
        <v>9.081999999999999</v>
      </c>
      <c r="AQ30" s="343">
        <v>9.0849999999999991</v>
      </c>
      <c r="AR30" s="343">
        <v>9.09</v>
      </c>
      <c r="AW30" s="331" t="s">
        <v>136</v>
      </c>
      <c r="BE30" s="331" t="s">
        <v>125</v>
      </c>
      <c r="BH30" s="331" t="s">
        <v>3514</v>
      </c>
      <c r="BI30" s="347" t="s">
        <v>3572</v>
      </c>
    </row>
    <row r="31" spans="1:61" s="331" customFormat="1" ht="18" customHeight="1" x14ac:dyDescent="0.35">
      <c r="A31" s="334"/>
      <c r="B31" s="335">
        <f ca="1">IF(A31="",(IF(ISNUMBER(SUBSTITUTE(LEFT(RIGHT(E31,LEN(E31)-MIN(SEARCH({1,2,3,4,5,6,7,8,9,0},E31&amp;"1234567890"))+1),10),".","/"))=TRUE,AJ31-(SUBSTITUTE(LEFT(RIGHT(E31,LEN(E31)-MIN(SEARCH({1,2,3,4,5,6,7,8,9,0},E31&amp;"1234567890"))+1),10),".","/")),IF((SUBSTITUTE(LEFT(RIGHT(E31,LEN(E31)-MIN(SEARCH({1,2,3,4,5,6,7,8,9,0},E31&amp;"1234567890"))+1),10),".","/"))="","",(AJ31)-(MID(RIGHT((SUBSTITUTE(LEFT(RIGHT(E31,LEN(E31)-MIN(SEARCH({1,2,3,4,5,6,7,8,9,0},E31&amp;"1234567890"))+1),10),".","/")),10),4,2)&amp;"/"&amp;LEFT((RIGHT((SUBSTITUTE(LEFT(RIGHT(E31,LEN(E31)-MIN(SEARCH({1,2,3,4,5,6,7,8,9,0},E31&amp;"1234567890"))+1),10),".","/")),10)),2)&amp;"/"&amp;RIGHT((SUBSTITUTE(LEFT(RIGHT(E31,LEN(E31)-MIN(SEARCH({1,2,3,4,5,6,7,8,9,0},E31&amp;"1234567890"))+1),10),".","/")),4))))),(AJ31-A31))</f>
        <v>188</v>
      </c>
      <c r="C31" s="334"/>
      <c r="D31" s="294" t="str">
        <f t="shared" si="0"/>
        <v>FGM-304L/2B-001X58,6</v>
      </c>
      <c r="E31" s="294" t="s">
        <v>3506</v>
      </c>
      <c r="F31" s="294" t="s">
        <v>3507</v>
      </c>
      <c r="G31" s="143" t="s">
        <v>3508</v>
      </c>
      <c r="H31" s="294" t="s">
        <v>230</v>
      </c>
      <c r="I31" s="337" t="s">
        <v>116</v>
      </c>
      <c r="J31" s="149">
        <v>3.25</v>
      </c>
      <c r="K31" s="149">
        <v>0.8</v>
      </c>
      <c r="L31" s="149">
        <v>0.78</v>
      </c>
      <c r="M31" s="149">
        <v>0.79</v>
      </c>
      <c r="N31" s="335">
        <v>58.6</v>
      </c>
      <c r="O31" s="296">
        <v>0.19</v>
      </c>
      <c r="P31" s="345"/>
      <c r="Q31" s="138" t="s">
        <v>3598</v>
      </c>
      <c r="R31" s="138">
        <f>23.4*2</f>
        <v>46.8</v>
      </c>
      <c r="S31" s="339"/>
      <c r="T31" s="299" t="s">
        <v>3510</v>
      </c>
      <c r="U31" s="282" t="s">
        <v>446</v>
      </c>
      <c r="V31" s="282" t="s">
        <v>3511</v>
      </c>
      <c r="W31" s="138" t="s">
        <v>116</v>
      </c>
      <c r="X31" s="340">
        <v>44075</v>
      </c>
      <c r="Y31" s="340">
        <v>44075</v>
      </c>
      <c r="Z31" s="340">
        <v>44078</v>
      </c>
      <c r="AA31" s="340"/>
      <c r="AB31" s="340"/>
      <c r="AC31" s="341"/>
      <c r="AD31" s="342" t="s">
        <v>64</v>
      </c>
      <c r="AE31" s="342" t="s">
        <v>203</v>
      </c>
      <c r="AF31" s="284" t="s">
        <v>3512</v>
      </c>
      <c r="AG31" s="284"/>
      <c r="AH31" s="284">
        <v>44069</v>
      </c>
      <c r="AI31" s="284"/>
      <c r="AJ31" s="334">
        <f t="shared" ca="1" si="1"/>
        <v>44963</v>
      </c>
      <c r="AK31" s="342">
        <f t="shared" ca="1" si="2"/>
        <v>894</v>
      </c>
      <c r="AL31" s="342">
        <f t="shared" ref="AL31:AL40" ca="1" si="4">IF(ISNUMBER(Z31)=TRUE,AJ31-Z31,IF(Z31="","",(AJ31)-(MID(RIGHT(Z31,10),4,2)&amp;"/"&amp;LEFT((RIGHT(Z31,10)),2)&amp;"/"&amp;RIGHT(Z31,4))))</f>
        <v>885</v>
      </c>
      <c r="AM31" s="284"/>
      <c r="AN31" s="284" t="s">
        <v>3513</v>
      </c>
      <c r="AO31" s="343">
        <v>12.145</v>
      </c>
      <c r="AP31" s="343">
        <v>12.154999999999999</v>
      </c>
      <c r="AQ31" s="343">
        <v>12.179999999999998</v>
      </c>
      <c r="AR31" s="343">
        <v>12.184999999999999</v>
      </c>
      <c r="AS31" s="331">
        <f t="shared" ref="AS31:AS40" ca="1" si="5">IF(ISNUMBER(Y31)=TRUE,AJ31-Y31,IF(Y31="","",(AJ31)-(MID(RIGHT(Y31,10),4,2)&amp;"/"&amp;LEFT((RIGHT(Y31,10)),2)&amp;"/"&amp;RIGHT(Y31,4))))</f>
        <v>888</v>
      </c>
      <c r="AV31" s="331" t="s">
        <v>136</v>
      </c>
      <c r="BH31" s="331" t="s">
        <v>3514</v>
      </c>
      <c r="BI31" s="347" t="s">
        <v>3515</v>
      </c>
    </row>
    <row r="32" spans="1:61" s="331" customFormat="1" ht="18" customHeight="1" x14ac:dyDescent="0.35">
      <c r="A32" s="334"/>
      <c r="B32" s="335">
        <f ca="1">IF(A32="",(IF(ISNUMBER(SUBSTITUTE(LEFT(RIGHT(E32,LEN(E32)-MIN(SEARCH({1,2,3,4,5,6,7,8,9,0},E32&amp;"1234567890"))+1),10),".","/"))=TRUE,AJ32-(SUBSTITUTE(LEFT(RIGHT(E32,LEN(E32)-MIN(SEARCH({1,2,3,4,5,6,7,8,9,0},E32&amp;"1234567890"))+1),10),".","/")),IF((SUBSTITUTE(LEFT(RIGHT(E32,LEN(E32)-MIN(SEARCH({1,2,3,4,5,6,7,8,9,0},E32&amp;"1234567890"))+1),10),".","/"))="","",(AJ32)-(MID(RIGHT((SUBSTITUTE(LEFT(RIGHT(E32,LEN(E32)-MIN(SEARCH({1,2,3,4,5,6,7,8,9,0},E32&amp;"1234567890"))+1),10),".","/")),10),4,2)&amp;"/"&amp;LEFT((RIGHT((SUBSTITUTE(LEFT(RIGHT(E32,LEN(E32)-MIN(SEARCH({1,2,3,4,5,6,7,8,9,0},E32&amp;"1234567890"))+1),10),".","/")),10)),2)&amp;"/"&amp;RIGHT((SUBSTITUTE(LEFT(RIGHT(E32,LEN(E32)-MIN(SEARCH({1,2,3,4,5,6,7,8,9,0},E32&amp;"1234567890"))+1),10),".","/")),4))))),(AJ32-A32))</f>
        <v>188</v>
      </c>
      <c r="C32" s="334"/>
      <c r="D32" s="294" t="str">
        <f t="shared" si="0"/>
        <v>FGM-304L/2B-001X58,6</v>
      </c>
      <c r="E32" s="294" t="s">
        <v>3506</v>
      </c>
      <c r="F32" s="294" t="s">
        <v>3507</v>
      </c>
      <c r="G32" s="143" t="s">
        <v>3516</v>
      </c>
      <c r="H32" s="294" t="s">
        <v>230</v>
      </c>
      <c r="I32" s="337" t="s">
        <v>116</v>
      </c>
      <c r="J32" s="149">
        <v>3.25</v>
      </c>
      <c r="K32" s="149">
        <v>0.8</v>
      </c>
      <c r="L32" s="149">
        <v>0.78</v>
      </c>
      <c r="M32" s="149">
        <v>0.79</v>
      </c>
      <c r="N32" s="335">
        <v>58.6</v>
      </c>
      <c r="O32" s="296">
        <v>0.185</v>
      </c>
      <c r="P32" s="345"/>
      <c r="Q32" s="138" t="s">
        <v>3598</v>
      </c>
      <c r="R32" s="138">
        <f>23.4*2</f>
        <v>46.8</v>
      </c>
      <c r="S32" s="339"/>
      <c r="T32" s="299" t="s">
        <v>3510</v>
      </c>
      <c r="U32" s="282" t="s">
        <v>446</v>
      </c>
      <c r="V32" s="282" t="s">
        <v>3511</v>
      </c>
      <c r="W32" s="138" t="s">
        <v>116</v>
      </c>
      <c r="X32" s="340">
        <v>44075</v>
      </c>
      <c r="Y32" s="340">
        <v>44075</v>
      </c>
      <c r="Z32" s="340">
        <v>44078</v>
      </c>
      <c r="AA32" s="340"/>
      <c r="AB32" s="340"/>
      <c r="AC32" s="341"/>
      <c r="AD32" s="342" t="s">
        <v>64</v>
      </c>
      <c r="AE32" s="342" t="s">
        <v>203</v>
      </c>
      <c r="AF32" s="284" t="s">
        <v>3512</v>
      </c>
      <c r="AG32" s="284"/>
      <c r="AH32" s="284">
        <v>44069</v>
      </c>
      <c r="AI32" s="284"/>
      <c r="AJ32" s="334">
        <f t="shared" ca="1" si="1"/>
        <v>44963</v>
      </c>
      <c r="AK32" s="342">
        <f t="shared" ca="1" si="2"/>
        <v>894</v>
      </c>
      <c r="AL32" s="342">
        <f t="shared" ca="1" si="4"/>
        <v>885</v>
      </c>
      <c r="AM32" s="284"/>
      <c r="AN32" s="284" t="s">
        <v>3513</v>
      </c>
      <c r="AO32" s="343">
        <v>12.145</v>
      </c>
      <c r="AP32" s="343">
        <v>12.154999999999999</v>
      </c>
      <c r="AQ32" s="343">
        <v>12.179999999999998</v>
      </c>
      <c r="AR32" s="343">
        <v>12.184999999999999</v>
      </c>
      <c r="AS32" s="331">
        <f t="shared" ca="1" si="5"/>
        <v>888</v>
      </c>
      <c r="AV32" s="331" t="s">
        <v>136</v>
      </c>
      <c r="BH32" s="331" t="s">
        <v>3514</v>
      </c>
      <c r="BI32" s="347" t="s">
        <v>3515</v>
      </c>
    </row>
    <row r="33" spans="1:61" s="331" customFormat="1" ht="18" customHeight="1" x14ac:dyDescent="0.35">
      <c r="A33" s="334"/>
      <c r="B33" s="335">
        <f ca="1">IF(A33="",(IF(ISNUMBER(SUBSTITUTE(LEFT(RIGHT(E33,LEN(E33)-MIN(SEARCH({1,2,3,4,5,6,7,8,9,0},E33&amp;"1234567890"))+1),10),".","/"))=TRUE,AJ33-(SUBSTITUTE(LEFT(RIGHT(E33,LEN(E33)-MIN(SEARCH({1,2,3,4,5,6,7,8,9,0},E33&amp;"1234567890"))+1),10),".","/")),IF((SUBSTITUTE(LEFT(RIGHT(E33,LEN(E33)-MIN(SEARCH({1,2,3,4,5,6,7,8,9,0},E33&amp;"1234567890"))+1),10),".","/"))="","",(AJ33)-(MID(RIGHT((SUBSTITUTE(LEFT(RIGHT(E33,LEN(E33)-MIN(SEARCH({1,2,3,4,5,6,7,8,9,0},E33&amp;"1234567890"))+1),10),".","/")),10),4,2)&amp;"/"&amp;LEFT((RIGHT((SUBSTITUTE(LEFT(RIGHT(E33,LEN(E33)-MIN(SEARCH({1,2,3,4,5,6,7,8,9,0},E33&amp;"1234567890"))+1),10),".","/")),10)),2)&amp;"/"&amp;RIGHT((SUBSTITUTE(LEFT(RIGHT(E33,LEN(E33)-MIN(SEARCH({1,2,3,4,5,6,7,8,9,0},E33&amp;"1234567890"))+1),10),".","/")),4))))),(AJ33-A33))</f>
        <v>157</v>
      </c>
      <c r="C33" s="334"/>
      <c r="D33" s="294" t="str">
        <f t="shared" si="0"/>
        <v>FGM-304L/2B-001X58,6</v>
      </c>
      <c r="E33" s="294" t="s">
        <v>3517</v>
      </c>
      <c r="F33" s="294" t="s">
        <v>3507</v>
      </c>
      <c r="G33" s="294" t="s">
        <v>3518</v>
      </c>
      <c r="H33" s="294" t="s">
        <v>230</v>
      </c>
      <c r="I33" s="337" t="s">
        <v>116</v>
      </c>
      <c r="J33" s="149">
        <v>3.25</v>
      </c>
      <c r="K33" s="149">
        <v>0.8</v>
      </c>
      <c r="L33" s="149">
        <v>0.78</v>
      </c>
      <c r="M33" s="149">
        <v>0.79</v>
      </c>
      <c r="N33" s="335">
        <v>58.6</v>
      </c>
      <c r="O33" s="296">
        <v>0.17499999999999999</v>
      </c>
      <c r="P33" s="345"/>
      <c r="Q33" s="138" t="s">
        <v>3598</v>
      </c>
      <c r="R33" s="138">
        <f t="shared" ref="R33:R40" si="6">23.4*2</f>
        <v>46.8</v>
      </c>
      <c r="S33" s="339"/>
      <c r="T33" s="299" t="s">
        <v>3510</v>
      </c>
      <c r="U33" s="282" t="s">
        <v>446</v>
      </c>
      <c r="V33" s="282" t="s">
        <v>3511</v>
      </c>
      <c r="W33" s="138" t="s">
        <v>116</v>
      </c>
      <c r="X33" s="340">
        <v>44075</v>
      </c>
      <c r="Y33" s="340">
        <v>44075</v>
      </c>
      <c r="Z33" s="340">
        <v>44078</v>
      </c>
      <c r="AA33" s="340"/>
      <c r="AB33" s="340"/>
      <c r="AC33" s="341"/>
      <c r="AD33" s="342" t="s">
        <v>64</v>
      </c>
      <c r="AE33" s="342" t="s">
        <v>203</v>
      </c>
      <c r="AF33" s="284" t="s">
        <v>3512</v>
      </c>
      <c r="AG33" s="284"/>
      <c r="AH33" s="284">
        <v>44069</v>
      </c>
      <c r="AI33" s="284"/>
      <c r="AJ33" s="334">
        <f t="shared" ca="1" si="1"/>
        <v>44963</v>
      </c>
      <c r="AK33" s="342">
        <f t="shared" ca="1" si="2"/>
        <v>894</v>
      </c>
      <c r="AL33" s="342">
        <f t="shared" ca="1" si="4"/>
        <v>885</v>
      </c>
      <c r="AM33" s="284"/>
      <c r="AN33" s="284" t="s">
        <v>3513</v>
      </c>
      <c r="AO33" s="343">
        <v>12.145</v>
      </c>
      <c r="AP33" s="343">
        <v>12.154999999999999</v>
      </c>
      <c r="AQ33" s="343">
        <v>12.179999999999998</v>
      </c>
      <c r="AR33" s="343">
        <v>12.184999999999999</v>
      </c>
      <c r="AS33" s="331">
        <f t="shared" ca="1" si="5"/>
        <v>888</v>
      </c>
      <c r="AV33" s="331" t="s">
        <v>136</v>
      </c>
      <c r="BH33" s="331" t="s">
        <v>3514</v>
      </c>
      <c r="BI33" s="347" t="s">
        <v>3515</v>
      </c>
    </row>
    <row r="34" spans="1:61" s="331" customFormat="1" ht="18" customHeight="1" x14ac:dyDescent="0.35">
      <c r="A34" s="334"/>
      <c r="B34" s="335">
        <f ca="1">IF(A34="",(IF(ISNUMBER(SUBSTITUTE(LEFT(RIGHT(E34,LEN(E34)-MIN(SEARCH({1,2,3,4,5,6,7,8,9,0},E34&amp;"1234567890"))+1),10),".","/"))=TRUE,AJ34-(SUBSTITUTE(LEFT(RIGHT(E34,LEN(E34)-MIN(SEARCH({1,2,3,4,5,6,7,8,9,0},E34&amp;"1234567890"))+1),10),".","/")),IF((SUBSTITUTE(LEFT(RIGHT(E34,LEN(E34)-MIN(SEARCH({1,2,3,4,5,6,7,8,9,0},E34&amp;"1234567890"))+1),10),".","/"))="","",(AJ34)-(MID(RIGHT((SUBSTITUTE(LEFT(RIGHT(E34,LEN(E34)-MIN(SEARCH({1,2,3,4,5,6,7,8,9,0},E34&amp;"1234567890"))+1),10),".","/")),10),4,2)&amp;"/"&amp;LEFT((RIGHT((SUBSTITUTE(LEFT(RIGHT(E34,LEN(E34)-MIN(SEARCH({1,2,3,4,5,6,7,8,9,0},E34&amp;"1234567890"))+1),10),".","/")),10)),2)&amp;"/"&amp;RIGHT((SUBSTITUTE(LEFT(RIGHT(E34,LEN(E34)-MIN(SEARCH({1,2,3,4,5,6,7,8,9,0},E34&amp;"1234567890"))+1),10),".","/")),4))))),(AJ34-A34))</f>
        <v>157</v>
      </c>
      <c r="C34" s="334"/>
      <c r="D34" s="294" t="str">
        <f t="shared" si="0"/>
        <v>FGM-304L/2B-001X58,6</v>
      </c>
      <c r="E34" s="294" t="s">
        <v>3517</v>
      </c>
      <c r="F34" s="294" t="s">
        <v>3507</v>
      </c>
      <c r="G34" s="294" t="s">
        <v>3519</v>
      </c>
      <c r="H34" s="294" t="s">
        <v>230</v>
      </c>
      <c r="I34" s="337" t="s">
        <v>116</v>
      </c>
      <c r="J34" s="149">
        <v>3.25</v>
      </c>
      <c r="K34" s="149">
        <v>0.8</v>
      </c>
      <c r="L34" s="149">
        <v>0.78</v>
      </c>
      <c r="M34" s="149">
        <v>0.79</v>
      </c>
      <c r="N34" s="335">
        <v>58.6</v>
      </c>
      <c r="O34" s="296">
        <v>0.19</v>
      </c>
      <c r="P34" s="345"/>
      <c r="Q34" s="138" t="s">
        <v>3598</v>
      </c>
      <c r="R34" s="138">
        <f t="shared" si="6"/>
        <v>46.8</v>
      </c>
      <c r="S34" s="339"/>
      <c r="T34" s="299" t="s">
        <v>3510</v>
      </c>
      <c r="U34" s="282" t="s">
        <v>446</v>
      </c>
      <c r="V34" s="282" t="s">
        <v>3511</v>
      </c>
      <c r="W34" s="138" t="s">
        <v>116</v>
      </c>
      <c r="X34" s="340">
        <v>44075</v>
      </c>
      <c r="Y34" s="340">
        <v>44075</v>
      </c>
      <c r="Z34" s="340">
        <v>44078</v>
      </c>
      <c r="AA34" s="340"/>
      <c r="AB34" s="340"/>
      <c r="AC34" s="341"/>
      <c r="AD34" s="342" t="s">
        <v>64</v>
      </c>
      <c r="AE34" s="342" t="s">
        <v>203</v>
      </c>
      <c r="AF34" s="284" t="s">
        <v>3512</v>
      </c>
      <c r="AG34" s="284"/>
      <c r="AH34" s="284">
        <v>44069</v>
      </c>
      <c r="AI34" s="284"/>
      <c r="AJ34" s="334">
        <f t="shared" ca="1" si="1"/>
        <v>44963</v>
      </c>
      <c r="AK34" s="342">
        <f t="shared" ca="1" si="2"/>
        <v>894</v>
      </c>
      <c r="AL34" s="342">
        <f t="shared" ca="1" si="4"/>
        <v>885</v>
      </c>
      <c r="AM34" s="284"/>
      <c r="AN34" s="284" t="s">
        <v>3513</v>
      </c>
      <c r="AO34" s="343">
        <v>12.145</v>
      </c>
      <c r="AP34" s="343">
        <v>12.154999999999999</v>
      </c>
      <c r="AQ34" s="343">
        <v>12.179999999999998</v>
      </c>
      <c r="AR34" s="343">
        <v>12.184999999999999</v>
      </c>
      <c r="AS34" s="331">
        <f t="shared" ca="1" si="5"/>
        <v>888</v>
      </c>
      <c r="AV34" s="331" t="s">
        <v>136</v>
      </c>
      <c r="BH34" s="331" t="s">
        <v>3514</v>
      </c>
      <c r="BI34" s="347" t="s">
        <v>3515</v>
      </c>
    </row>
    <row r="35" spans="1:61" s="331" customFormat="1" ht="18" customHeight="1" x14ac:dyDescent="0.35">
      <c r="A35" s="334"/>
      <c r="B35" s="335">
        <f ca="1">IF(A35="",(IF(ISNUMBER(SUBSTITUTE(LEFT(RIGHT(E35,LEN(E35)-MIN(SEARCH({1,2,3,4,5,6,7,8,9,0},E35&amp;"1234567890"))+1),10),".","/"))=TRUE,AJ35-(SUBSTITUTE(LEFT(RIGHT(E35,LEN(E35)-MIN(SEARCH({1,2,3,4,5,6,7,8,9,0},E35&amp;"1234567890"))+1),10),".","/")),IF((SUBSTITUTE(LEFT(RIGHT(E35,LEN(E35)-MIN(SEARCH({1,2,3,4,5,6,7,8,9,0},E35&amp;"1234567890"))+1),10),".","/"))="","",(AJ35)-(MID(RIGHT((SUBSTITUTE(LEFT(RIGHT(E35,LEN(E35)-MIN(SEARCH({1,2,3,4,5,6,7,8,9,0},E35&amp;"1234567890"))+1),10),".","/")),10),4,2)&amp;"/"&amp;LEFT((RIGHT((SUBSTITUTE(LEFT(RIGHT(E35,LEN(E35)-MIN(SEARCH({1,2,3,4,5,6,7,8,9,0},E35&amp;"1234567890"))+1),10),".","/")),10)),2)&amp;"/"&amp;RIGHT((SUBSTITUTE(LEFT(RIGHT(E35,LEN(E35)-MIN(SEARCH({1,2,3,4,5,6,7,8,9,0},E35&amp;"1234567890"))+1),10),".","/")),4))))),(AJ35-A35))</f>
        <v>157</v>
      </c>
      <c r="C35" s="334"/>
      <c r="D35" s="294" t="str">
        <f t="shared" si="0"/>
        <v>FGM-304/2B-001X58,6</v>
      </c>
      <c r="E35" s="294" t="s">
        <v>3517</v>
      </c>
      <c r="F35" s="294" t="s">
        <v>3520</v>
      </c>
      <c r="G35" s="294" t="s">
        <v>3521</v>
      </c>
      <c r="H35" s="294">
        <v>304</v>
      </c>
      <c r="I35" s="337" t="s">
        <v>116</v>
      </c>
      <c r="J35" s="149">
        <v>1.5</v>
      </c>
      <c r="K35" s="149">
        <v>0.78</v>
      </c>
      <c r="L35" s="149">
        <v>0.78</v>
      </c>
      <c r="M35" s="149">
        <v>0.8</v>
      </c>
      <c r="N35" s="335">
        <v>58.6</v>
      </c>
      <c r="O35" s="296">
        <v>0.21</v>
      </c>
      <c r="P35" s="345"/>
      <c r="Q35" s="138" t="s">
        <v>3598</v>
      </c>
      <c r="R35" s="138">
        <f t="shared" si="6"/>
        <v>46.8</v>
      </c>
      <c r="S35" s="339"/>
      <c r="T35" s="299" t="s">
        <v>3510</v>
      </c>
      <c r="U35" s="282" t="s">
        <v>446</v>
      </c>
      <c r="V35" s="282" t="s">
        <v>3511</v>
      </c>
      <c r="W35" s="138" t="s">
        <v>116</v>
      </c>
      <c r="X35" s="340" t="s">
        <v>3522</v>
      </c>
      <c r="Y35" s="340" t="s">
        <v>3523</v>
      </c>
      <c r="Z35" s="340" t="s">
        <v>3524</v>
      </c>
      <c r="AA35" s="340">
        <v>44074</v>
      </c>
      <c r="AB35" s="340"/>
      <c r="AC35" s="341"/>
      <c r="AD35" s="342" t="s">
        <v>64</v>
      </c>
      <c r="AE35" s="342" t="s">
        <v>203</v>
      </c>
      <c r="AF35" s="284" t="s">
        <v>3525</v>
      </c>
      <c r="AG35" s="284"/>
      <c r="AH35" s="284">
        <v>44050</v>
      </c>
      <c r="AI35" s="284"/>
      <c r="AJ35" s="334">
        <f t="shared" ca="1" si="1"/>
        <v>44963</v>
      </c>
      <c r="AK35" s="342">
        <f t="shared" ca="1" si="2"/>
        <v>913</v>
      </c>
      <c r="AL35" s="342" t="e">
        <f t="shared" ca="1" si="4"/>
        <v>#VALUE!</v>
      </c>
      <c r="AM35" s="284"/>
      <c r="AN35" s="284" t="s">
        <v>3526</v>
      </c>
      <c r="AO35" s="343">
        <v>10.484999999999999</v>
      </c>
      <c r="AP35" s="343">
        <v>10.494999999999999</v>
      </c>
      <c r="AQ35" s="343">
        <v>10.519999999999998</v>
      </c>
      <c r="AR35" s="343">
        <v>10.524999999999999</v>
      </c>
      <c r="AS35" s="331">
        <f t="shared" ca="1" si="5"/>
        <v>972</v>
      </c>
      <c r="AV35" s="331" t="s">
        <v>136</v>
      </c>
      <c r="BH35" s="331" t="s">
        <v>3514</v>
      </c>
      <c r="BI35" s="347" t="s">
        <v>3515</v>
      </c>
    </row>
    <row r="36" spans="1:61" s="331" customFormat="1" ht="18" customHeight="1" x14ac:dyDescent="0.35">
      <c r="A36" s="334"/>
      <c r="B36" s="335">
        <f ca="1">IF(A36="",(IF(ISNUMBER(SUBSTITUTE(LEFT(RIGHT(E36,LEN(E36)-MIN(SEARCH({1,2,3,4,5,6,7,8,9,0},E36&amp;"1234567890"))+1),10),".","/"))=TRUE,AJ36-(SUBSTITUTE(LEFT(RIGHT(E36,LEN(E36)-MIN(SEARCH({1,2,3,4,5,6,7,8,9,0},E36&amp;"1234567890"))+1),10),".","/")),IF((SUBSTITUTE(LEFT(RIGHT(E36,LEN(E36)-MIN(SEARCH({1,2,3,4,5,6,7,8,9,0},E36&amp;"1234567890"))+1),10),".","/"))="","",(AJ36)-(MID(RIGHT((SUBSTITUTE(LEFT(RIGHT(E36,LEN(E36)-MIN(SEARCH({1,2,3,4,5,6,7,8,9,0},E36&amp;"1234567890"))+1),10),".","/")),10),4,2)&amp;"/"&amp;LEFT((RIGHT((SUBSTITUTE(LEFT(RIGHT(E36,LEN(E36)-MIN(SEARCH({1,2,3,4,5,6,7,8,9,0},E36&amp;"1234567890"))+1),10),".","/")),10)),2)&amp;"/"&amp;RIGHT((SUBSTITUTE(LEFT(RIGHT(E36,LEN(E36)-MIN(SEARCH({1,2,3,4,5,6,7,8,9,0},E36&amp;"1234567890"))+1),10),".","/")),4))))),(AJ36-A36))</f>
        <v>157</v>
      </c>
      <c r="C36" s="334"/>
      <c r="D36" s="294" t="str">
        <f t="shared" si="0"/>
        <v>FGM-304/2B-001X58,6</v>
      </c>
      <c r="E36" s="294" t="s">
        <v>3517</v>
      </c>
      <c r="F36" s="294" t="s">
        <v>3520</v>
      </c>
      <c r="G36" s="294" t="s">
        <v>3527</v>
      </c>
      <c r="H36" s="294">
        <v>304</v>
      </c>
      <c r="I36" s="337" t="s">
        <v>116</v>
      </c>
      <c r="J36" s="149">
        <v>1.5</v>
      </c>
      <c r="K36" s="149">
        <v>0.78</v>
      </c>
      <c r="L36" s="149">
        <v>0.78</v>
      </c>
      <c r="M36" s="149">
        <v>0.8</v>
      </c>
      <c r="N36" s="335">
        <v>58.6</v>
      </c>
      <c r="O36" s="296">
        <v>0.19500000000000001</v>
      </c>
      <c r="P36" s="345"/>
      <c r="Q36" s="138" t="s">
        <v>3598</v>
      </c>
      <c r="R36" s="138">
        <f t="shared" si="6"/>
        <v>46.8</v>
      </c>
      <c r="S36" s="339"/>
      <c r="T36" s="299" t="s">
        <v>3510</v>
      </c>
      <c r="U36" s="282" t="s">
        <v>446</v>
      </c>
      <c r="V36" s="282" t="s">
        <v>3511</v>
      </c>
      <c r="W36" s="138" t="s">
        <v>116</v>
      </c>
      <c r="X36" s="340" t="s">
        <v>3522</v>
      </c>
      <c r="Y36" s="340" t="s">
        <v>3523</v>
      </c>
      <c r="Z36" s="340" t="s">
        <v>3524</v>
      </c>
      <c r="AA36" s="340">
        <v>44074</v>
      </c>
      <c r="AB36" s="340"/>
      <c r="AC36" s="341"/>
      <c r="AD36" s="342" t="s">
        <v>64</v>
      </c>
      <c r="AE36" s="342" t="s">
        <v>203</v>
      </c>
      <c r="AF36" s="284" t="s">
        <v>3525</v>
      </c>
      <c r="AG36" s="284"/>
      <c r="AH36" s="284">
        <v>44050</v>
      </c>
      <c r="AI36" s="284"/>
      <c r="AJ36" s="334">
        <f t="shared" ca="1" si="1"/>
        <v>44963</v>
      </c>
      <c r="AK36" s="342">
        <f t="shared" ca="1" si="2"/>
        <v>913</v>
      </c>
      <c r="AL36" s="342" t="e">
        <f t="shared" ca="1" si="4"/>
        <v>#VALUE!</v>
      </c>
      <c r="AM36" s="284"/>
      <c r="AN36" s="284" t="s">
        <v>3526</v>
      </c>
      <c r="AO36" s="343">
        <v>10.484999999999999</v>
      </c>
      <c r="AP36" s="343">
        <v>10.494999999999999</v>
      </c>
      <c r="AQ36" s="343">
        <v>10.519999999999998</v>
      </c>
      <c r="AR36" s="343">
        <v>10.524999999999999</v>
      </c>
      <c r="AS36" s="331">
        <f t="shared" ca="1" si="5"/>
        <v>972</v>
      </c>
      <c r="AV36" s="331" t="s">
        <v>136</v>
      </c>
      <c r="BH36" s="331" t="s">
        <v>3514</v>
      </c>
      <c r="BI36" s="347" t="s">
        <v>3515</v>
      </c>
    </row>
    <row r="37" spans="1:61" s="331" customFormat="1" ht="18" customHeight="1" x14ac:dyDescent="0.35">
      <c r="A37" s="334"/>
      <c r="B37" s="335">
        <f ca="1">IF(A37="",(IF(ISNUMBER(SUBSTITUTE(LEFT(RIGHT(E37,LEN(E37)-MIN(SEARCH({1,2,3,4,5,6,7,8,9,0},E37&amp;"1234567890"))+1),10),".","/"))=TRUE,AJ37-(SUBSTITUTE(LEFT(RIGHT(E37,LEN(E37)-MIN(SEARCH({1,2,3,4,5,6,7,8,9,0},E37&amp;"1234567890"))+1),10),".","/")),IF((SUBSTITUTE(LEFT(RIGHT(E37,LEN(E37)-MIN(SEARCH({1,2,3,4,5,6,7,8,9,0},E37&amp;"1234567890"))+1),10),".","/"))="","",(AJ37)-(MID(RIGHT((SUBSTITUTE(LEFT(RIGHT(E37,LEN(E37)-MIN(SEARCH({1,2,3,4,5,6,7,8,9,0},E37&amp;"1234567890"))+1),10),".","/")),10),4,2)&amp;"/"&amp;LEFT((RIGHT((SUBSTITUTE(LEFT(RIGHT(E37,LEN(E37)-MIN(SEARCH({1,2,3,4,5,6,7,8,9,0},E37&amp;"1234567890"))+1),10),".","/")),10)),2)&amp;"/"&amp;RIGHT((SUBSTITUTE(LEFT(RIGHT(E37,LEN(E37)-MIN(SEARCH({1,2,3,4,5,6,7,8,9,0},E37&amp;"1234567890"))+1),10),".","/")),4))))),(AJ37-A37))</f>
        <v>157</v>
      </c>
      <c r="C37" s="334"/>
      <c r="D37" s="294" t="str">
        <f t="shared" si="0"/>
        <v>FGM-304/2B-001X58,6</v>
      </c>
      <c r="E37" s="294" t="s">
        <v>3517</v>
      </c>
      <c r="F37" s="294" t="s">
        <v>3520</v>
      </c>
      <c r="G37" s="294" t="s">
        <v>3528</v>
      </c>
      <c r="H37" s="294">
        <v>304</v>
      </c>
      <c r="I37" s="337" t="s">
        <v>116</v>
      </c>
      <c r="J37" s="149">
        <v>1.5</v>
      </c>
      <c r="K37" s="149">
        <v>0.78</v>
      </c>
      <c r="L37" s="149">
        <v>0.78</v>
      </c>
      <c r="M37" s="149">
        <v>0.8</v>
      </c>
      <c r="N37" s="335">
        <v>58.6</v>
      </c>
      <c r="O37" s="296">
        <v>0.21</v>
      </c>
      <c r="P37" s="345"/>
      <c r="Q37" s="138" t="s">
        <v>3598</v>
      </c>
      <c r="R37" s="138">
        <f t="shared" si="6"/>
        <v>46.8</v>
      </c>
      <c r="S37" s="339"/>
      <c r="T37" s="299" t="s">
        <v>3510</v>
      </c>
      <c r="U37" s="282" t="s">
        <v>446</v>
      </c>
      <c r="V37" s="282" t="s">
        <v>3511</v>
      </c>
      <c r="W37" s="138" t="s">
        <v>116</v>
      </c>
      <c r="X37" s="340" t="s">
        <v>3522</v>
      </c>
      <c r="Y37" s="340" t="s">
        <v>3523</v>
      </c>
      <c r="Z37" s="340" t="s">
        <v>3524</v>
      </c>
      <c r="AA37" s="340">
        <v>44074</v>
      </c>
      <c r="AB37" s="340"/>
      <c r="AC37" s="341"/>
      <c r="AD37" s="342" t="s">
        <v>64</v>
      </c>
      <c r="AE37" s="342" t="s">
        <v>203</v>
      </c>
      <c r="AF37" s="284" t="s">
        <v>3525</v>
      </c>
      <c r="AG37" s="284"/>
      <c r="AH37" s="284">
        <v>44050</v>
      </c>
      <c r="AI37" s="284"/>
      <c r="AJ37" s="334">
        <f t="shared" ca="1" si="1"/>
        <v>44963</v>
      </c>
      <c r="AK37" s="342">
        <f t="shared" ca="1" si="2"/>
        <v>913</v>
      </c>
      <c r="AL37" s="342" t="e">
        <f t="shared" ca="1" si="4"/>
        <v>#VALUE!</v>
      </c>
      <c r="AM37" s="284"/>
      <c r="AN37" s="284" t="s">
        <v>3526</v>
      </c>
      <c r="AO37" s="343">
        <v>10.484999999999999</v>
      </c>
      <c r="AP37" s="343">
        <v>10.494999999999999</v>
      </c>
      <c r="AQ37" s="343">
        <v>10.519999999999998</v>
      </c>
      <c r="AR37" s="343">
        <v>10.524999999999999</v>
      </c>
      <c r="AS37" s="331">
        <f t="shared" ca="1" si="5"/>
        <v>972</v>
      </c>
      <c r="AV37" s="331" t="s">
        <v>136</v>
      </c>
      <c r="BH37" s="331" t="s">
        <v>3514</v>
      </c>
      <c r="BI37" s="347" t="s">
        <v>3515</v>
      </c>
    </row>
    <row r="38" spans="1:61" s="331" customFormat="1" ht="18" customHeight="1" x14ac:dyDescent="0.35">
      <c r="A38" s="334"/>
      <c r="B38" s="335">
        <f ca="1">IF(A38="",(IF(ISNUMBER(SUBSTITUTE(LEFT(RIGHT(E38,LEN(E38)-MIN(SEARCH({1,2,3,4,5,6,7,8,9,0},E38&amp;"1234567890"))+1),10),".","/"))=TRUE,AJ38-(SUBSTITUTE(LEFT(RIGHT(E38,LEN(E38)-MIN(SEARCH({1,2,3,4,5,6,7,8,9,0},E38&amp;"1234567890"))+1),10),".","/")),IF((SUBSTITUTE(LEFT(RIGHT(E38,LEN(E38)-MIN(SEARCH({1,2,3,4,5,6,7,8,9,0},E38&amp;"1234567890"))+1),10),".","/"))="","",(AJ38)-(MID(RIGHT((SUBSTITUTE(LEFT(RIGHT(E38,LEN(E38)-MIN(SEARCH({1,2,3,4,5,6,7,8,9,0},E38&amp;"1234567890"))+1),10),".","/")),10),4,2)&amp;"/"&amp;LEFT((RIGHT((SUBSTITUTE(LEFT(RIGHT(E38,LEN(E38)-MIN(SEARCH({1,2,3,4,5,6,7,8,9,0},E38&amp;"1234567890"))+1),10),".","/")),10)),2)&amp;"/"&amp;RIGHT((SUBSTITUTE(LEFT(RIGHT(E38,LEN(E38)-MIN(SEARCH({1,2,3,4,5,6,7,8,9,0},E38&amp;"1234567890"))+1),10),".","/")),4))))),(AJ38-A38))</f>
        <v>157</v>
      </c>
      <c r="C38" s="334"/>
      <c r="D38" s="294" t="str">
        <f t="shared" si="0"/>
        <v>FGM-304/2B-001X58,6</v>
      </c>
      <c r="E38" s="294" t="s">
        <v>3517</v>
      </c>
      <c r="F38" s="294" t="s">
        <v>3529</v>
      </c>
      <c r="G38" s="294" t="s">
        <v>3530</v>
      </c>
      <c r="H38" s="294">
        <v>304</v>
      </c>
      <c r="I38" s="337" t="s">
        <v>116</v>
      </c>
      <c r="J38" s="149">
        <v>1.4</v>
      </c>
      <c r="K38" s="149">
        <v>0.8</v>
      </c>
      <c r="L38" s="149">
        <v>0.77</v>
      </c>
      <c r="M38" s="149">
        <v>0.78</v>
      </c>
      <c r="N38" s="335">
        <v>58.6</v>
      </c>
      <c r="O38" s="296">
        <v>0.22500000000000001</v>
      </c>
      <c r="P38" s="345"/>
      <c r="Q38" s="138" t="s">
        <v>3598</v>
      </c>
      <c r="R38" s="138">
        <f t="shared" si="6"/>
        <v>46.8</v>
      </c>
      <c r="S38" s="339"/>
      <c r="T38" s="299" t="s">
        <v>3510</v>
      </c>
      <c r="U38" s="282" t="s">
        <v>446</v>
      </c>
      <c r="V38" s="282" t="s">
        <v>3511</v>
      </c>
      <c r="W38" s="138" t="s">
        <v>116</v>
      </c>
      <c r="X38" s="340" t="s">
        <v>3531</v>
      </c>
      <c r="Y38" s="340" t="s">
        <v>3531</v>
      </c>
      <c r="Z38" s="340" t="s">
        <v>3532</v>
      </c>
      <c r="AA38" s="340">
        <v>44021</v>
      </c>
      <c r="AB38" s="340"/>
      <c r="AC38" s="341"/>
      <c r="AD38" s="342" t="s">
        <v>64</v>
      </c>
      <c r="AE38" s="342" t="s">
        <v>203</v>
      </c>
      <c r="AF38" s="284" t="s">
        <v>238</v>
      </c>
      <c r="AG38" s="284"/>
      <c r="AH38" s="284">
        <v>44000</v>
      </c>
      <c r="AI38" s="284"/>
      <c r="AJ38" s="334">
        <f t="shared" ca="1" si="1"/>
        <v>44963</v>
      </c>
      <c r="AK38" s="342">
        <f t="shared" ca="1" si="2"/>
        <v>963</v>
      </c>
      <c r="AL38" s="342" t="e">
        <f t="shared" ca="1" si="4"/>
        <v>#VALUE!</v>
      </c>
      <c r="AM38" s="284"/>
      <c r="AN38" s="284" t="s">
        <v>3533</v>
      </c>
      <c r="AO38" s="343">
        <v>10.17</v>
      </c>
      <c r="AP38" s="343">
        <v>10.18</v>
      </c>
      <c r="AQ38" s="343">
        <v>10.194999999999999</v>
      </c>
      <c r="AR38" s="343">
        <v>10.199999999999999</v>
      </c>
      <c r="AS38" s="331">
        <f t="shared" ca="1" si="5"/>
        <v>790</v>
      </c>
      <c r="AV38" s="331" t="s">
        <v>136</v>
      </c>
      <c r="BH38" s="331" t="s">
        <v>3514</v>
      </c>
      <c r="BI38" s="347" t="s">
        <v>3515</v>
      </c>
    </row>
    <row r="39" spans="1:61" s="331" customFormat="1" ht="18" customHeight="1" x14ac:dyDescent="0.35">
      <c r="A39" s="334"/>
      <c r="B39" s="335">
        <f ca="1">IF(A39="",(IF(ISNUMBER(SUBSTITUTE(LEFT(RIGHT(E39,LEN(E39)-MIN(SEARCH({1,2,3,4,5,6,7,8,9,0},E39&amp;"1234567890"))+1),10),".","/"))=TRUE,AJ39-(SUBSTITUTE(LEFT(RIGHT(E39,LEN(E39)-MIN(SEARCH({1,2,3,4,5,6,7,8,9,0},E39&amp;"1234567890"))+1),10),".","/")),IF((SUBSTITUTE(LEFT(RIGHT(E39,LEN(E39)-MIN(SEARCH({1,2,3,4,5,6,7,8,9,0},E39&amp;"1234567890"))+1),10),".","/"))="","",(AJ39)-(MID(RIGHT((SUBSTITUTE(LEFT(RIGHT(E39,LEN(E39)-MIN(SEARCH({1,2,3,4,5,6,7,8,9,0},E39&amp;"1234567890"))+1),10),".","/")),10),4,2)&amp;"/"&amp;LEFT((RIGHT((SUBSTITUTE(LEFT(RIGHT(E39,LEN(E39)-MIN(SEARCH({1,2,3,4,5,6,7,8,9,0},E39&amp;"1234567890"))+1),10),".","/")),10)),2)&amp;"/"&amp;RIGHT((SUBSTITUTE(LEFT(RIGHT(E39,LEN(E39)-MIN(SEARCH({1,2,3,4,5,6,7,8,9,0},E39&amp;"1234567890"))+1),10),".","/")),4))))),(AJ39-A39))</f>
        <v>157</v>
      </c>
      <c r="C39" s="334"/>
      <c r="D39" s="294" t="str">
        <f t="shared" si="0"/>
        <v>FGM-304/2B-001X58,6</v>
      </c>
      <c r="E39" s="294" t="s">
        <v>3517</v>
      </c>
      <c r="F39" s="294" t="s">
        <v>3529</v>
      </c>
      <c r="G39" s="294" t="s">
        <v>3534</v>
      </c>
      <c r="H39" s="294">
        <v>304</v>
      </c>
      <c r="I39" s="337" t="s">
        <v>116</v>
      </c>
      <c r="J39" s="149">
        <v>1.4</v>
      </c>
      <c r="K39" s="149">
        <v>0.8</v>
      </c>
      <c r="L39" s="149">
        <v>0.77</v>
      </c>
      <c r="M39" s="149">
        <v>0.78</v>
      </c>
      <c r="N39" s="335">
        <v>58.6</v>
      </c>
      <c r="O39" s="296">
        <v>0.24</v>
      </c>
      <c r="P39" s="345"/>
      <c r="Q39" s="138" t="s">
        <v>3598</v>
      </c>
      <c r="R39" s="138">
        <f t="shared" si="6"/>
        <v>46.8</v>
      </c>
      <c r="S39" s="339"/>
      <c r="T39" s="299" t="s">
        <v>3510</v>
      </c>
      <c r="U39" s="282" t="s">
        <v>446</v>
      </c>
      <c r="V39" s="282" t="s">
        <v>3511</v>
      </c>
      <c r="W39" s="138" t="s">
        <v>116</v>
      </c>
      <c r="X39" s="340" t="s">
        <v>3531</v>
      </c>
      <c r="Y39" s="340" t="s">
        <v>3531</v>
      </c>
      <c r="Z39" s="340" t="s">
        <v>3532</v>
      </c>
      <c r="AA39" s="340">
        <v>44021</v>
      </c>
      <c r="AB39" s="340"/>
      <c r="AC39" s="341"/>
      <c r="AD39" s="342" t="s">
        <v>64</v>
      </c>
      <c r="AE39" s="342" t="s">
        <v>203</v>
      </c>
      <c r="AF39" s="284" t="s">
        <v>238</v>
      </c>
      <c r="AG39" s="284"/>
      <c r="AH39" s="284">
        <v>44000</v>
      </c>
      <c r="AI39" s="284"/>
      <c r="AJ39" s="334">
        <f t="shared" ca="1" si="1"/>
        <v>44963</v>
      </c>
      <c r="AK39" s="342">
        <f t="shared" ca="1" si="2"/>
        <v>963</v>
      </c>
      <c r="AL39" s="342" t="e">
        <f t="shared" ca="1" si="4"/>
        <v>#VALUE!</v>
      </c>
      <c r="AM39" s="284"/>
      <c r="AN39" s="284" t="s">
        <v>3533</v>
      </c>
      <c r="AO39" s="343">
        <v>10.17</v>
      </c>
      <c r="AP39" s="343">
        <v>10.18</v>
      </c>
      <c r="AQ39" s="343">
        <v>10.194999999999999</v>
      </c>
      <c r="AR39" s="343">
        <v>10.199999999999999</v>
      </c>
      <c r="AS39" s="331">
        <f t="shared" ca="1" si="5"/>
        <v>790</v>
      </c>
      <c r="AV39" s="331" t="s">
        <v>136</v>
      </c>
      <c r="BH39" s="331" t="s">
        <v>3514</v>
      </c>
      <c r="BI39" s="347" t="s">
        <v>3515</v>
      </c>
    </row>
    <row r="40" spans="1:61" s="331" customFormat="1" ht="18" customHeight="1" x14ac:dyDescent="0.35">
      <c r="A40" s="334"/>
      <c r="B40" s="335">
        <f ca="1">IF(A40="",(IF(ISNUMBER(SUBSTITUTE(LEFT(RIGHT(E40,LEN(E40)-MIN(SEARCH({1,2,3,4,5,6,7,8,9,0},E40&amp;"1234567890"))+1),10),".","/"))=TRUE,AJ40-(SUBSTITUTE(LEFT(RIGHT(E40,LEN(E40)-MIN(SEARCH({1,2,3,4,5,6,7,8,9,0},E40&amp;"1234567890"))+1),10),".","/")),IF((SUBSTITUTE(LEFT(RIGHT(E40,LEN(E40)-MIN(SEARCH({1,2,3,4,5,6,7,8,9,0},E40&amp;"1234567890"))+1),10),".","/"))="","",(AJ40)-(MID(RIGHT((SUBSTITUTE(LEFT(RIGHT(E40,LEN(E40)-MIN(SEARCH({1,2,3,4,5,6,7,8,9,0},E40&amp;"1234567890"))+1),10),".","/")),10),4,2)&amp;"/"&amp;LEFT((RIGHT((SUBSTITUTE(LEFT(RIGHT(E40,LEN(E40)-MIN(SEARCH({1,2,3,4,5,6,7,8,9,0},E40&amp;"1234567890"))+1),10),".","/")),10)),2)&amp;"/"&amp;RIGHT((SUBSTITUTE(LEFT(RIGHT(E40,LEN(E40)-MIN(SEARCH({1,2,3,4,5,6,7,8,9,0},E40&amp;"1234567890"))+1),10),".","/")),4))))),(AJ40-A40))</f>
        <v>157</v>
      </c>
      <c r="C40" s="334"/>
      <c r="D40" s="294" t="str">
        <f t="shared" si="0"/>
        <v>FGM-304L/2B-001X58,6</v>
      </c>
      <c r="E40" s="294" t="s">
        <v>3517</v>
      </c>
      <c r="F40" s="294" t="s">
        <v>3535</v>
      </c>
      <c r="G40" s="294" t="s">
        <v>3536</v>
      </c>
      <c r="H40" s="294" t="s">
        <v>230</v>
      </c>
      <c r="I40" s="337" t="s">
        <v>116</v>
      </c>
      <c r="J40" s="149">
        <v>3.2</v>
      </c>
      <c r="K40" s="149">
        <v>0.78</v>
      </c>
      <c r="L40" s="149">
        <v>0.75</v>
      </c>
      <c r="M40" s="149">
        <v>0.77</v>
      </c>
      <c r="N40" s="335">
        <v>58.6</v>
      </c>
      <c r="O40" s="296">
        <v>0.24</v>
      </c>
      <c r="P40" s="345"/>
      <c r="Q40" s="138" t="s">
        <v>3598</v>
      </c>
      <c r="R40" s="138">
        <f t="shared" si="6"/>
        <v>46.8</v>
      </c>
      <c r="S40" s="339"/>
      <c r="T40" s="299" t="s">
        <v>3510</v>
      </c>
      <c r="U40" s="282" t="s">
        <v>446</v>
      </c>
      <c r="V40" s="282" t="s">
        <v>3511</v>
      </c>
      <c r="W40" s="138" t="s">
        <v>116</v>
      </c>
      <c r="X40" s="340">
        <v>44055</v>
      </c>
      <c r="Y40" s="340">
        <v>44060</v>
      </c>
      <c r="Z40" s="340">
        <v>44064</v>
      </c>
      <c r="AA40" s="340"/>
      <c r="AB40" s="340"/>
      <c r="AC40" s="341"/>
      <c r="AD40" s="342" t="s">
        <v>64</v>
      </c>
      <c r="AE40" s="342" t="s">
        <v>203</v>
      </c>
      <c r="AF40" s="284" t="s">
        <v>3525</v>
      </c>
      <c r="AG40" s="284"/>
      <c r="AH40" s="284">
        <v>44050</v>
      </c>
      <c r="AI40" s="284"/>
      <c r="AJ40" s="334">
        <f t="shared" ca="1" si="1"/>
        <v>44963</v>
      </c>
      <c r="AK40" s="342">
        <f t="shared" ca="1" si="2"/>
        <v>913</v>
      </c>
      <c r="AL40" s="342">
        <f t="shared" ca="1" si="4"/>
        <v>899</v>
      </c>
      <c r="AM40" s="284"/>
      <c r="AN40" s="284" t="s">
        <v>3537</v>
      </c>
      <c r="AO40" s="343">
        <v>10.565</v>
      </c>
      <c r="AP40" s="343">
        <v>10.574999999999999</v>
      </c>
      <c r="AQ40" s="343">
        <v>10.599999999999998</v>
      </c>
      <c r="AR40" s="343">
        <v>10.604999999999999</v>
      </c>
      <c r="AS40" s="331">
        <f t="shared" ca="1" si="5"/>
        <v>903</v>
      </c>
      <c r="AV40" s="331" t="s">
        <v>136</v>
      </c>
      <c r="BH40" s="331" t="s">
        <v>3514</v>
      </c>
      <c r="BI40" s="347" t="s">
        <v>3515</v>
      </c>
    </row>
    <row r="41" spans="1:61" s="331" customFormat="1" ht="18" customHeight="1" x14ac:dyDescent="0.35">
      <c r="A41" s="334"/>
      <c r="B41" s="335">
        <f ca="1">IF(A41="",(IF(ISNUMBER(SUBSTITUTE(LEFT(RIGHT(E41,LEN(E41)-MIN(SEARCH({1,2,3,4,5,6,7,8,9,0},E41&amp;"1234567890"))+1),10),".","/"))=TRUE,AJ41-(SUBSTITUTE(LEFT(RIGHT(E41,LEN(E41)-MIN(SEARCH({1,2,3,4,5,6,7,8,9,0},E41&amp;"1234567890"))+1),10),".","/")),IF((SUBSTITUTE(LEFT(RIGHT(E41,LEN(E41)-MIN(SEARCH({1,2,3,4,5,6,7,8,9,0},E41&amp;"1234567890"))+1),10),".","/"))="","",(AJ41)-(MID(RIGHT((SUBSTITUTE(LEFT(RIGHT(E41,LEN(E41)-MIN(SEARCH({1,2,3,4,5,6,7,8,9,0},E41&amp;"1234567890"))+1),10),".","/")),10),4,2)&amp;"/"&amp;LEFT((RIGHT((SUBSTITUTE(LEFT(RIGHT(E41,LEN(E41)-MIN(SEARCH({1,2,3,4,5,6,7,8,9,0},E41&amp;"1234567890"))+1),10),".","/")),10)),2)&amp;"/"&amp;RIGHT((SUBSTITUTE(LEFT(RIGHT(E41,LEN(E41)-MIN(SEARCH({1,2,3,4,5,6,7,8,9,0},E41&amp;"1234567890"))+1),10),".","/")),4))))),(AJ41-A41))</f>
        <v>127</v>
      </c>
      <c r="C41" s="334"/>
      <c r="D41" s="294" t="str">
        <f>IF(N41="MULTI","FGM","FGC")&amp;"-"&amp;H41&amp;"/"&amp;I41&amp;"-"&amp;TEXT(K41,"0.00")&amp;"X"&amp;IF(N41="MULTI",#REF!,N41)</f>
        <v>FGC-304/2B-001X75</v>
      </c>
      <c r="E41" s="294" t="s">
        <v>3538</v>
      </c>
      <c r="F41" s="294" t="s">
        <v>3539</v>
      </c>
      <c r="G41" s="294" t="s">
        <v>3540</v>
      </c>
      <c r="H41" s="294">
        <v>304</v>
      </c>
      <c r="I41" s="337" t="s">
        <v>116</v>
      </c>
      <c r="J41" s="149">
        <v>2.8</v>
      </c>
      <c r="K41" s="149">
        <v>1.35</v>
      </c>
      <c r="L41" s="149">
        <v>1.34</v>
      </c>
      <c r="M41" s="149">
        <v>1.36</v>
      </c>
      <c r="N41" s="335">
        <v>75</v>
      </c>
      <c r="O41" s="296">
        <v>0.46</v>
      </c>
      <c r="P41" s="345"/>
      <c r="Q41" s="138">
        <v>56.8</v>
      </c>
      <c r="R41" s="339"/>
      <c r="S41" s="339"/>
      <c r="T41" s="299" t="s">
        <v>3510</v>
      </c>
      <c r="U41" s="282" t="s">
        <v>446</v>
      </c>
      <c r="V41" s="282" t="s">
        <v>3541</v>
      </c>
      <c r="W41" s="138" t="s">
        <v>208</v>
      </c>
      <c r="X41" s="340">
        <v>43168</v>
      </c>
      <c r="Y41" s="340">
        <v>43168</v>
      </c>
      <c r="Z41" s="340">
        <v>43189</v>
      </c>
      <c r="AA41" s="340"/>
      <c r="AB41" s="340"/>
      <c r="AC41" s="341"/>
      <c r="AD41" s="342" t="s">
        <v>64</v>
      </c>
      <c r="AE41" s="342" t="s">
        <v>3542</v>
      </c>
      <c r="AF41" s="284" t="s">
        <v>3543</v>
      </c>
      <c r="AG41" s="284">
        <v>43113</v>
      </c>
      <c r="AH41" s="284">
        <v>43146</v>
      </c>
      <c r="AI41" s="284"/>
      <c r="AJ41" s="334">
        <f t="shared" ca="1" si="1"/>
        <v>44963</v>
      </c>
      <c r="AK41" s="342">
        <f t="shared" ca="1" si="2"/>
        <v>1817</v>
      </c>
      <c r="AL41" s="342"/>
      <c r="AM41" s="284" t="s">
        <v>3544</v>
      </c>
      <c r="AN41" s="284" t="s">
        <v>3539</v>
      </c>
      <c r="AO41" s="343">
        <v>9.1620000000000008</v>
      </c>
      <c r="AP41" s="343">
        <v>9.1920000000000002</v>
      </c>
      <c r="AQ41" s="343">
        <v>9.19</v>
      </c>
      <c r="AR41" s="343">
        <v>9.1950000000000003</v>
      </c>
      <c r="AW41" s="331" t="s">
        <v>136</v>
      </c>
      <c r="BC41" s="331" t="s">
        <v>3545</v>
      </c>
      <c r="BE41" s="331" t="s">
        <v>125</v>
      </c>
      <c r="BH41" s="331" t="s">
        <v>3514</v>
      </c>
      <c r="BI41" s="347" t="s">
        <v>3515</v>
      </c>
    </row>
    <row r="42" spans="1:61" s="331" customFormat="1" ht="18" customHeight="1" x14ac:dyDescent="0.35">
      <c r="A42" s="334"/>
      <c r="B42" s="335">
        <f ca="1">IF(A42="",(IF(ISNUMBER(SUBSTITUTE(LEFT(RIGHT(E42,LEN(E42)-MIN(SEARCH({1,2,3,4,5,6,7,8,9,0},E42&amp;"1234567890"))+1),10),".","/"))=TRUE,AJ42-(SUBSTITUTE(LEFT(RIGHT(E42,LEN(E42)-MIN(SEARCH({1,2,3,4,5,6,7,8,9,0},E42&amp;"1234567890"))+1),10),".","/")),IF((SUBSTITUTE(LEFT(RIGHT(E42,LEN(E42)-MIN(SEARCH({1,2,3,4,5,6,7,8,9,0},E42&amp;"1234567890"))+1),10),".","/"))="","",(AJ42)-(MID(RIGHT((SUBSTITUTE(LEFT(RIGHT(E42,LEN(E42)-MIN(SEARCH({1,2,3,4,5,6,7,8,9,0},E42&amp;"1234567890"))+1),10),".","/")),10),4,2)&amp;"/"&amp;LEFT((RIGHT((SUBSTITUTE(LEFT(RIGHT(E42,LEN(E42)-MIN(SEARCH({1,2,3,4,5,6,7,8,9,0},E42&amp;"1234567890"))+1),10),".","/")),10)),2)&amp;"/"&amp;RIGHT((SUBSTITUTE(LEFT(RIGHT(E42,LEN(E42)-MIN(SEARCH({1,2,3,4,5,6,7,8,9,0},E42&amp;"1234567890"))+1),10),".","/")),4))))),(AJ42-A42))</f>
        <v>127</v>
      </c>
      <c r="C42" s="334"/>
      <c r="D42" s="294" t="str">
        <f>IF(N42="MULTI","FGM","FGC")&amp;"-"&amp;H42&amp;"/"&amp;I42&amp;"-"&amp;TEXT(K42,"0.00")&amp;"X"&amp;IF(N42="MULTI",#REF!,N42)</f>
        <v>FGC-304/2B-001X75</v>
      </c>
      <c r="E42" s="294" t="s">
        <v>3538</v>
      </c>
      <c r="F42" s="294" t="s">
        <v>3539</v>
      </c>
      <c r="G42" s="294" t="s">
        <v>3546</v>
      </c>
      <c r="H42" s="294">
        <v>304</v>
      </c>
      <c r="I42" s="337" t="s">
        <v>116</v>
      </c>
      <c r="J42" s="149">
        <v>2.8</v>
      </c>
      <c r="K42" s="149">
        <v>1.35</v>
      </c>
      <c r="L42" s="149">
        <v>1.34</v>
      </c>
      <c r="M42" s="149">
        <v>1.36</v>
      </c>
      <c r="N42" s="335">
        <v>75</v>
      </c>
      <c r="O42" s="296">
        <v>0.375</v>
      </c>
      <c r="P42" s="345"/>
      <c r="Q42" s="138">
        <v>56.8</v>
      </c>
      <c r="R42" s="339"/>
      <c r="S42" s="339"/>
      <c r="T42" s="299" t="s">
        <v>3510</v>
      </c>
      <c r="U42" s="282" t="s">
        <v>446</v>
      </c>
      <c r="V42" s="282" t="s">
        <v>3541</v>
      </c>
      <c r="W42" s="138" t="s">
        <v>208</v>
      </c>
      <c r="X42" s="340">
        <v>43168</v>
      </c>
      <c r="Y42" s="340">
        <v>43168</v>
      </c>
      <c r="Z42" s="340">
        <v>43189</v>
      </c>
      <c r="AA42" s="340"/>
      <c r="AB42" s="340"/>
      <c r="AC42" s="341"/>
      <c r="AD42" s="342" t="s">
        <v>64</v>
      </c>
      <c r="AE42" s="342" t="s">
        <v>3542</v>
      </c>
      <c r="AF42" s="284" t="s">
        <v>3543</v>
      </c>
      <c r="AG42" s="284">
        <v>43113</v>
      </c>
      <c r="AH42" s="284">
        <v>43146</v>
      </c>
      <c r="AI42" s="284"/>
      <c r="AJ42" s="334">
        <f t="shared" ca="1" si="1"/>
        <v>44963</v>
      </c>
      <c r="AK42" s="342">
        <f t="shared" ca="1" si="2"/>
        <v>1817</v>
      </c>
      <c r="AL42" s="342"/>
      <c r="AM42" s="284" t="s">
        <v>3544</v>
      </c>
      <c r="AN42" s="284" t="s">
        <v>3539</v>
      </c>
      <c r="AO42" s="343">
        <v>9.1620000000000008</v>
      </c>
      <c r="AP42" s="343">
        <v>9.1920000000000002</v>
      </c>
      <c r="AQ42" s="343">
        <v>9.19</v>
      </c>
      <c r="AR42" s="343">
        <v>9.1950000000000003</v>
      </c>
      <c r="AW42" s="331" t="s">
        <v>136</v>
      </c>
      <c r="BC42" s="331" t="s">
        <v>3545</v>
      </c>
      <c r="BE42" s="331" t="s">
        <v>125</v>
      </c>
      <c r="BH42" s="331" t="s">
        <v>3514</v>
      </c>
      <c r="BI42" s="347" t="s">
        <v>3515</v>
      </c>
    </row>
    <row r="43" spans="1:61" s="331" customFormat="1" ht="18" customHeight="1" x14ac:dyDescent="0.35">
      <c r="A43" s="334"/>
      <c r="B43" s="335">
        <f ca="1">IF(A43="",(IF(ISNUMBER(SUBSTITUTE(LEFT(RIGHT(E43,LEN(E43)-MIN(SEARCH({1,2,3,4,5,6,7,8,9,0},E43&amp;"1234567890"))+1),10),".","/"))=TRUE,AJ43-(SUBSTITUTE(LEFT(RIGHT(E43,LEN(E43)-MIN(SEARCH({1,2,3,4,5,6,7,8,9,0},E43&amp;"1234567890"))+1),10),".","/")),IF((SUBSTITUTE(LEFT(RIGHT(E43,LEN(E43)-MIN(SEARCH({1,2,3,4,5,6,7,8,9,0},E43&amp;"1234567890"))+1),10),".","/"))="","",(AJ43)-(MID(RIGHT((SUBSTITUTE(LEFT(RIGHT(E43,LEN(E43)-MIN(SEARCH({1,2,3,4,5,6,7,8,9,0},E43&amp;"1234567890"))+1),10),".","/")),10),4,2)&amp;"/"&amp;LEFT((RIGHT((SUBSTITUTE(LEFT(RIGHT(E43,LEN(E43)-MIN(SEARCH({1,2,3,4,5,6,7,8,9,0},E43&amp;"1234567890"))+1),10),".","/")),10)),2)&amp;"/"&amp;RIGHT((SUBSTITUTE(LEFT(RIGHT(E43,LEN(E43)-MIN(SEARCH({1,2,3,4,5,6,7,8,9,0},E43&amp;"1234567890"))+1),10),".","/")),4))))),(AJ43-A43))</f>
        <v>127</v>
      </c>
      <c r="C43" s="334"/>
      <c r="D43" s="294" t="str">
        <f>IF(N43="MULTI","FGM","FGC")&amp;"-"&amp;H43&amp;"/"&amp;I43&amp;"-"&amp;TEXT(K43,"0.00")&amp;"X"&amp;IF(N43="MULTI",#REF!,N43)</f>
        <v>FGC-304/2B-001X75</v>
      </c>
      <c r="E43" s="294" t="s">
        <v>3538</v>
      </c>
      <c r="F43" s="294" t="s">
        <v>3547</v>
      </c>
      <c r="G43" s="294" t="s">
        <v>3548</v>
      </c>
      <c r="H43" s="294">
        <v>304</v>
      </c>
      <c r="I43" s="337" t="s">
        <v>116</v>
      </c>
      <c r="J43" s="149">
        <v>2.8</v>
      </c>
      <c r="K43" s="149">
        <v>1.35</v>
      </c>
      <c r="L43" s="149">
        <v>1.32</v>
      </c>
      <c r="M43" s="149">
        <v>1.34</v>
      </c>
      <c r="N43" s="335">
        <v>75</v>
      </c>
      <c r="O43" s="296">
        <v>0.35</v>
      </c>
      <c r="P43" s="345"/>
      <c r="Q43" s="138">
        <v>56.8</v>
      </c>
      <c r="R43" s="339"/>
      <c r="S43" s="339"/>
      <c r="T43" s="299" t="s">
        <v>3510</v>
      </c>
      <c r="U43" s="282" t="s">
        <v>446</v>
      </c>
      <c r="V43" s="282" t="s">
        <v>3541</v>
      </c>
      <c r="W43" s="138" t="s">
        <v>208</v>
      </c>
      <c r="X43" s="340">
        <v>43168</v>
      </c>
      <c r="Y43" s="340">
        <v>43168</v>
      </c>
      <c r="Z43" s="340">
        <v>43169</v>
      </c>
      <c r="AA43" s="340"/>
      <c r="AB43" s="340"/>
      <c r="AC43" s="341"/>
      <c r="AD43" s="342" t="s">
        <v>64</v>
      </c>
      <c r="AE43" s="342" t="s">
        <v>3542</v>
      </c>
      <c r="AF43" s="284" t="s">
        <v>3549</v>
      </c>
      <c r="AG43" s="284">
        <v>43120</v>
      </c>
      <c r="AH43" s="284">
        <v>43145</v>
      </c>
      <c r="AI43" s="284"/>
      <c r="AJ43" s="334">
        <f t="shared" ca="1" si="1"/>
        <v>44963</v>
      </c>
      <c r="AK43" s="342">
        <f t="shared" ca="1" si="2"/>
        <v>1818</v>
      </c>
      <c r="AL43" s="342"/>
      <c r="AM43" s="284" t="s">
        <v>3550</v>
      </c>
      <c r="AN43" s="284" t="s">
        <v>3547</v>
      </c>
      <c r="AO43" s="343">
        <v>9.1820000000000004</v>
      </c>
      <c r="AP43" s="343">
        <v>9.2119999999999997</v>
      </c>
      <c r="AQ43" s="343">
        <v>9.2050000000000001</v>
      </c>
      <c r="AR43" s="343">
        <v>9.2100000000000009</v>
      </c>
      <c r="AW43" s="331" t="s">
        <v>136</v>
      </c>
      <c r="BC43" s="331" t="s">
        <v>3545</v>
      </c>
      <c r="BE43" s="331" t="s">
        <v>125</v>
      </c>
      <c r="BI43" s="347" t="s">
        <v>3515</v>
      </c>
    </row>
    <row r="44" spans="1:61" s="331" customFormat="1" ht="18" customHeight="1" x14ac:dyDescent="0.35">
      <c r="A44" s="334"/>
      <c r="B44" s="335">
        <f ca="1">IF(A44="",(IF(ISNUMBER(SUBSTITUTE(LEFT(RIGHT(E44,LEN(E44)-MIN(SEARCH({1,2,3,4,5,6,7,8,9,0},E44&amp;"1234567890"))+1),10),".","/"))=TRUE,AJ44-(SUBSTITUTE(LEFT(RIGHT(E44,LEN(E44)-MIN(SEARCH({1,2,3,4,5,6,7,8,9,0},E44&amp;"1234567890"))+1),10),".","/")),IF((SUBSTITUTE(LEFT(RIGHT(E44,LEN(E44)-MIN(SEARCH({1,2,3,4,5,6,7,8,9,0},E44&amp;"1234567890"))+1),10),".","/"))="","",(AJ44)-(MID(RIGHT((SUBSTITUTE(LEFT(RIGHT(E44,LEN(E44)-MIN(SEARCH({1,2,3,4,5,6,7,8,9,0},E44&amp;"1234567890"))+1),10),".","/")),10),4,2)&amp;"/"&amp;LEFT((RIGHT((SUBSTITUTE(LEFT(RIGHT(E44,LEN(E44)-MIN(SEARCH({1,2,3,4,5,6,7,8,9,0},E44&amp;"1234567890"))+1),10),".","/")),10)),2)&amp;"/"&amp;RIGHT((SUBSTITUTE(LEFT(RIGHT(E44,LEN(E44)-MIN(SEARCH({1,2,3,4,5,6,7,8,9,0},E44&amp;"1234567890"))+1),10),".","/")),4))))),(AJ44-A44))</f>
        <v>127</v>
      </c>
      <c r="C44" s="334"/>
      <c r="D44" s="294" t="str">
        <f>IF(N44="MULTI","FGM","FGC")&amp;"-"&amp;H44&amp;"/"&amp;I44&amp;"-"&amp;TEXT(K44,"0.00")&amp;"X"&amp;IF(N44="MULTI",#REF!,N44)</f>
        <v>FGC-304/2B-001X75</v>
      </c>
      <c r="E44" s="294" t="s">
        <v>3538</v>
      </c>
      <c r="F44" s="294" t="s">
        <v>3551</v>
      </c>
      <c r="G44" s="294" t="s">
        <v>3552</v>
      </c>
      <c r="H44" s="294">
        <v>304</v>
      </c>
      <c r="I44" s="337" t="s">
        <v>116</v>
      </c>
      <c r="J44" s="149">
        <v>2.8</v>
      </c>
      <c r="K44" s="149">
        <v>1.35</v>
      </c>
      <c r="L44" s="149">
        <v>1.35</v>
      </c>
      <c r="M44" s="149">
        <v>1.36</v>
      </c>
      <c r="N44" s="335">
        <v>75</v>
      </c>
      <c r="O44" s="296">
        <v>0.34</v>
      </c>
      <c r="P44" s="345"/>
      <c r="Q44" s="138">
        <v>56.8</v>
      </c>
      <c r="R44" s="339"/>
      <c r="S44" s="339"/>
      <c r="T44" s="299" t="s">
        <v>3510</v>
      </c>
      <c r="U44" s="282" t="s">
        <v>446</v>
      </c>
      <c r="V44" s="282" t="s">
        <v>3541</v>
      </c>
      <c r="W44" s="138" t="s">
        <v>208</v>
      </c>
      <c r="X44" s="340">
        <v>43168</v>
      </c>
      <c r="Y44" s="340">
        <v>43168</v>
      </c>
      <c r="Z44" s="340">
        <v>43188</v>
      </c>
      <c r="AA44" s="340"/>
      <c r="AB44" s="340"/>
      <c r="AC44" s="341"/>
      <c r="AD44" s="342" t="s">
        <v>64</v>
      </c>
      <c r="AE44" s="342" t="s">
        <v>3542</v>
      </c>
      <c r="AF44" s="284" t="s">
        <v>3543</v>
      </c>
      <c r="AG44" s="284">
        <v>43113</v>
      </c>
      <c r="AH44" s="284">
        <v>43146</v>
      </c>
      <c r="AI44" s="284"/>
      <c r="AJ44" s="334">
        <f t="shared" ca="1" si="1"/>
        <v>44963</v>
      </c>
      <c r="AK44" s="342">
        <f t="shared" ca="1" si="2"/>
        <v>1817</v>
      </c>
      <c r="AL44" s="342"/>
      <c r="AM44" s="284" t="s">
        <v>3553</v>
      </c>
      <c r="AN44" s="284" t="s">
        <v>3551</v>
      </c>
      <c r="AO44" s="343">
        <v>8.9640000000000004</v>
      </c>
      <c r="AP44" s="343">
        <v>8.9939999999999998</v>
      </c>
      <c r="AQ44" s="343">
        <v>9</v>
      </c>
      <c r="AR44" s="343">
        <v>9.0050000000000008</v>
      </c>
      <c r="AW44" s="331" t="s">
        <v>136</v>
      </c>
      <c r="BC44" s="331" t="s">
        <v>3545</v>
      </c>
      <c r="BE44" s="331" t="s">
        <v>125</v>
      </c>
      <c r="BH44" s="331" t="s">
        <v>3514</v>
      </c>
      <c r="BI44" s="347" t="s">
        <v>3515</v>
      </c>
    </row>
    <row r="45" spans="1:61" s="331" customFormat="1" ht="18" customHeight="1" x14ac:dyDescent="0.35">
      <c r="A45" s="334"/>
      <c r="B45" s="335">
        <f ca="1">IF(A45="",(IF(ISNUMBER(SUBSTITUTE(LEFT(RIGHT(E45,LEN(E45)-MIN(SEARCH({1,2,3,4,5,6,7,8,9,0},E45&amp;"1234567890"))+1),10),".","/"))=TRUE,AJ45-(SUBSTITUTE(LEFT(RIGHT(E45,LEN(E45)-MIN(SEARCH({1,2,3,4,5,6,7,8,9,0},E45&amp;"1234567890"))+1),10),".","/")),IF((SUBSTITUTE(LEFT(RIGHT(E45,LEN(E45)-MIN(SEARCH({1,2,3,4,5,6,7,8,9,0},E45&amp;"1234567890"))+1),10),".","/"))="","",(AJ45)-(MID(RIGHT((SUBSTITUTE(LEFT(RIGHT(E45,LEN(E45)-MIN(SEARCH({1,2,3,4,5,6,7,8,9,0},E45&amp;"1234567890"))+1),10),".","/")),10),4,2)&amp;"/"&amp;LEFT((RIGHT((SUBSTITUTE(LEFT(RIGHT(E45,LEN(E45)-MIN(SEARCH({1,2,3,4,5,6,7,8,9,0},E45&amp;"1234567890"))+1),10),".","/")),10)),2)&amp;"/"&amp;RIGHT((SUBSTITUTE(LEFT(RIGHT(E45,LEN(E45)-MIN(SEARCH({1,2,3,4,5,6,7,8,9,0},E45&amp;"1234567890"))+1),10),".","/")),4))))),(AJ45-A45))</f>
        <v>127</v>
      </c>
      <c r="C45" s="334"/>
      <c r="D45" s="294" t="str">
        <f>IF(N45="MULTI","FGM","FGC")&amp;"-"&amp;H45&amp;"/"&amp;I45&amp;"-"&amp;TEXT(K45,"0.00")&amp;"X"&amp;IF(N45="MULTI",#REF!,N45)</f>
        <v>FGC-304/2B-001X75</v>
      </c>
      <c r="E45" s="294" t="s">
        <v>3538</v>
      </c>
      <c r="F45" s="294" t="s">
        <v>3554</v>
      </c>
      <c r="G45" s="294" t="s">
        <v>3555</v>
      </c>
      <c r="H45" s="294">
        <v>304</v>
      </c>
      <c r="I45" s="337" t="s">
        <v>116</v>
      </c>
      <c r="J45" s="149">
        <v>2.8</v>
      </c>
      <c r="K45" s="149">
        <v>1.35</v>
      </c>
      <c r="L45" s="149">
        <v>1.31</v>
      </c>
      <c r="M45" s="149">
        <v>1.35</v>
      </c>
      <c r="N45" s="335">
        <v>75</v>
      </c>
      <c r="O45" s="296">
        <v>0.33500000000000002</v>
      </c>
      <c r="P45" s="345"/>
      <c r="Q45" s="138">
        <v>56.8</v>
      </c>
      <c r="R45" s="339"/>
      <c r="S45" s="339"/>
      <c r="T45" s="299" t="s">
        <v>3510</v>
      </c>
      <c r="U45" s="282" t="s">
        <v>446</v>
      </c>
      <c r="V45" s="282" t="s">
        <v>3541</v>
      </c>
      <c r="W45" s="138" t="s">
        <v>208</v>
      </c>
      <c r="X45" s="340">
        <v>43168</v>
      </c>
      <c r="Y45" s="340">
        <v>43168</v>
      </c>
      <c r="Z45" s="340">
        <v>43170</v>
      </c>
      <c r="AA45" s="340"/>
      <c r="AB45" s="340"/>
      <c r="AC45" s="341"/>
      <c r="AD45" s="342" t="s">
        <v>64</v>
      </c>
      <c r="AE45" s="342" t="s">
        <v>3542</v>
      </c>
      <c r="AF45" s="284" t="s">
        <v>3543</v>
      </c>
      <c r="AG45" s="284">
        <v>43113</v>
      </c>
      <c r="AH45" s="284">
        <v>43146</v>
      </c>
      <c r="AI45" s="284"/>
      <c r="AJ45" s="334">
        <f t="shared" ca="1" si="1"/>
        <v>44963</v>
      </c>
      <c r="AK45" s="342">
        <f t="shared" ca="1" si="2"/>
        <v>1817</v>
      </c>
      <c r="AL45" s="342"/>
      <c r="AM45" s="284" t="s">
        <v>3556</v>
      </c>
      <c r="AN45" s="284" t="s">
        <v>3554</v>
      </c>
      <c r="AO45" s="343">
        <v>9.0519999999999996</v>
      </c>
      <c r="AP45" s="343">
        <v>9.081999999999999</v>
      </c>
      <c r="AQ45" s="343">
        <v>9.0849999999999991</v>
      </c>
      <c r="AR45" s="343">
        <v>9.09</v>
      </c>
      <c r="AW45" s="331" t="s">
        <v>136</v>
      </c>
      <c r="BC45" s="331" t="s">
        <v>3545</v>
      </c>
      <c r="BE45" s="331" t="s">
        <v>125</v>
      </c>
      <c r="BH45" s="331" t="s">
        <v>3514</v>
      </c>
      <c r="BI45" s="347" t="s">
        <v>3515</v>
      </c>
    </row>
    <row r="46" spans="1:61" s="331" customFormat="1" ht="18" customHeight="1" x14ac:dyDescent="0.35">
      <c r="A46" s="334"/>
      <c r="B46" s="335">
        <f ca="1">IF(A46="",(IF(ISNUMBER(SUBSTITUTE(LEFT(RIGHT(E46,LEN(E46)-MIN(SEARCH({1,2,3,4,5,6,7,8,9,0},E46&amp;"1234567890"))+1),10),".","/"))=TRUE,AJ46-(SUBSTITUTE(LEFT(RIGHT(E46,LEN(E46)-MIN(SEARCH({1,2,3,4,5,6,7,8,9,0},E46&amp;"1234567890"))+1),10),".","/")),IF((SUBSTITUTE(LEFT(RIGHT(E46,LEN(E46)-MIN(SEARCH({1,2,3,4,5,6,7,8,9,0},E46&amp;"1234567890"))+1),10),".","/"))="","",(AJ46)-(MID(RIGHT((SUBSTITUTE(LEFT(RIGHT(E46,LEN(E46)-MIN(SEARCH({1,2,3,4,5,6,7,8,9,0},E46&amp;"1234567890"))+1),10),".","/")),10),4,2)&amp;"/"&amp;LEFT((RIGHT((SUBSTITUTE(LEFT(RIGHT(E46,LEN(E46)-MIN(SEARCH({1,2,3,4,5,6,7,8,9,0},E46&amp;"1234567890"))+1),10),".","/")),10)),2)&amp;"/"&amp;RIGHT((SUBSTITUTE(LEFT(RIGHT(E46,LEN(E46)-MIN(SEARCH({1,2,3,4,5,6,7,8,9,0},E46&amp;"1234567890"))+1),10),".","/")),4))))),(AJ46-A46))</f>
        <v>127</v>
      </c>
      <c r="C46" s="334"/>
      <c r="D46" s="294" t="str">
        <f>IF(N46="MULTI","FGM","FGC")&amp;"-"&amp;H46&amp;"/"&amp;I46&amp;"-"&amp;TEXT(K46,"0.00")&amp;"X"&amp;IF(N46="MULTI",#REF!,N46)</f>
        <v>FGC-304/2B-001X75</v>
      </c>
      <c r="E46" s="294" t="s">
        <v>3538</v>
      </c>
      <c r="F46" s="294" t="s">
        <v>3551</v>
      </c>
      <c r="G46" s="294" t="s">
        <v>3557</v>
      </c>
      <c r="H46" s="294">
        <v>304</v>
      </c>
      <c r="I46" s="337" t="s">
        <v>116</v>
      </c>
      <c r="J46" s="149">
        <v>2.8</v>
      </c>
      <c r="K46" s="149">
        <v>1.35</v>
      </c>
      <c r="L46" s="149">
        <v>1.35</v>
      </c>
      <c r="M46" s="149">
        <v>1.36</v>
      </c>
      <c r="N46" s="335">
        <v>75</v>
      </c>
      <c r="O46" s="296">
        <v>0.33</v>
      </c>
      <c r="P46" s="345"/>
      <c r="Q46" s="138">
        <v>56.8</v>
      </c>
      <c r="R46" s="339"/>
      <c r="S46" s="339"/>
      <c r="T46" s="299" t="s">
        <v>3510</v>
      </c>
      <c r="U46" s="282" t="s">
        <v>446</v>
      </c>
      <c r="V46" s="282" t="s">
        <v>3541</v>
      </c>
      <c r="W46" s="138" t="s">
        <v>208</v>
      </c>
      <c r="X46" s="340">
        <v>43168</v>
      </c>
      <c r="Y46" s="340">
        <v>43168</v>
      </c>
      <c r="Z46" s="340">
        <v>43188</v>
      </c>
      <c r="AA46" s="340"/>
      <c r="AB46" s="340"/>
      <c r="AC46" s="341"/>
      <c r="AD46" s="342" t="s">
        <v>64</v>
      </c>
      <c r="AE46" s="342" t="s">
        <v>3542</v>
      </c>
      <c r="AF46" s="284" t="s">
        <v>3543</v>
      </c>
      <c r="AG46" s="284">
        <v>43113</v>
      </c>
      <c r="AH46" s="284">
        <v>43146</v>
      </c>
      <c r="AI46" s="284"/>
      <c r="AJ46" s="334">
        <f t="shared" ca="1" si="1"/>
        <v>44963</v>
      </c>
      <c r="AK46" s="342">
        <f t="shared" ca="1" si="2"/>
        <v>1817</v>
      </c>
      <c r="AL46" s="342"/>
      <c r="AM46" s="284" t="s">
        <v>3553</v>
      </c>
      <c r="AN46" s="284" t="s">
        <v>3551</v>
      </c>
      <c r="AO46" s="343">
        <v>8.9640000000000004</v>
      </c>
      <c r="AP46" s="343">
        <v>8.9939999999999998</v>
      </c>
      <c r="AQ46" s="343">
        <v>9</v>
      </c>
      <c r="AR46" s="343">
        <v>9.0050000000000008</v>
      </c>
      <c r="AW46" s="331" t="s">
        <v>136</v>
      </c>
      <c r="BC46" s="331" t="s">
        <v>3545</v>
      </c>
      <c r="BE46" s="331" t="s">
        <v>125</v>
      </c>
      <c r="BH46" s="331" t="s">
        <v>3514</v>
      </c>
      <c r="BI46" s="347" t="s">
        <v>3515</v>
      </c>
    </row>
    <row r="47" spans="1:61" s="331" customFormat="1" ht="18" customHeight="1" x14ac:dyDescent="0.35">
      <c r="A47" s="334"/>
      <c r="B47" s="335">
        <f ca="1">IF(A47="",(IF(ISNUMBER(SUBSTITUTE(LEFT(RIGHT(E47,LEN(E47)-MIN(SEARCH({1,2,3,4,5,6,7,8,9,0},E47&amp;"1234567890"))+1),10),".","/"))=TRUE,AJ47-(SUBSTITUTE(LEFT(RIGHT(E47,LEN(E47)-MIN(SEARCH({1,2,3,4,5,6,7,8,9,0},E47&amp;"1234567890"))+1),10),".","/")),IF((SUBSTITUTE(LEFT(RIGHT(E47,LEN(E47)-MIN(SEARCH({1,2,3,4,5,6,7,8,9,0},E47&amp;"1234567890"))+1),10),".","/"))="","",(AJ47)-(MID(RIGHT((SUBSTITUTE(LEFT(RIGHT(E47,LEN(E47)-MIN(SEARCH({1,2,3,4,5,6,7,8,9,0},E47&amp;"1234567890"))+1),10),".","/")),10),4,2)&amp;"/"&amp;LEFT((RIGHT((SUBSTITUTE(LEFT(RIGHT(E47,LEN(E47)-MIN(SEARCH({1,2,3,4,5,6,7,8,9,0},E47&amp;"1234567890"))+1),10),".","/")),10)),2)&amp;"/"&amp;RIGHT((SUBSTITUTE(LEFT(RIGHT(E47,LEN(E47)-MIN(SEARCH({1,2,3,4,5,6,7,8,9,0},E47&amp;"1234567890"))+1),10),".","/")),4))))),(AJ47-A47))</f>
        <v>96</v>
      </c>
      <c r="C47" s="334"/>
      <c r="D47" s="294" t="str">
        <f t="shared" ref="D47:D53" si="7">IF(Q47="MULTI","FGM","FGC")&amp;"-"&amp;H47&amp;"/"&amp;I47&amp;"-"&amp;TEXT(K47,"0.00")&amp;"X"&amp;IF(Q47="MULTI",N47,Q47)</f>
        <v>FGC-304/2B-002X56,8</v>
      </c>
      <c r="E47" s="294" t="s">
        <v>3558</v>
      </c>
      <c r="F47" s="294" t="s">
        <v>3559</v>
      </c>
      <c r="G47" s="294" t="s">
        <v>3560</v>
      </c>
      <c r="H47" s="294">
        <v>304</v>
      </c>
      <c r="I47" s="337" t="s">
        <v>116</v>
      </c>
      <c r="J47" s="149">
        <v>3.77</v>
      </c>
      <c r="K47" s="149">
        <v>1.5</v>
      </c>
      <c r="L47" s="149">
        <v>1.51</v>
      </c>
      <c r="M47" s="149">
        <v>1.54</v>
      </c>
      <c r="N47" s="335">
        <v>75.8</v>
      </c>
      <c r="O47" s="296">
        <v>0.53500000000000003</v>
      </c>
      <c r="P47" s="345"/>
      <c r="Q47" s="138">
        <v>56.8</v>
      </c>
      <c r="R47" s="339"/>
      <c r="S47" s="339"/>
      <c r="T47" s="299" t="s">
        <v>3510</v>
      </c>
      <c r="U47" s="282" t="s">
        <v>446</v>
      </c>
      <c r="V47" s="282"/>
      <c r="W47" s="138" t="s">
        <v>116</v>
      </c>
      <c r="X47" s="340">
        <v>43991</v>
      </c>
      <c r="Y47" s="340">
        <v>43991</v>
      </c>
      <c r="Z47" s="340">
        <v>44005</v>
      </c>
      <c r="AA47" s="340"/>
      <c r="AB47" s="340"/>
      <c r="AC47" s="341"/>
      <c r="AD47" s="342" t="s">
        <v>64</v>
      </c>
      <c r="AE47" s="342" t="s">
        <v>203</v>
      </c>
      <c r="AF47" s="284" t="s">
        <v>225</v>
      </c>
      <c r="AG47" s="284"/>
      <c r="AH47" s="284">
        <v>43868</v>
      </c>
      <c r="AI47" s="284"/>
      <c r="AJ47" s="334">
        <f t="shared" ca="1" si="1"/>
        <v>44963</v>
      </c>
      <c r="AK47" s="342">
        <f t="shared" ca="1" si="2"/>
        <v>1095</v>
      </c>
      <c r="AL47" s="342">
        <f ca="1">IF(ISNUMBER(Z47)=TRUE,AJ47-Z47,IF(Z47="","",(AJ47)-(MID(RIGHT(Z47,10),4,2)&amp;"/"&amp;LEFT((RIGHT(Z47,10)),2)&amp;"/"&amp;RIGHT(Z47,4))))</f>
        <v>958</v>
      </c>
      <c r="AM47" s="284"/>
      <c r="AN47" s="284" t="s">
        <v>3561</v>
      </c>
      <c r="AO47" s="343">
        <v>7.48</v>
      </c>
      <c r="AP47" s="343">
        <v>7.49</v>
      </c>
      <c r="AQ47" s="343">
        <v>7.51</v>
      </c>
      <c r="AR47" s="343">
        <v>7.5149999999999997</v>
      </c>
      <c r="AS47" s="331">
        <f t="shared" ref="AS47:AS53" ca="1" si="8">IF(ISNUMBER(Y47)=TRUE,AJ47-Y47,IF(Y47="","",(AJ47)-(MID(RIGHT(Y47,10),4,2)&amp;"/"&amp;LEFT((RIGHT(Y47,10)),2)&amp;"/"&amp;RIGHT(Y47,4))))</f>
        <v>972</v>
      </c>
      <c r="AV47" s="331" t="s">
        <v>136</v>
      </c>
      <c r="BE47" s="331" t="s">
        <v>227</v>
      </c>
      <c r="BH47" s="331" t="s">
        <v>3514</v>
      </c>
      <c r="BI47" s="347" t="s">
        <v>3515</v>
      </c>
    </row>
    <row r="48" spans="1:61" s="331" customFormat="1" ht="18" customHeight="1" x14ac:dyDescent="0.35">
      <c r="A48" s="334"/>
      <c r="B48" s="335">
        <f ca="1">IF(A48="",(IF(ISNUMBER(SUBSTITUTE(LEFT(RIGHT(E48,LEN(E48)-MIN(SEARCH({1,2,3,4,5,6,7,8,9,0},E48&amp;"1234567890"))+1),10),".","/"))=TRUE,AJ48-(SUBSTITUTE(LEFT(RIGHT(E48,LEN(E48)-MIN(SEARCH({1,2,3,4,5,6,7,8,9,0},E48&amp;"1234567890"))+1),10),".","/")),IF((SUBSTITUTE(LEFT(RIGHT(E48,LEN(E48)-MIN(SEARCH({1,2,3,4,5,6,7,8,9,0},E48&amp;"1234567890"))+1),10),".","/"))="","",(AJ48)-(MID(RIGHT((SUBSTITUTE(LEFT(RIGHT(E48,LEN(E48)-MIN(SEARCH({1,2,3,4,5,6,7,8,9,0},E48&amp;"1234567890"))+1),10),".","/")),10),4,2)&amp;"/"&amp;LEFT((RIGHT((SUBSTITUTE(LEFT(RIGHT(E48,LEN(E48)-MIN(SEARCH({1,2,3,4,5,6,7,8,9,0},E48&amp;"1234567890"))+1),10),".","/")),10)),2)&amp;"/"&amp;RIGHT((SUBSTITUTE(LEFT(RIGHT(E48,LEN(E48)-MIN(SEARCH({1,2,3,4,5,6,7,8,9,0},E48&amp;"1234567890"))+1),10),".","/")),4))))),(AJ48-A48))</f>
        <v>96</v>
      </c>
      <c r="C48" s="334"/>
      <c r="D48" s="294" t="str">
        <f t="shared" si="7"/>
        <v>FGC-304/2B-002X56,8</v>
      </c>
      <c r="E48" s="294" t="s">
        <v>3558</v>
      </c>
      <c r="F48" s="294" t="s">
        <v>3562</v>
      </c>
      <c r="G48" s="294" t="s">
        <v>3563</v>
      </c>
      <c r="H48" s="294">
        <v>304</v>
      </c>
      <c r="I48" s="337" t="s">
        <v>116</v>
      </c>
      <c r="J48" s="149">
        <v>3.79</v>
      </c>
      <c r="K48" s="149">
        <v>1.5</v>
      </c>
      <c r="L48" s="149">
        <v>1.53</v>
      </c>
      <c r="M48" s="149">
        <v>1.54</v>
      </c>
      <c r="N48" s="335">
        <v>75.8</v>
      </c>
      <c r="O48" s="296">
        <v>0.54500000000000004</v>
      </c>
      <c r="P48" s="345"/>
      <c r="Q48" s="138">
        <v>56.8</v>
      </c>
      <c r="R48" s="339"/>
      <c r="S48" s="339"/>
      <c r="T48" s="299" t="s">
        <v>3510</v>
      </c>
      <c r="U48" s="282" t="s">
        <v>446</v>
      </c>
      <c r="V48" s="282"/>
      <c r="W48" s="138" t="s">
        <v>116</v>
      </c>
      <c r="X48" s="340">
        <v>43992</v>
      </c>
      <c r="Y48" s="340">
        <v>43994</v>
      </c>
      <c r="Z48" s="340">
        <v>44005</v>
      </c>
      <c r="AA48" s="340"/>
      <c r="AB48" s="340"/>
      <c r="AC48" s="341"/>
      <c r="AD48" s="342" t="s">
        <v>64</v>
      </c>
      <c r="AE48" s="342" t="s">
        <v>203</v>
      </c>
      <c r="AF48" s="284" t="s">
        <v>225</v>
      </c>
      <c r="AG48" s="284"/>
      <c r="AH48" s="284">
        <v>43868</v>
      </c>
      <c r="AI48" s="284"/>
      <c r="AJ48" s="334">
        <f t="shared" ca="1" si="1"/>
        <v>44963</v>
      </c>
      <c r="AK48" s="342">
        <f t="shared" ca="1" si="2"/>
        <v>1095</v>
      </c>
      <c r="AL48" s="342">
        <f ca="1">IF(ISNUMBER(Z48)=TRUE,AJ48-Z48,IF(Z48="","",(AJ48)-(MID(RIGHT(Z48,10),4,2)&amp;"/"&amp;LEFT((RIGHT(Z48,10)),2)&amp;"/"&amp;RIGHT(Z48,4))))</f>
        <v>958</v>
      </c>
      <c r="AM48" s="284"/>
      <c r="AN48" s="284" t="s">
        <v>3564</v>
      </c>
      <c r="AO48" s="343">
        <v>7.5149999999999997</v>
      </c>
      <c r="AP48" s="343">
        <v>7.5250000000000004</v>
      </c>
      <c r="AQ48" s="343">
        <v>7.54</v>
      </c>
      <c r="AR48" s="343">
        <v>7.5449999999999999</v>
      </c>
      <c r="AS48" s="331">
        <f t="shared" ca="1" si="8"/>
        <v>969</v>
      </c>
      <c r="AV48" s="331" t="s">
        <v>136</v>
      </c>
      <c r="BE48" s="331" t="s">
        <v>227</v>
      </c>
      <c r="BH48" s="331" t="s">
        <v>3514</v>
      </c>
      <c r="BI48" s="347" t="s">
        <v>3515</v>
      </c>
    </row>
    <row r="49" spans="1:61" s="331" customFormat="1" ht="18" customHeight="1" x14ac:dyDescent="0.35">
      <c r="A49" s="334"/>
      <c r="B49" s="335">
        <f ca="1">IF(A49="",(IF(ISNUMBER(SUBSTITUTE(LEFT(RIGHT(E49,LEN(E49)-MIN(SEARCH({1,2,3,4,5,6,7,8,9,0},E49&amp;"1234567890"))+1),10),".","/"))=TRUE,AJ49-(SUBSTITUTE(LEFT(RIGHT(E49,LEN(E49)-MIN(SEARCH({1,2,3,4,5,6,7,8,9,0},E49&amp;"1234567890"))+1),10),".","/")),IF((SUBSTITUTE(LEFT(RIGHT(E49,LEN(E49)-MIN(SEARCH({1,2,3,4,5,6,7,8,9,0},E49&amp;"1234567890"))+1),10),".","/"))="","",(AJ49)-(MID(RIGHT((SUBSTITUTE(LEFT(RIGHT(E49,LEN(E49)-MIN(SEARCH({1,2,3,4,5,6,7,8,9,0},E49&amp;"1234567890"))+1),10),".","/")),10),4,2)&amp;"/"&amp;LEFT((RIGHT((SUBSTITUTE(LEFT(RIGHT(E49,LEN(E49)-MIN(SEARCH({1,2,3,4,5,6,7,8,9,0},E49&amp;"1234567890"))+1),10),".","/")),10)),2)&amp;"/"&amp;RIGHT((SUBSTITUTE(LEFT(RIGHT(E49,LEN(E49)-MIN(SEARCH({1,2,3,4,5,6,7,8,9,0},E49&amp;"1234567890"))+1),10),".","/")),4))))),(AJ49-A49))</f>
        <v>96</v>
      </c>
      <c r="C49" s="334"/>
      <c r="D49" s="294" t="str">
        <f t="shared" si="7"/>
        <v>FGC-304L/2B-002X56,8</v>
      </c>
      <c r="E49" s="294" t="s">
        <v>3558</v>
      </c>
      <c r="F49" s="294" t="s">
        <v>3565</v>
      </c>
      <c r="G49" s="294" t="s">
        <v>3566</v>
      </c>
      <c r="H49" s="294" t="s">
        <v>230</v>
      </c>
      <c r="I49" s="337" t="s">
        <v>116</v>
      </c>
      <c r="J49" s="149">
        <v>3.44</v>
      </c>
      <c r="K49" s="149">
        <v>1.5</v>
      </c>
      <c r="L49" s="149">
        <v>1.47</v>
      </c>
      <c r="M49" s="149">
        <v>1.48</v>
      </c>
      <c r="N49" s="335">
        <v>75.8</v>
      </c>
      <c r="O49" s="296">
        <v>0.44500000000000001</v>
      </c>
      <c r="P49" s="345"/>
      <c r="Q49" s="138">
        <v>56.8</v>
      </c>
      <c r="R49" s="339"/>
      <c r="S49" s="339"/>
      <c r="T49" s="299" t="s">
        <v>3510</v>
      </c>
      <c r="U49" s="282" t="s">
        <v>446</v>
      </c>
      <c r="V49" s="282"/>
      <c r="W49" s="138" t="s">
        <v>116</v>
      </c>
      <c r="X49" s="340">
        <v>44007</v>
      </c>
      <c r="Y49" s="340">
        <v>44007</v>
      </c>
      <c r="Z49" s="340">
        <v>44010</v>
      </c>
      <c r="AA49" s="340"/>
      <c r="AB49" s="340"/>
      <c r="AC49" s="341"/>
      <c r="AD49" s="342" t="s">
        <v>64</v>
      </c>
      <c r="AE49" s="342" t="s">
        <v>203</v>
      </c>
      <c r="AF49" s="284" t="s">
        <v>3567</v>
      </c>
      <c r="AG49" s="284"/>
      <c r="AH49" s="284">
        <v>44000</v>
      </c>
      <c r="AI49" s="284"/>
      <c r="AJ49" s="334">
        <f t="shared" ca="1" si="1"/>
        <v>44963</v>
      </c>
      <c r="AK49" s="342">
        <f t="shared" ca="1" si="2"/>
        <v>963</v>
      </c>
      <c r="AL49" s="342">
        <f ca="1">IF(ISNUMBER(Z49)=TRUE,AJ49-Z49,IF(Z49="","",(AJ49)-(MID(RIGHT(Z49,10),4,2)&amp;"/"&amp;LEFT((RIGHT(Z49,10)),2)&amp;"/"&amp;RIGHT(Z49,4))))</f>
        <v>953</v>
      </c>
      <c r="AM49" s="284"/>
      <c r="AN49" s="284" t="s">
        <v>3568</v>
      </c>
      <c r="AO49" s="343">
        <v>11.975</v>
      </c>
      <c r="AP49" s="343">
        <v>11.984999999999999</v>
      </c>
      <c r="AQ49" s="343">
        <v>11.999999999999998</v>
      </c>
      <c r="AR49" s="343">
        <v>12.004999999999999</v>
      </c>
      <c r="AS49" s="331">
        <f t="shared" ca="1" si="8"/>
        <v>956</v>
      </c>
      <c r="AV49" s="331" t="s">
        <v>136</v>
      </c>
      <c r="BH49" s="331" t="s">
        <v>3514</v>
      </c>
      <c r="BI49" s="347" t="s">
        <v>3515</v>
      </c>
    </row>
    <row r="50" spans="1:61" s="331" customFormat="1" ht="18" customHeight="1" x14ac:dyDescent="0.35">
      <c r="A50" s="334"/>
      <c r="B50" s="335">
        <f ca="1">IF(A50="",(IF(ISNUMBER(SUBSTITUTE(LEFT(RIGHT(E50,LEN(E50)-MIN(SEARCH({1,2,3,4,5,6,7,8,9,0},E50&amp;"1234567890"))+1),10),".","/"))=TRUE,AJ50-(SUBSTITUTE(LEFT(RIGHT(E50,LEN(E50)-MIN(SEARCH({1,2,3,4,5,6,7,8,9,0},E50&amp;"1234567890"))+1),10),".","/")),IF((SUBSTITUTE(LEFT(RIGHT(E50,LEN(E50)-MIN(SEARCH({1,2,3,4,5,6,7,8,9,0},E50&amp;"1234567890"))+1),10),".","/"))="","",(AJ50)-(MID(RIGHT((SUBSTITUTE(LEFT(RIGHT(E50,LEN(E50)-MIN(SEARCH({1,2,3,4,5,6,7,8,9,0},E50&amp;"1234567890"))+1),10),".","/")),10),4,2)&amp;"/"&amp;LEFT((RIGHT((SUBSTITUTE(LEFT(RIGHT(E50,LEN(E50)-MIN(SEARCH({1,2,3,4,5,6,7,8,9,0},E50&amp;"1234567890"))+1),10),".","/")),10)),2)&amp;"/"&amp;RIGHT((SUBSTITUTE(LEFT(RIGHT(E50,LEN(E50)-MIN(SEARCH({1,2,3,4,5,6,7,8,9,0},E50&amp;"1234567890"))+1),10),".","/")),4))))),(AJ50-A50))</f>
        <v>96</v>
      </c>
      <c r="C50" s="334"/>
      <c r="D50" s="294" t="str">
        <f t="shared" si="7"/>
        <v>FGC-304/2B-001X76,5</v>
      </c>
      <c r="E50" s="294" t="s">
        <v>3558</v>
      </c>
      <c r="F50" s="294" t="s">
        <v>3569</v>
      </c>
      <c r="G50" s="294" t="s">
        <v>3570</v>
      </c>
      <c r="H50" s="294">
        <v>304</v>
      </c>
      <c r="I50" s="337" t="s">
        <v>116</v>
      </c>
      <c r="J50" s="149">
        <v>2.8</v>
      </c>
      <c r="K50" s="149">
        <v>1.35</v>
      </c>
      <c r="L50" s="149">
        <v>1.36</v>
      </c>
      <c r="M50" s="149">
        <v>1.37</v>
      </c>
      <c r="N50" s="335">
        <v>83</v>
      </c>
      <c r="O50" s="296">
        <v>0.45</v>
      </c>
      <c r="P50" s="345"/>
      <c r="Q50" s="138">
        <v>76.5</v>
      </c>
      <c r="R50" s="339"/>
      <c r="S50" s="339"/>
      <c r="T50" s="299" t="s">
        <v>3510</v>
      </c>
      <c r="U50" s="282" t="s">
        <v>446</v>
      </c>
      <c r="V50" s="282" t="s">
        <v>3541</v>
      </c>
      <c r="W50" s="138" t="s">
        <v>208</v>
      </c>
      <c r="X50" s="340">
        <v>43166</v>
      </c>
      <c r="Y50" s="340">
        <v>43166</v>
      </c>
      <c r="Z50" s="340">
        <v>43188</v>
      </c>
      <c r="AA50" s="340"/>
      <c r="AB50" s="340"/>
      <c r="AC50" s="341"/>
      <c r="AD50" s="342" t="s">
        <v>64</v>
      </c>
      <c r="AE50" s="342" t="s">
        <v>3542</v>
      </c>
      <c r="AF50" s="284" t="s">
        <v>3543</v>
      </c>
      <c r="AG50" s="284">
        <v>43113</v>
      </c>
      <c r="AH50" s="284">
        <v>43146</v>
      </c>
      <c r="AI50" s="284"/>
      <c r="AJ50" s="334">
        <f t="shared" ca="1" si="1"/>
        <v>44963</v>
      </c>
      <c r="AK50" s="342">
        <f t="shared" ca="1" si="2"/>
        <v>1817</v>
      </c>
      <c r="AL50" s="342"/>
      <c r="AM50" s="284" t="s">
        <v>3571</v>
      </c>
      <c r="AN50" s="284" t="s">
        <v>3569</v>
      </c>
      <c r="AO50" s="343">
        <v>9.0280000000000005</v>
      </c>
      <c r="AP50" s="343">
        <v>9.0579999999999998</v>
      </c>
      <c r="AQ50" s="343">
        <v>9.0549999999999997</v>
      </c>
      <c r="AR50" s="343">
        <v>9.06</v>
      </c>
      <c r="AS50" s="331">
        <f t="shared" ca="1" si="8"/>
        <v>1797</v>
      </c>
      <c r="AV50" s="331" t="s">
        <v>136</v>
      </c>
      <c r="BE50" s="331">
        <v>0</v>
      </c>
      <c r="BH50" s="331" t="s">
        <v>3514</v>
      </c>
      <c r="BI50" s="347" t="s">
        <v>3572</v>
      </c>
    </row>
    <row r="51" spans="1:61" s="331" customFormat="1" ht="18" customHeight="1" x14ac:dyDescent="0.35">
      <c r="A51" s="334"/>
      <c r="B51" s="335">
        <f ca="1">IF(A51="",(IF(ISNUMBER(SUBSTITUTE(LEFT(RIGHT(E51,LEN(E51)-MIN(SEARCH({1,2,3,4,5,6,7,8,9,0},E51&amp;"1234567890"))+1),10),".","/"))=TRUE,AJ51-(SUBSTITUTE(LEFT(RIGHT(E51,LEN(E51)-MIN(SEARCH({1,2,3,4,5,6,7,8,9,0},E51&amp;"1234567890"))+1),10),".","/")),IF((SUBSTITUTE(LEFT(RIGHT(E51,LEN(E51)-MIN(SEARCH({1,2,3,4,5,6,7,8,9,0},E51&amp;"1234567890"))+1),10),".","/"))="","",(AJ51)-(MID(RIGHT((SUBSTITUTE(LEFT(RIGHT(E51,LEN(E51)-MIN(SEARCH({1,2,3,4,5,6,7,8,9,0},E51&amp;"1234567890"))+1),10),".","/")),10),4,2)&amp;"/"&amp;LEFT((RIGHT((SUBSTITUTE(LEFT(RIGHT(E51,LEN(E51)-MIN(SEARCH({1,2,3,4,5,6,7,8,9,0},E51&amp;"1234567890"))+1),10),".","/")),10)),2)&amp;"/"&amp;RIGHT((SUBSTITUTE(LEFT(RIGHT(E51,LEN(E51)-MIN(SEARCH({1,2,3,4,5,6,7,8,9,0},E51&amp;"1234567890"))+1),10),".","/")),4))))),(AJ51-A51))</f>
        <v>96</v>
      </c>
      <c r="C51" s="334"/>
      <c r="D51" s="294" t="str">
        <f t="shared" si="7"/>
        <v>FGC-304/2B-001X56,8</v>
      </c>
      <c r="E51" s="294" t="s">
        <v>3558</v>
      </c>
      <c r="F51" s="294" t="s">
        <v>3573</v>
      </c>
      <c r="G51" s="294" t="s">
        <v>3574</v>
      </c>
      <c r="H51" s="294">
        <v>304</v>
      </c>
      <c r="I51" s="337" t="s">
        <v>116</v>
      </c>
      <c r="J51" s="149">
        <v>2.8</v>
      </c>
      <c r="K51" s="149">
        <v>1.35</v>
      </c>
      <c r="L51" s="149">
        <v>1.33</v>
      </c>
      <c r="M51" s="149">
        <v>1.36</v>
      </c>
      <c r="N51" s="335">
        <v>75</v>
      </c>
      <c r="O51" s="296">
        <v>0.35</v>
      </c>
      <c r="P51" s="345"/>
      <c r="Q51" s="138">
        <v>56.8</v>
      </c>
      <c r="R51" s="339"/>
      <c r="S51" s="339"/>
      <c r="T51" s="299" t="s">
        <v>3510</v>
      </c>
      <c r="U51" s="282" t="s">
        <v>446</v>
      </c>
      <c r="V51" s="282" t="s">
        <v>3541</v>
      </c>
      <c r="W51" s="138" t="s">
        <v>208</v>
      </c>
      <c r="X51" s="340">
        <v>43166</v>
      </c>
      <c r="Y51" s="340">
        <v>43166</v>
      </c>
      <c r="Z51" s="340">
        <v>43170</v>
      </c>
      <c r="AA51" s="340"/>
      <c r="AB51" s="340"/>
      <c r="AC51" s="341"/>
      <c r="AD51" s="342" t="s">
        <v>64</v>
      </c>
      <c r="AE51" s="342" t="s">
        <v>3542</v>
      </c>
      <c r="AF51" s="284" t="s">
        <v>3549</v>
      </c>
      <c r="AG51" s="284">
        <v>43120</v>
      </c>
      <c r="AH51" s="284">
        <v>43145</v>
      </c>
      <c r="AI51" s="284"/>
      <c r="AJ51" s="334">
        <f t="shared" ca="1" si="1"/>
        <v>44963</v>
      </c>
      <c r="AK51" s="342">
        <f t="shared" ca="1" si="2"/>
        <v>1818</v>
      </c>
      <c r="AL51" s="342"/>
      <c r="AM51" s="284" t="s">
        <v>3575</v>
      </c>
      <c r="AN51" s="284" t="s">
        <v>3573</v>
      </c>
      <c r="AO51" s="343">
        <v>9.17</v>
      </c>
      <c r="AP51" s="343">
        <v>9.1999999999999993</v>
      </c>
      <c r="AQ51" s="343">
        <v>9.1949999999999985</v>
      </c>
      <c r="AR51" s="343">
        <v>9.1999999999999993</v>
      </c>
      <c r="AS51" s="331">
        <f t="shared" ca="1" si="8"/>
        <v>1797</v>
      </c>
      <c r="AV51" s="331" t="s">
        <v>136</v>
      </c>
      <c r="BE51" s="331" t="s">
        <v>125</v>
      </c>
      <c r="BH51" s="331" t="s">
        <v>3514</v>
      </c>
      <c r="BI51" s="347" t="s">
        <v>3572</v>
      </c>
    </row>
    <row r="52" spans="1:61" s="331" customFormat="1" ht="18" customHeight="1" x14ac:dyDescent="0.35">
      <c r="A52" s="334"/>
      <c r="B52" s="335">
        <f ca="1">IF(A52="",(IF(ISNUMBER(SUBSTITUTE(LEFT(RIGHT(E52,LEN(E52)-MIN(SEARCH({1,2,3,4,5,6,7,8,9,0},E52&amp;"1234567890"))+1),10),".","/"))=TRUE,AJ52-(SUBSTITUTE(LEFT(RIGHT(E52,LEN(E52)-MIN(SEARCH({1,2,3,4,5,6,7,8,9,0},E52&amp;"1234567890"))+1),10),".","/")),IF((SUBSTITUTE(LEFT(RIGHT(E52,LEN(E52)-MIN(SEARCH({1,2,3,4,5,6,7,8,9,0},E52&amp;"1234567890"))+1),10),".","/"))="","",(AJ52)-(MID(RIGHT((SUBSTITUTE(LEFT(RIGHT(E52,LEN(E52)-MIN(SEARCH({1,2,3,4,5,6,7,8,9,0},E52&amp;"1234567890"))+1),10),".","/")),10),4,2)&amp;"/"&amp;LEFT((RIGHT((SUBSTITUTE(LEFT(RIGHT(E52,LEN(E52)-MIN(SEARCH({1,2,3,4,5,6,7,8,9,0},E52&amp;"1234567890"))+1),10),".","/")),10)),2)&amp;"/"&amp;RIGHT((SUBSTITUTE(LEFT(RIGHT(E52,LEN(E52)-MIN(SEARCH({1,2,3,4,5,6,7,8,9,0},E52&amp;"1234567890"))+1),10),".","/")),4))))),(AJ52-A52))</f>
        <v>66</v>
      </c>
      <c r="C52" s="334"/>
      <c r="D52" s="294" t="str">
        <f t="shared" si="7"/>
        <v>FGC-J1/2B-001X48.8*2</v>
      </c>
      <c r="E52" s="294" t="s">
        <v>3576</v>
      </c>
      <c r="F52" s="294" t="s">
        <v>3577</v>
      </c>
      <c r="G52" s="294" t="s">
        <v>3578</v>
      </c>
      <c r="H52" s="294" t="s">
        <v>27</v>
      </c>
      <c r="I52" s="337" t="s">
        <v>116</v>
      </c>
      <c r="J52" s="149">
        <v>0.92</v>
      </c>
      <c r="K52" s="149">
        <v>0.5</v>
      </c>
      <c r="L52" s="149">
        <v>0.48</v>
      </c>
      <c r="M52" s="149">
        <v>0.5</v>
      </c>
      <c r="N52" s="335">
        <v>107</v>
      </c>
      <c r="O52" s="296">
        <v>0.81</v>
      </c>
      <c r="P52" s="345"/>
      <c r="Q52" s="138" t="s">
        <v>3579</v>
      </c>
      <c r="R52" s="339"/>
      <c r="S52" s="339"/>
      <c r="T52" s="299" t="s">
        <v>3510</v>
      </c>
      <c r="U52" s="282" t="s">
        <v>446</v>
      </c>
      <c r="V52" s="282" t="s">
        <v>3580</v>
      </c>
      <c r="W52" s="138" t="s">
        <v>116</v>
      </c>
      <c r="X52" s="340">
        <v>44099</v>
      </c>
      <c r="Y52" s="340">
        <v>44104</v>
      </c>
      <c r="Z52" s="340">
        <v>44107</v>
      </c>
      <c r="AA52" s="340" t="s">
        <v>3581</v>
      </c>
      <c r="AB52" s="340"/>
      <c r="AC52" s="341"/>
      <c r="AD52" s="342" t="s">
        <v>116</v>
      </c>
      <c r="AE52" s="342" t="s">
        <v>261</v>
      </c>
      <c r="AF52" s="284" t="s">
        <v>262</v>
      </c>
      <c r="AG52" s="284">
        <v>44042</v>
      </c>
      <c r="AH52" s="284">
        <v>44068</v>
      </c>
      <c r="AI52" s="284"/>
      <c r="AJ52" s="334">
        <f t="shared" ca="1" si="1"/>
        <v>44963</v>
      </c>
      <c r="AK52" s="342">
        <f t="shared" ca="1" si="2"/>
        <v>895</v>
      </c>
      <c r="AL52" s="342">
        <f ca="1">IF(ISNUMBER(Z52)=TRUE,AJ52-Z52,IF(Z52="","",(AJ52)-(MID(RIGHT(Z52,10),4,2)&amp;"/"&amp;LEFT((RIGHT(Z52,10)),2)&amp;"/"&amp;RIGHT(Z52,4))))</f>
        <v>856</v>
      </c>
      <c r="AM52" s="284" t="s">
        <v>3582</v>
      </c>
      <c r="AN52" s="284" t="s">
        <v>3583</v>
      </c>
      <c r="AO52" s="343">
        <v>11.635</v>
      </c>
      <c r="AP52" s="343">
        <v>11.664999999999999</v>
      </c>
      <c r="AQ52" s="343">
        <v>11.689999999999998</v>
      </c>
      <c r="AR52" s="343">
        <v>11.694999999999999</v>
      </c>
      <c r="AS52" s="331">
        <f t="shared" ca="1" si="8"/>
        <v>859</v>
      </c>
      <c r="AV52" s="331" t="s">
        <v>136</v>
      </c>
      <c r="BI52" s="347" t="s">
        <v>3584</v>
      </c>
    </row>
    <row r="53" spans="1:61" s="331" customFormat="1" ht="18" customHeight="1" x14ac:dyDescent="0.35">
      <c r="A53" s="334"/>
      <c r="B53" s="335">
        <f ca="1">IF(A53="",(IF(ISNUMBER(SUBSTITUTE(LEFT(RIGHT(E53,LEN(E53)-MIN(SEARCH({1,2,3,4,5,6,7,8,9,0},E53&amp;"1234567890"))+1),10),".","/"))=TRUE,AJ53-(SUBSTITUTE(LEFT(RIGHT(E53,LEN(E53)-MIN(SEARCH({1,2,3,4,5,6,7,8,9,0},E53&amp;"1234567890"))+1),10),".","/")),IF((SUBSTITUTE(LEFT(RIGHT(E53,LEN(E53)-MIN(SEARCH({1,2,3,4,5,6,7,8,9,0},E53&amp;"1234567890"))+1),10),".","/"))="","",(AJ53)-(MID(RIGHT((SUBSTITUTE(LEFT(RIGHT(E53,LEN(E53)-MIN(SEARCH({1,2,3,4,5,6,7,8,9,0},E53&amp;"1234567890"))+1),10),".","/")),10),4,2)&amp;"/"&amp;LEFT((RIGHT((SUBSTITUTE(LEFT(RIGHT(E53,LEN(E53)-MIN(SEARCH({1,2,3,4,5,6,7,8,9,0},E53&amp;"1234567890"))+1),10),".","/")),10)),2)&amp;"/"&amp;RIGHT((SUBSTITUTE(LEFT(RIGHT(E53,LEN(E53)-MIN(SEARCH({1,2,3,4,5,6,7,8,9,0},E53&amp;"1234567890"))+1),10),".","/")),4))))),(AJ53-A53))</f>
        <v>66</v>
      </c>
      <c r="C53" s="334"/>
      <c r="D53" s="294" t="str">
        <f t="shared" si="7"/>
        <v>FGC-304/304L/2B-001X87,4</v>
      </c>
      <c r="E53" s="294" t="s">
        <v>3576</v>
      </c>
      <c r="F53" s="294" t="s">
        <v>3585</v>
      </c>
      <c r="G53" s="294" t="s">
        <v>3586</v>
      </c>
      <c r="H53" s="294" t="s">
        <v>377</v>
      </c>
      <c r="I53" s="337" t="s">
        <v>116</v>
      </c>
      <c r="J53" s="149">
        <v>3.79</v>
      </c>
      <c r="K53" s="149">
        <v>1.17</v>
      </c>
      <c r="L53" s="149">
        <v>1.1599999999999999</v>
      </c>
      <c r="M53" s="149">
        <v>1.17</v>
      </c>
      <c r="N53" s="335">
        <v>95</v>
      </c>
      <c r="O53" s="296">
        <v>0.66500000000000004</v>
      </c>
      <c r="P53" s="345"/>
      <c r="Q53" s="138">
        <v>87.4</v>
      </c>
      <c r="R53" s="339"/>
      <c r="S53" s="339"/>
      <c r="T53" s="299" t="s">
        <v>3510</v>
      </c>
      <c r="U53" s="282" t="s">
        <v>446</v>
      </c>
      <c r="V53" s="282" t="s">
        <v>3587</v>
      </c>
      <c r="W53" s="138" t="s">
        <v>116</v>
      </c>
      <c r="X53" s="340">
        <v>44263</v>
      </c>
      <c r="Y53" s="340">
        <v>44263</v>
      </c>
      <c r="Z53" s="340">
        <v>44265</v>
      </c>
      <c r="AA53" s="340"/>
      <c r="AB53" s="340"/>
      <c r="AC53" s="341"/>
      <c r="AD53" s="342" t="s">
        <v>64</v>
      </c>
      <c r="AE53" s="342" t="s">
        <v>154</v>
      </c>
      <c r="AF53" s="284" t="s">
        <v>380</v>
      </c>
      <c r="AG53" s="284"/>
      <c r="AH53" s="284">
        <v>44257</v>
      </c>
      <c r="AI53" s="284"/>
      <c r="AJ53" s="334">
        <f t="shared" ca="1" si="1"/>
        <v>44963</v>
      </c>
      <c r="AK53" s="342">
        <f t="shared" ca="1" si="2"/>
        <v>706</v>
      </c>
      <c r="AL53" s="342"/>
      <c r="AM53" s="284"/>
      <c r="AN53" s="284" t="s">
        <v>3588</v>
      </c>
      <c r="AO53" s="343">
        <v>12.115</v>
      </c>
      <c r="AP53" s="343">
        <v>12.125</v>
      </c>
      <c r="AQ53" s="343">
        <v>12.149999999999999</v>
      </c>
      <c r="AR53" s="343">
        <v>12.154999999999999</v>
      </c>
      <c r="AS53" s="331">
        <f t="shared" ca="1" si="8"/>
        <v>700</v>
      </c>
      <c r="AV53" s="331" t="s">
        <v>136</v>
      </c>
      <c r="AZ53" s="331" t="s">
        <v>382</v>
      </c>
      <c r="BI53" s="347" t="s">
        <v>3572</v>
      </c>
    </row>
    <row r="54" spans="1:61" s="362" customFormat="1" ht="20.25" customHeight="1" x14ac:dyDescent="0.35">
      <c r="A54" s="349"/>
      <c r="B54" s="350"/>
      <c r="C54" s="349"/>
      <c r="D54" s="351"/>
      <c r="E54" s="351"/>
      <c r="F54" s="351"/>
      <c r="G54" s="351"/>
      <c r="H54" s="351"/>
      <c r="I54" s="285"/>
      <c r="J54" s="352"/>
      <c r="K54" s="352"/>
      <c r="L54" s="352"/>
      <c r="M54" s="352"/>
      <c r="N54" s="350"/>
      <c r="O54" s="353">
        <f>SUM(O7:O53)</f>
        <v>40.730000000000018</v>
      </c>
      <c r="P54" s="354"/>
      <c r="Q54" s="355"/>
      <c r="R54" s="356"/>
      <c r="S54" s="357"/>
      <c r="T54" s="358"/>
      <c r="U54" s="359"/>
      <c r="V54" s="359"/>
      <c r="W54" s="359"/>
      <c r="X54" s="360"/>
      <c r="Y54" s="360"/>
      <c r="Z54" s="360"/>
      <c r="AA54" s="360"/>
      <c r="AB54" s="360"/>
      <c r="AC54" s="361"/>
      <c r="AF54" s="363"/>
      <c r="AG54" s="363"/>
      <c r="AH54" s="363"/>
      <c r="AI54" s="363"/>
      <c r="AJ54" s="349"/>
      <c r="AM54" s="363"/>
      <c r="AN54" s="363"/>
      <c r="AO54" s="364"/>
      <c r="AP54" s="364"/>
      <c r="AQ54" s="364"/>
      <c r="AR54" s="364"/>
    </row>
    <row r="55" spans="1:61" s="331" customFormat="1" ht="20.25" customHeight="1" x14ac:dyDescent="0.35">
      <c r="A55" s="320"/>
      <c r="B55" s="319"/>
      <c r="C55" s="320"/>
      <c r="D55" s="302"/>
      <c r="E55" s="302"/>
      <c r="F55" s="302"/>
      <c r="G55" s="302"/>
      <c r="H55" s="302"/>
      <c r="I55" s="260"/>
      <c r="J55" s="321"/>
      <c r="K55" s="321"/>
      <c r="L55" s="321"/>
      <c r="M55" s="321"/>
      <c r="N55" s="319"/>
      <c r="O55" s="322"/>
      <c r="P55" s="323"/>
      <c r="Q55" s="324"/>
      <c r="R55" s="325"/>
      <c r="S55" s="326"/>
      <c r="T55" s="327"/>
      <c r="U55" s="328"/>
      <c r="V55" s="328"/>
      <c r="W55" s="328"/>
      <c r="X55" s="329"/>
      <c r="Y55" s="329"/>
      <c r="Z55" s="329"/>
      <c r="AA55" s="329"/>
      <c r="AB55" s="329"/>
      <c r="AC55" s="330"/>
      <c r="AF55" s="332"/>
      <c r="AG55" s="332"/>
      <c r="AH55" s="332"/>
      <c r="AI55" s="332"/>
      <c r="AJ55" s="320"/>
      <c r="AM55" s="332"/>
      <c r="AN55" s="332"/>
      <c r="AO55" s="333"/>
      <c r="AP55" s="333"/>
      <c r="AQ55" s="333"/>
      <c r="AR55" s="333"/>
    </row>
    <row r="56" spans="1:61" s="331" customFormat="1" ht="18" customHeight="1" x14ac:dyDescent="0.35">
      <c r="A56" s="365" t="s">
        <v>446</v>
      </c>
      <c r="B56" s="319"/>
      <c r="C56" s="320"/>
      <c r="D56" s="302"/>
      <c r="E56" s="302"/>
      <c r="F56" s="302"/>
      <c r="G56" s="302"/>
      <c r="H56" s="302"/>
      <c r="I56" s="260"/>
      <c r="J56" s="321"/>
      <c r="K56" s="321"/>
      <c r="L56" s="321"/>
      <c r="M56" s="321"/>
      <c r="N56" s="319"/>
      <c r="O56" s="319"/>
      <c r="P56" s="323"/>
      <c r="Q56" s="301"/>
      <c r="R56" s="325"/>
      <c r="S56" s="326"/>
      <c r="T56" s="327"/>
      <c r="U56" s="328"/>
      <c r="V56" s="328"/>
      <c r="W56" s="328"/>
      <c r="X56" s="329"/>
      <c r="Y56" s="329"/>
      <c r="Z56" s="329"/>
      <c r="AA56" s="329"/>
      <c r="AB56" s="329"/>
      <c r="AC56" s="330"/>
      <c r="AF56" s="332"/>
      <c r="AG56" s="332"/>
      <c r="AH56" s="332"/>
      <c r="AI56" s="332"/>
      <c r="AJ56" s="320"/>
      <c r="AM56" s="332"/>
      <c r="AN56" s="332"/>
      <c r="AO56" s="333"/>
      <c r="AP56" s="333"/>
      <c r="AQ56" s="333"/>
      <c r="AR56" s="333"/>
    </row>
    <row r="57" spans="1:61" s="331" customFormat="1" ht="18" customHeight="1" x14ac:dyDescent="0.35">
      <c r="A57" s="334">
        <v>44614</v>
      </c>
      <c r="B57" s="335">
        <f ca="1">IF(A57="",(IF(ISNUMBER(SUBSTITUTE(LEFT(RIGHT(E57,LEN(E57)-MIN(SEARCH({1,2,3,4,5,6,7,8,9,0},E57&amp;"1234567890"))+1),10),".","/"))=TRUE,AJ57-(SUBSTITUTE(LEFT(RIGHT(E57,LEN(E57)-MIN(SEARCH({1,2,3,4,5,6,7,8,9,0},E57&amp;"1234567890"))+1),10),".","/")),IF((SUBSTITUTE(LEFT(RIGHT(E57,LEN(E57)-MIN(SEARCH({1,2,3,4,5,6,7,8,9,0},E57&amp;"1234567890"))+1),10),".","/"))="","",(AJ57)-(MID(RIGHT((SUBSTITUTE(LEFT(RIGHT(E57,LEN(E57)-MIN(SEARCH({1,2,3,4,5,6,7,8,9,0},E57&amp;"1234567890"))+1),10),".","/")),10),4,2)&amp;"/"&amp;LEFT((RIGHT((SUBSTITUTE(LEFT(RIGHT(E57,LEN(E57)-MIN(SEARCH({1,2,3,4,5,6,7,8,9,0},E57&amp;"1234567890"))+1),10),".","/")),10)),2)&amp;"/"&amp;RIGHT((SUBSTITUTE(LEFT(RIGHT(E57,LEN(E57)-MIN(SEARCH({1,2,3,4,5,6,7,8,9,0},E57&amp;"1234567890"))+1),10),".","/")),4))))),(AJ57-A57))</f>
        <v>349</v>
      </c>
      <c r="C57" s="334"/>
      <c r="D57" s="294" t="str">
        <f t="shared" ref="D57:D73" si="9">IF(Q57="MULTI","FGM","FGC")&amp;"-"&amp;H57&amp;"/"&amp;I57&amp;"-"&amp;TEXT(K57,"0.00")&amp;"X"&amp;IF(Q57="MULTI",N57,Q57)</f>
        <v>FGM-J3/2B-001X595</v>
      </c>
      <c r="E57" s="294" t="s">
        <v>3636</v>
      </c>
      <c r="F57" s="294" t="s">
        <v>3152</v>
      </c>
      <c r="G57" s="294" t="s">
        <v>3823</v>
      </c>
      <c r="H57" s="294" t="s">
        <v>29</v>
      </c>
      <c r="I57" s="337" t="s">
        <v>116</v>
      </c>
      <c r="J57" s="149">
        <v>2.4</v>
      </c>
      <c r="K57" s="149">
        <v>0.92</v>
      </c>
      <c r="L57" s="149">
        <v>0.91</v>
      </c>
      <c r="M57" s="149">
        <v>0.94</v>
      </c>
      <c r="N57" s="335">
        <v>595</v>
      </c>
      <c r="O57" s="296">
        <f>4.145</f>
        <v>4.1449999999999996</v>
      </c>
      <c r="P57" s="345"/>
      <c r="Q57" s="138" t="s">
        <v>3598</v>
      </c>
      <c r="R57" s="348">
        <v>588.79999999999995</v>
      </c>
      <c r="S57" s="339"/>
      <c r="T57" s="299" t="s">
        <v>3617</v>
      </c>
      <c r="U57" s="282" t="s">
        <v>446</v>
      </c>
      <c r="V57" s="282"/>
      <c r="W57" s="138" t="s">
        <v>116</v>
      </c>
      <c r="X57" s="340">
        <v>44572</v>
      </c>
      <c r="Y57" s="340">
        <v>44573</v>
      </c>
      <c r="Z57" s="340">
        <v>44598</v>
      </c>
      <c r="AA57" s="340"/>
      <c r="AB57" s="340"/>
      <c r="AC57" s="341"/>
      <c r="AD57" s="342" t="s">
        <v>64</v>
      </c>
      <c r="AE57" s="342" t="s">
        <v>132</v>
      </c>
      <c r="AF57" s="284" t="s">
        <v>580</v>
      </c>
      <c r="AG57" s="284">
        <v>44303</v>
      </c>
      <c r="AH57" s="284">
        <v>44327</v>
      </c>
      <c r="AI57" s="284"/>
      <c r="AJ57" s="334">
        <f t="shared" ref="AJ57:AJ73" ca="1" si="10">TODAY()</f>
        <v>44963</v>
      </c>
      <c r="AK57" s="342">
        <f t="shared" ref="AK57:AK73" ca="1" si="11">IF(AH57&lt;&gt;0,AJ57-AH57,0)</f>
        <v>636</v>
      </c>
      <c r="AL57" s="342">
        <f t="shared" ref="AL57:AL73" ca="1" si="12">IF(ISNUMBER(Z57)=TRUE,AJ57-Z57,IF(Z57="","",(AJ57)-(MID(RIGHT(Z57,10),4,2)&amp;"/"&amp;LEFT((RIGHT(Z57,10)),2)&amp;"/"&amp;RIGHT(Z57,4))))</f>
        <v>365</v>
      </c>
      <c r="AM57" s="284" t="s">
        <v>585</v>
      </c>
      <c r="AN57" s="284" t="s">
        <v>3154</v>
      </c>
      <c r="AO57" s="343">
        <v>8.2249999999999996</v>
      </c>
      <c r="AP57" s="343">
        <v>8.24</v>
      </c>
      <c r="AQ57" s="343">
        <v>8.2649999999999988</v>
      </c>
      <c r="AR57" s="343">
        <v>8.27</v>
      </c>
      <c r="AS57" s="331">
        <f t="shared" ref="AS57:AS73" ca="1" si="13">IF(ISNUMBER(Y57)=TRUE,AJ57-Y57,IF(Y57="","",(AJ57)-(MID(RIGHT(Y57,10),4,2)&amp;"/"&amp;LEFT((RIGHT(Y57,10)),2)&amp;"/"&amp;RIGHT(Y57,4))))</f>
        <v>390</v>
      </c>
      <c r="AV57" s="331" t="s">
        <v>136</v>
      </c>
      <c r="BI57" s="347"/>
    </row>
    <row r="58" spans="1:61" s="331" customFormat="1" ht="18" customHeight="1" x14ac:dyDescent="0.35">
      <c r="A58" s="334"/>
      <c r="B58" s="335" t="e">
        <f ca="1">IF(A58="",(IF(ISNUMBER(SUBSTITUTE(LEFT(RIGHT(E58,LEN(E58)-MIN(SEARCH({1,2,3,4,5,6,7,8,9,0},E58&amp;"1234567890"))+1),10),".","/"))=TRUE,AJ58-(SUBSTITUTE(LEFT(RIGHT(E58,LEN(E58)-MIN(SEARCH({1,2,3,4,5,6,7,8,9,0},E58&amp;"1234567890"))+1),10),".","/")),IF((SUBSTITUTE(LEFT(RIGHT(E58,LEN(E58)-MIN(SEARCH({1,2,3,4,5,6,7,8,9,0},E58&amp;"1234567890"))+1),10),".","/"))="","",(AJ58)-(MID(RIGHT((SUBSTITUTE(LEFT(RIGHT(E58,LEN(E58)-MIN(SEARCH({1,2,3,4,5,6,7,8,9,0},E58&amp;"1234567890"))+1),10),".","/")),10),4,2)&amp;"/"&amp;LEFT((RIGHT((SUBSTITUTE(LEFT(RIGHT(E58,LEN(E58)-MIN(SEARCH({1,2,3,4,5,6,7,8,9,0},E58&amp;"1234567890"))+1),10),".","/")),10)),2)&amp;"/"&amp;RIGHT((SUBSTITUTE(LEFT(RIGHT(E58,LEN(E58)-MIN(SEARCH({1,2,3,4,5,6,7,8,9,0},E58&amp;"1234567890"))+1),10),".","/")),4))))),(AJ58-A58))</f>
        <v>#VALUE!</v>
      </c>
      <c r="C58" s="334"/>
      <c r="D58" s="294" t="str">
        <f t="shared" si="9"/>
        <v>FGM-J3/2B-001X595</v>
      </c>
      <c r="E58" s="294" t="s">
        <v>3681</v>
      </c>
      <c r="F58" s="294" t="s">
        <v>3162</v>
      </c>
      <c r="G58" s="294" t="s">
        <v>3824</v>
      </c>
      <c r="H58" s="294" t="s">
        <v>29</v>
      </c>
      <c r="I58" s="337" t="s">
        <v>116</v>
      </c>
      <c r="J58" s="149">
        <v>2.4</v>
      </c>
      <c r="K58" s="149">
        <v>0.92</v>
      </c>
      <c r="L58" s="149">
        <v>0.91</v>
      </c>
      <c r="M58" s="149">
        <v>0.93</v>
      </c>
      <c r="N58" s="335">
        <v>595</v>
      </c>
      <c r="O58" s="296">
        <f>4.225</f>
        <v>4.2249999999999996</v>
      </c>
      <c r="P58" s="345"/>
      <c r="Q58" s="138" t="s">
        <v>3598</v>
      </c>
      <c r="R58" s="339"/>
      <c r="S58" s="339"/>
      <c r="T58" s="299" t="s">
        <v>3617</v>
      </c>
      <c r="U58" s="282" t="s">
        <v>446</v>
      </c>
      <c r="V58" s="282"/>
      <c r="W58" s="138" t="s">
        <v>116</v>
      </c>
      <c r="X58" s="340">
        <v>44573</v>
      </c>
      <c r="Y58" s="340">
        <v>44573</v>
      </c>
      <c r="Z58" s="340">
        <v>44598</v>
      </c>
      <c r="AA58" s="340"/>
      <c r="AB58" s="340"/>
      <c r="AC58" s="341"/>
      <c r="AD58" s="342" t="s">
        <v>64</v>
      </c>
      <c r="AE58" s="342" t="s">
        <v>322</v>
      </c>
      <c r="AF58" s="284"/>
      <c r="AG58" s="284"/>
      <c r="AH58" s="284">
        <v>44309</v>
      </c>
      <c r="AI58" s="284"/>
      <c r="AJ58" s="334">
        <f t="shared" ca="1" si="10"/>
        <v>44963</v>
      </c>
      <c r="AK58" s="342">
        <f t="shared" ca="1" si="11"/>
        <v>654</v>
      </c>
      <c r="AL58" s="342">
        <f t="shared" ca="1" si="12"/>
        <v>365</v>
      </c>
      <c r="AM58" s="284" t="s">
        <v>436</v>
      </c>
      <c r="AN58" s="284" t="s">
        <v>437</v>
      </c>
      <c r="AO58" s="343">
        <v>8.2059999999999995</v>
      </c>
      <c r="AP58" s="343">
        <v>8.2459999999999987</v>
      </c>
      <c r="AQ58" s="343">
        <v>8.2709999999999972</v>
      </c>
      <c r="AR58" s="343">
        <v>8.275999999999998</v>
      </c>
      <c r="AS58" s="331">
        <f t="shared" ca="1" si="13"/>
        <v>390</v>
      </c>
      <c r="AV58" s="331" t="s">
        <v>136</v>
      </c>
      <c r="BI58" s="347"/>
    </row>
    <row r="59" spans="1:61" s="331" customFormat="1" ht="18" customHeight="1" x14ac:dyDescent="0.35">
      <c r="A59" s="334"/>
      <c r="B59" s="335" t="e">
        <f ca="1">IF(A59="",(IF(ISNUMBER(SUBSTITUTE(LEFT(RIGHT(E59,LEN(E59)-MIN(SEARCH({1,2,3,4,5,6,7,8,9,0},E59&amp;"1234567890"))+1),10),".","/"))=TRUE,AJ59-(SUBSTITUTE(LEFT(RIGHT(E59,LEN(E59)-MIN(SEARCH({1,2,3,4,5,6,7,8,9,0},E59&amp;"1234567890"))+1),10),".","/")),IF((SUBSTITUTE(LEFT(RIGHT(E59,LEN(E59)-MIN(SEARCH({1,2,3,4,5,6,7,8,9,0},E59&amp;"1234567890"))+1),10),".","/"))="","",(AJ59)-(MID(RIGHT((SUBSTITUTE(LEFT(RIGHT(E59,LEN(E59)-MIN(SEARCH({1,2,3,4,5,6,7,8,9,0},E59&amp;"1234567890"))+1),10),".","/")),10),4,2)&amp;"/"&amp;LEFT((RIGHT((SUBSTITUTE(LEFT(RIGHT(E59,LEN(E59)-MIN(SEARCH({1,2,3,4,5,6,7,8,9,0},E59&amp;"1234567890"))+1),10),".","/")),10)),2)&amp;"/"&amp;RIGHT((SUBSTITUTE(LEFT(RIGHT(E59,LEN(E59)-MIN(SEARCH({1,2,3,4,5,6,7,8,9,0},E59&amp;"1234567890"))+1),10),".","/")),4))))),(AJ59-A59))</f>
        <v>#VALUE!</v>
      </c>
      <c r="C59" s="334"/>
      <c r="D59" s="294" t="str">
        <f t="shared" si="9"/>
        <v>FGM-J3/2B-001X595</v>
      </c>
      <c r="E59" s="294" t="s">
        <v>3681</v>
      </c>
      <c r="F59" s="294" t="s">
        <v>3162</v>
      </c>
      <c r="G59" s="294" t="s">
        <v>3825</v>
      </c>
      <c r="H59" s="294" t="s">
        <v>29</v>
      </c>
      <c r="I59" s="337" t="s">
        <v>116</v>
      </c>
      <c r="J59" s="149">
        <v>2.4</v>
      </c>
      <c r="K59" s="149">
        <v>0.92</v>
      </c>
      <c r="L59" s="149">
        <v>0.91</v>
      </c>
      <c r="M59" s="149">
        <v>0.93</v>
      </c>
      <c r="N59" s="335">
        <v>595</v>
      </c>
      <c r="O59" s="296">
        <v>3.7</v>
      </c>
      <c r="P59" s="345"/>
      <c r="Q59" s="138" t="s">
        <v>3598</v>
      </c>
      <c r="R59" s="339"/>
      <c r="S59" s="339"/>
      <c r="T59" s="299" t="s">
        <v>3617</v>
      </c>
      <c r="U59" s="282" t="s">
        <v>446</v>
      </c>
      <c r="V59" s="282"/>
      <c r="W59" s="138" t="s">
        <v>116</v>
      </c>
      <c r="X59" s="340">
        <v>44573</v>
      </c>
      <c r="Y59" s="340">
        <v>44573</v>
      </c>
      <c r="Z59" s="340">
        <v>44598</v>
      </c>
      <c r="AA59" s="340"/>
      <c r="AB59" s="340"/>
      <c r="AC59" s="341"/>
      <c r="AD59" s="342" t="s">
        <v>64</v>
      </c>
      <c r="AE59" s="342" t="s">
        <v>322</v>
      </c>
      <c r="AF59" s="284"/>
      <c r="AG59" s="284"/>
      <c r="AH59" s="284">
        <v>44309</v>
      </c>
      <c r="AI59" s="284"/>
      <c r="AJ59" s="334">
        <f t="shared" ca="1" si="10"/>
        <v>44963</v>
      </c>
      <c r="AK59" s="342">
        <f t="shared" ca="1" si="11"/>
        <v>654</v>
      </c>
      <c r="AL59" s="342">
        <f t="shared" ca="1" si="12"/>
        <v>365</v>
      </c>
      <c r="AM59" s="284" t="s">
        <v>436</v>
      </c>
      <c r="AN59" s="284" t="s">
        <v>437</v>
      </c>
      <c r="AO59" s="343">
        <v>8.2059999999999995</v>
      </c>
      <c r="AP59" s="343">
        <v>8.2459999999999987</v>
      </c>
      <c r="AQ59" s="343">
        <v>8.2709999999999972</v>
      </c>
      <c r="AR59" s="343">
        <v>8.275999999999998</v>
      </c>
      <c r="AS59" s="331">
        <f t="shared" ca="1" si="13"/>
        <v>390</v>
      </c>
      <c r="AV59" s="331" t="s">
        <v>136</v>
      </c>
      <c r="BI59" s="347"/>
    </row>
    <row r="60" spans="1:61" s="331" customFormat="1" ht="18" customHeight="1" x14ac:dyDescent="0.35">
      <c r="A60" s="334"/>
      <c r="B60" s="335" t="e">
        <f ca="1">IF(A60="",(IF(ISNUMBER(SUBSTITUTE(LEFT(RIGHT(E60,LEN(E60)-MIN(SEARCH({1,2,3,4,5,6,7,8,9,0},E60&amp;"1234567890"))+1),10),".","/"))=TRUE,AJ60-(SUBSTITUTE(LEFT(RIGHT(E60,LEN(E60)-MIN(SEARCH({1,2,3,4,5,6,7,8,9,0},E60&amp;"1234567890"))+1),10),".","/")),IF((SUBSTITUTE(LEFT(RIGHT(E60,LEN(E60)-MIN(SEARCH({1,2,3,4,5,6,7,8,9,0},E60&amp;"1234567890"))+1),10),".","/"))="","",(AJ60)-(MID(RIGHT((SUBSTITUTE(LEFT(RIGHT(E60,LEN(E60)-MIN(SEARCH({1,2,3,4,5,6,7,8,9,0},E60&amp;"1234567890"))+1),10),".","/")),10),4,2)&amp;"/"&amp;LEFT((RIGHT((SUBSTITUTE(LEFT(RIGHT(E60,LEN(E60)-MIN(SEARCH({1,2,3,4,5,6,7,8,9,0},E60&amp;"1234567890"))+1),10),".","/")),10)),2)&amp;"/"&amp;RIGHT((SUBSTITUTE(LEFT(RIGHT(E60,LEN(E60)-MIN(SEARCH({1,2,3,4,5,6,7,8,9,0},E60&amp;"1234567890"))+1),10),".","/")),4))))),(AJ60-A60))</f>
        <v>#VALUE!</v>
      </c>
      <c r="C60" s="334"/>
      <c r="D60" s="294" t="str">
        <f t="shared" si="9"/>
        <v>FGM-J3/2B-001X595</v>
      </c>
      <c r="E60" s="294" t="s">
        <v>3696</v>
      </c>
      <c r="F60" s="294" t="s">
        <v>3159</v>
      </c>
      <c r="G60" s="294" t="s">
        <v>3826</v>
      </c>
      <c r="H60" s="294" t="s">
        <v>29</v>
      </c>
      <c r="I60" s="337" t="s">
        <v>116</v>
      </c>
      <c r="J60" s="149">
        <v>2.4</v>
      </c>
      <c r="K60" s="149">
        <v>0.92</v>
      </c>
      <c r="L60" s="149">
        <v>0.9</v>
      </c>
      <c r="M60" s="149">
        <v>0.92</v>
      </c>
      <c r="N60" s="335">
        <v>595</v>
      </c>
      <c r="O60" s="296">
        <f>3.97</f>
        <v>3.97</v>
      </c>
      <c r="P60" s="345"/>
      <c r="Q60" s="138" t="s">
        <v>3598</v>
      </c>
      <c r="R60" s="339"/>
      <c r="S60" s="339"/>
      <c r="T60" s="299" t="s">
        <v>3617</v>
      </c>
      <c r="U60" s="282" t="s">
        <v>446</v>
      </c>
      <c r="V60" s="282"/>
      <c r="W60" s="138" t="s">
        <v>116</v>
      </c>
      <c r="X60" s="340">
        <v>44573</v>
      </c>
      <c r="Y60" s="340">
        <v>44573</v>
      </c>
      <c r="Z60" s="340">
        <v>44598</v>
      </c>
      <c r="AA60" s="340"/>
      <c r="AB60" s="340"/>
      <c r="AC60" s="341"/>
      <c r="AD60" s="342" t="s">
        <v>64</v>
      </c>
      <c r="AE60" s="342" t="s">
        <v>322</v>
      </c>
      <c r="AF60" s="284"/>
      <c r="AG60" s="284"/>
      <c r="AH60" s="284">
        <v>44309</v>
      </c>
      <c r="AI60" s="284"/>
      <c r="AJ60" s="334">
        <f t="shared" ca="1" si="10"/>
        <v>44963</v>
      </c>
      <c r="AK60" s="342">
        <f t="shared" ca="1" si="11"/>
        <v>654</v>
      </c>
      <c r="AL60" s="342">
        <f t="shared" ca="1" si="12"/>
        <v>365</v>
      </c>
      <c r="AM60" s="284" t="s">
        <v>443</v>
      </c>
      <c r="AN60" s="284" t="s">
        <v>3161</v>
      </c>
      <c r="AO60" s="343">
        <v>8.0760000000000005</v>
      </c>
      <c r="AP60" s="343">
        <v>8.1159999999999997</v>
      </c>
      <c r="AQ60" s="343">
        <v>8.1409999999999982</v>
      </c>
      <c r="AR60" s="343">
        <v>8.145999999999999</v>
      </c>
      <c r="AS60" s="331">
        <f t="shared" ca="1" si="13"/>
        <v>390</v>
      </c>
      <c r="AV60" s="331" t="s">
        <v>136</v>
      </c>
      <c r="BI60" s="347"/>
    </row>
    <row r="61" spans="1:61" s="331" customFormat="1" ht="18" customHeight="1" x14ac:dyDescent="0.35">
      <c r="A61" s="334"/>
      <c r="B61" s="335" t="e">
        <f ca="1">IF(A61="",(IF(ISNUMBER(SUBSTITUTE(LEFT(RIGHT(E61,LEN(E61)-MIN(SEARCH({1,2,3,4,5,6,7,8,9,0},E61&amp;"1234567890"))+1),10),".","/"))=TRUE,AJ61-(SUBSTITUTE(LEFT(RIGHT(E61,LEN(E61)-MIN(SEARCH({1,2,3,4,5,6,7,8,9,0},E61&amp;"1234567890"))+1),10),".","/")),IF((SUBSTITUTE(LEFT(RIGHT(E61,LEN(E61)-MIN(SEARCH({1,2,3,4,5,6,7,8,9,0},E61&amp;"1234567890"))+1),10),".","/"))="","",(AJ61)-(MID(RIGHT((SUBSTITUTE(LEFT(RIGHT(E61,LEN(E61)-MIN(SEARCH({1,2,3,4,5,6,7,8,9,0},E61&amp;"1234567890"))+1),10),".","/")),10),4,2)&amp;"/"&amp;LEFT((RIGHT((SUBSTITUTE(LEFT(RIGHT(E61,LEN(E61)-MIN(SEARCH({1,2,3,4,5,6,7,8,9,0},E61&amp;"1234567890"))+1),10),".","/")),10)),2)&amp;"/"&amp;RIGHT((SUBSTITUTE(LEFT(RIGHT(E61,LEN(E61)-MIN(SEARCH({1,2,3,4,5,6,7,8,9,0},E61&amp;"1234567890"))+1),10),".","/")),4))))),(AJ61-A61))</f>
        <v>#VALUE!</v>
      </c>
      <c r="C61" s="334"/>
      <c r="D61" s="294" t="str">
        <f t="shared" si="9"/>
        <v>FGM-J3/2B-001X595</v>
      </c>
      <c r="E61" s="294" t="s">
        <v>3696</v>
      </c>
      <c r="F61" s="294" t="s">
        <v>3159</v>
      </c>
      <c r="G61" s="294" t="s">
        <v>3827</v>
      </c>
      <c r="H61" s="294" t="s">
        <v>29</v>
      </c>
      <c r="I61" s="337" t="s">
        <v>116</v>
      </c>
      <c r="J61" s="149">
        <v>2.4</v>
      </c>
      <c r="K61" s="149">
        <v>0.92</v>
      </c>
      <c r="L61" s="149">
        <v>0.9</v>
      </c>
      <c r="M61" s="149">
        <v>0.92</v>
      </c>
      <c r="N61" s="335">
        <v>595</v>
      </c>
      <c r="O61" s="296">
        <v>3.7650000000000001</v>
      </c>
      <c r="P61" s="345"/>
      <c r="Q61" s="138" t="s">
        <v>3598</v>
      </c>
      <c r="R61" s="339"/>
      <c r="S61" s="339"/>
      <c r="T61" s="299" t="s">
        <v>3617</v>
      </c>
      <c r="U61" s="282" t="s">
        <v>446</v>
      </c>
      <c r="V61" s="282"/>
      <c r="W61" s="138" t="s">
        <v>116</v>
      </c>
      <c r="X61" s="340">
        <v>44573</v>
      </c>
      <c r="Y61" s="340">
        <v>44573</v>
      </c>
      <c r="Z61" s="340">
        <v>44598</v>
      </c>
      <c r="AA61" s="340"/>
      <c r="AB61" s="340"/>
      <c r="AC61" s="341"/>
      <c r="AD61" s="342" t="s">
        <v>64</v>
      </c>
      <c r="AE61" s="342" t="s">
        <v>322</v>
      </c>
      <c r="AF61" s="284"/>
      <c r="AG61" s="284"/>
      <c r="AH61" s="284">
        <v>44309</v>
      </c>
      <c r="AI61" s="284"/>
      <c r="AJ61" s="334">
        <f t="shared" ca="1" si="10"/>
        <v>44963</v>
      </c>
      <c r="AK61" s="342">
        <f t="shared" ca="1" si="11"/>
        <v>654</v>
      </c>
      <c r="AL61" s="342">
        <f t="shared" ca="1" si="12"/>
        <v>365</v>
      </c>
      <c r="AM61" s="284" t="s">
        <v>443</v>
      </c>
      <c r="AN61" s="284" t="s">
        <v>3161</v>
      </c>
      <c r="AO61" s="343">
        <v>8.0760000000000005</v>
      </c>
      <c r="AP61" s="343">
        <v>8.1159999999999997</v>
      </c>
      <c r="AQ61" s="343">
        <v>8.1409999999999982</v>
      </c>
      <c r="AR61" s="343">
        <v>8.145999999999999</v>
      </c>
      <c r="AS61" s="331">
        <f t="shared" ca="1" si="13"/>
        <v>390</v>
      </c>
      <c r="AV61" s="331" t="s">
        <v>136</v>
      </c>
      <c r="BI61" s="347"/>
    </row>
    <row r="62" spans="1:61" s="331" customFormat="1" ht="18" customHeight="1" x14ac:dyDescent="0.35">
      <c r="A62" s="334"/>
      <c r="B62" s="335" t="e">
        <f ca="1">IF(A62="",(IF(ISNUMBER(SUBSTITUTE(LEFT(RIGHT(E62,LEN(E62)-MIN(SEARCH({1,2,3,4,5,6,7,8,9,0},E62&amp;"1234567890"))+1),10),".","/"))=TRUE,AJ62-(SUBSTITUTE(LEFT(RIGHT(E62,LEN(E62)-MIN(SEARCH({1,2,3,4,5,6,7,8,9,0},E62&amp;"1234567890"))+1),10),".","/")),IF((SUBSTITUTE(LEFT(RIGHT(E62,LEN(E62)-MIN(SEARCH({1,2,3,4,5,6,7,8,9,0},E62&amp;"1234567890"))+1),10),".","/"))="","",(AJ62)-(MID(RIGHT((SUBSTITUTE(LEFT(RIGHT(E62,LEN(E62)-MIN(SEARCH({1,2,3,4,5,6,7,8,9,0},E62&amp;"1234567890"))+1),10),".","/")),10),4,2)&amp;"/"&amp;LEFT((RIGHT((SUBSTITUTE(LEFT(RIGHT(E62,LEN(E62)-MIN(SEARCH({1,2,3,4,5,6,7,8,9,0},E62&amp;"1234567890"))+1),10),".","/")),10)),2)&amp;"/"&amp;RIGHT((SUBSTITUTE(LEFT(RIGHT(E62,LEN(E62)-MIN(SEARCH({1,2,3,4,5,6,7,8,9,0},E62&amp;"1234567890"))+1),10),".","/")),4))))),(AJ62-A62))</f>
        <v>#VALUE!</v>
      </c>
      <c r="C62" s="334"/>
      <c r="D62" s="294" t="str">
        <f t="shared" si="9"/>
        <v>FGM-J3/2B-001X595</v>
      </c>
      <c r="E62" s="294" t="s">
        <v>3696</v>
      </c>
      <c r="F62" s="294" t="s">
        <v>3139</v>
      </c>
      <c r="G62" s="294" t="s">
        <v>3828</v>
      </c>
      <c r="H62" s="294" t="s">
        <v>29</v>
      </c>
      <c r="I62" s="337" t="s">
        <v>116</v>
      </c>
      <c r="J62" s="149">
        <v>2.4</v>
      </c>
      <c r="K62" s="149">
        <v>0.92</v>
      </c>
      <c r="L62" s="149">
        <v>0.92</v>
      </c>
      <c r="M62" s="149">
        <v>0.94</v>
      </c>
      <c r="N62" s="335">
        <v>595</v>
      </c>
      <c r="O62" s="296">
        <f>4.04</f>
        <v>4.04</v>
      </c>
      <c r="P62" s="345"/>
      <c r="Q62" s="138" t="s">
        <v>3598</v>
      </c>
      <c r="R62" s="339"/>
      <c r="S62" s="339"/>
      <c r="T62" s="299" t="s">
        <v>3617</v>
      </c>
      <c r="U62" s="282" t="s">
        <v>446</v>
      </c>
      <c r="V62" s="282"/>
      <c r="W62" s="138" t="s">
        <v>116</v>
      </c>
      <c r="X62" s="340">
        <v>44573</v>
      </c>
      <c r="Y62" s="340">
        <v>44573</v>
      </c>
      <c r="Z62" s="340">
        <v>44597</v>
      </c>
      <c r="AA62" s="340"/>
      <c r="AB62" s="340"/>
      <c r="AC62" s="341"/>
      <c r="AD62" s="342" t="s">
        <v>64</v>
      </c>
      <c r="AE62" s="342" t="s">
        <v>468</v>
      </c>
      <c r="AF62" s="284"/>
      <c r="AG62" s="284"/>
      <c r="AH62" s="284">
        <v>44322</v>
      </c>
      <c r="AI62" s="284"/>
      <c r="AJ62" s="334">
        <f t="shared" ca="1" si="10"/>
        <v>44963</v>
      </c>
      <c r="AK62" s="342">
        <f t="shared" ca="1" si="11"/>
        <v>641</v>
      </c>
      <c r="AL62" s="342">
        <f t="shared" ca="1" si="12"/>
        <v>366</v>
      </c>
      <c r="AM62" s="284" t="s">
        <v>512</v>
      </c>
      <c r="AN62" s="284" t="s">
        <v>513</v>
      </c>
      <c r="AO62" s="343">
        <v>8.2249999999999996</v>
      </c>
      <c r="AP62" s="343">
        <v>8.2649999999999988</v>
      </c>
      <c r="AQ62" s="343">
        <v>8.2899999999999974</v>
      </c>
      <c r="AR62" s="343">
        <v>8.2949999999999982</v>
      </c>
      <c r="AS62" s="331">
        <f t="shared" ca="1" si="13"/>
        <v>390</v>
      </c>
      <c r="AV62" s="331" t="s">
        <v>136</v>
      </c>
      <c r="BI62" s="347"/>
    </row>
    <row r="63" spans="1:61" s="331" customFormat="1" ht="18" customHeight="1" x14ac:dyDescent="0.35">
      <c r="A63" s="334"/>
      <c r="B63" s="335" t="e">
        <f ca="1">IF(A63="",(IF(ISNUMBER(SUBSTITUTE(LEFT(RIGHT(E63,LEN(E63)-MIN(SEARCH({1,2,3,4,5,6,7,8,9,0},E63&amp;"1234567890"))+1),10),".","/"))=TRUE,AJ63-(SUBSTITUTE(LEFT(RIGHT(E63,LEN(E63)-MIN(SEARCH({1,2,3,4,5,6,7,8,9,0},E63&amp;"1234567890"))+1),10),".","/")),IF((SUBSTITUTE(LEFT(RIGHT(E63,LEN(E63)-MIN(SEARCH({1,2,3,4,5,6,7,8,9,0},E63&amp;"1234567890"))+1),10),".","/"))="","",(AJ63)-(MID(RIGHT((SUBSTITUTE(LEFT(RIGHT(E63,LEN(E63)-MIN(SEARCH({1,2,3,4,5,6,7,8,9,0},E63&amp;"1234567890"))+1),10),".","/")),10),4,2)&amp;"/"&amp;LEFT((RIGHT((SUBSTITUTE(LEFT(RIGHT(E63,LEN(E63)-MIN(SEARCH({1,2,3,4,5,6,7,8,9,0},E63&amp;"1234567890"))+1),10),".","/")),10)),2)&amp;"/"&amp;RIGHT((SUBSTITUTE(LEFT(RIGHT(E63,LEN(E63)-MIN(SEARCH({1,2,3,4,5,6,7,8,9,0},E63&amp;"1234567890"))+1),10),".","/")),4))))),(AJ63-A63))</f>
        <v>#VALUE!</v>
      </c>
      <c r="C63" s="334"/>
      <c r="D63" s="294" t="str">
        <f t="shared" si="9"/>
        <v>FGM-J3/2B-001X595</v>
      </c>
      <c r="E63" s="294" t="s">
        <v>3696</v>
      </c>
      <c r="F63" s="294" t="s">
        <v>3139</v>
      </c>
      <c r="G63" s="294" t="s">
        <v>3829</v>
      </c>
      <c r="H63" s="294" t="s">
        <v>29</v>
      </c>
      <c r="I63" s="337" t="s">
        <v>116</v>
      </c>
      <c r="J63" s="149">
        <v>2.4</v>
      </c>
      <c r="K63" s="149">
        <v>0.92</v>
      </c>
      <c r="L63" s="149">
        <v>0.92</v>
      </c>
      <c r="M63" s="149">
        <v>0.94</v>
      </c>
      <c r="N63" s="335">
        <v>595</v>
      </c>
      <c r="O63" s="296">
        <v>3.9449999999999998</v>
      </c>
      <c r="P63" s="345"/>
      <c r="Q63" s="138" t="s">
        <v>3598</v>
      </c>
      <c r="R63" s="339"/>
      <c r="S63" s="339"/>
      <c r="T63" s="299" t="s">
        <v>3617</v>
      </c>
      <c r="U63" s="282" t="s">
        <v>446</v>
      </c>
      <c r="V63" s="282"/>
      <c r="W63" s="138" t="s">
        <v>116</v>
      </c>
      <c r="X63" s="340">
        <v>44573</v>
      </c>
      <c r="Y63" s="340">
        <v>44573</v>
      </c>
      <c r="Z63" s="340">
        <v>44597</v>
      </c>
      <c r="AA63" s="340"/>
      <c r="AB63" s="340"/>
      <c r="AC63" s="341"/>
      <c r="AD63" s="342" t="s">
        <v>64</v>
      </c>
      <c r="AE63" s="342" t="s">
        <v>468</v>
      </c>
      <c r="AF63" s="284"/>
      <c r="AG63" s="284"/>
      <c r="AH63" s="284">
        <v>44322</v>
      </c>
      <c r="AI63" s="284"/>
      <c r="AJ63" s="334">
        <f t="shared" ca="1" si="10"/>
        <v>44963</v>
      </c>
      <c r="AK63" s="342">
        <f t="shared" ca="1" si="11"/>
        <v>641</v>
      </c>
      <c r="AL63" s="342">
        <f t="shared" ca="1" si="12"/>
        <v>366</v>
      </c>
      <c r="AM63" s="284" t="s">
        <v>512</v>
      </c>
      <c r="AN63" s="284" t="s">
        <v>513</v>
      </c>
      <c r="AO63" s="343">
        <v>8.2249999999999996</v>
      </c>
      <c r="AP63" s="343">
        <v>8.2649999999999988</v>
      </c>
      <c r="AQ63" s="343">
        <v>8.2899999999999974</v>
      </c>
      <c r="AR63" s="343">
        <v>8.2949999999999982</v>
      </c>
      <c r="AS63" s="331">
        <f t="shared" ca="1" si="13"/>
        <v>390</v>
      </c>
      <c r="AV63" s="331" t="s">
        <v>136</v>
      </c>
      <c r="BI63" s="347"/>
    </row>
    <row r="64" spans="1:61" s="331" customFormat="1" ht="18" customHeight="1" x14ac:dyDescent="0.35">
      <c r="A64" s="334"/>
      <c r="B64" s="335" t="e">
        <f ca="1">IF(A64="",(IF(ISNUMBER(SUBSTITUTE(LEFT(RIGHT(E64,LEN(E64)-MIN(SEARCH({1,2,3,4,5,6,7,8,9,0},E64&amp;"1234567890"))+1),10),".","/"))=TRUE,AJ64-(SUBSTITUTE(LEFT(RIGHT(E64,LEN(E64)-MIN(SEARCH({1,2,3,4,5,6,7,8,9,0},E64&amp;"1234567890"))+1),10),".","/")),IF((SUBSTITUTE(LEFT(RIGHT(E64,LEN(E64)-MIN(SEARCH({1,2,3,4,5,6,7,8,9,0},E64&amp;"1234567890"))+1),10),".","/"))="","",(AJ64)-(MID(RIGHT((SUBSTITUTE(LEFT(RIGHT(E64,LEN(E64)-MIN(SEARCH({1,2,3,4,5,6,7,8,9,0},E64&amp;"1234567890"))+1),10),".","/")),10),4,2)&amp;"/"&amp;LEFT((RIGHT((SUBSTITUTE(LEFT(RIGHT(E64,LEN(E64)-MIN(SEARCH({1,2,3,4,5,6,7,8,9,0},E64&amp;"1234567890"))+1),10),".","/")),10)),2)&amp;"/"&amp;RIGHT((SUBSTITUTE(LEFT(RIGHT(E64,LEN(E64)-MIN(SEARCH({1,2,3,4,5,6,7,8,9,0},E64&amp;"1234567890"))+1),10),".","/")),4))))),(AJ64-A64))</f>
        <v>#VALUE!</v>
      </c>
      <c r="C64" s="334"/>
      <c r="D64" s="294" t="str">
        <f t="shared" si="9"/>
        <v>FGM-J3/2B-001X595</v>
      </c>
      <c r="E64" s="294" t="s">
        <v>3696</v>
      </c>
      <c r="F64" s="294" t="s">
        <v>3142</v>
      </c>
      <c r="G64" s="294" t="s">
        <v>3830</v>
      </c>
      <c r="H64" s="294" t="s">
        <v>29</v>
      </c>
      <c r="I64" s="337" t="s">
        <v>116</v>
      </c>
      <c r="J64" s="149">
        <v>2.4</v>
      </c>
      <c r="K64" s="149">
        <v>0.92</v>
      </c>
      <c r="L64" s="149">
        <v>0.91</v>
      </c>
      <c r="M64" s="149">
        <v>0.93</v>
      </c>
      <c r="N64" s="335">
        <v>595</v>
      </c>
      <c r="O64" s="296">
        <f>3.985</f>
        <v>3.9849999999999999</v>
      </c>
      <c r="P64" s="345"/>
      <c r="Q64" s="138" t="s">
        <v>3598</v>
      </c>
      <c r="R64" s="339"/>
      <c r="S64" s="339"/>
      <c r="T64" s="299" t="s">
        <v>3617</v>
      </c>
      <c r="U64" s="282" t="s">
        <v>446</v>
      </c>
      <c r="V64" s="282"/>
      <c r="W64" s="138" t="s">
        <v>116</v>
      </c>
      <c r="X64" s="340">
        <v>44573</v>
      </c>
      <c r="Y64" s="340">
        <v>44573</v>
      </c>
      <c r="Z64" s="340">
        <v>44598</v>
      </c>
      <c r="AA64" s="340"/>
      <c r="AB64" s="340"/>
      <c r="AC64" s="341"/>
      <c r="AD64" s="342" t="s">
        <v>64</v>
      </c>
      <c r="AE64" s="342" t="s">
        <v>468</v>
      </c>
      <c r="AF64" s="284"/>
      <c r="AG64" s="284"/>
      <c r="AH64" s="284">
        <v>44322</v>
      </c>
      <c r="AI64" s="284"/>
      <c r="AJ64" s="334">
        <f t="shared" ca="1" si="10"/>
        <v>44963</v>
      </c>
      <c r="AK64" s="342">
        <f t="shared" ca="1" si="11"/>
        <v>641</v>
      </c>
      <c r="AL64" s="342">
        <f t="shared" ca="1" si="12"/>
        <v>365</v>
      </c>
      <c r="AM64" s="284" t="s">
        <v>516</v>
      </c>
      <c r="AN64" s="284" t="s">
        <v>3135</v>
      </c>
      <c r="AO64" s="343">
        <v>8.2050000000000001</v>
      </c>
      <c r="AP64" s="343">
        <v>8.2449999999999992</v>
      </c>
      <c r="AQ64" s="343">
        <v>8.2699999999999978</v>
      </c>
      <c r="AR64" s="343">
        <v>8.2749999999999986</v>
      </c>
      <c r="AS64" s="331">
        <f t="shared" ca="1" si="13"/>
        <v>390</v>
      </c>
      <c r="AV64" s="331" t="s">
        <v>136</v>
      </c>
      <c r="BI64" s="347"/>
    </row>
    <row r="65" spans="1:61" s="331" customFormat="1" ht="18" customHeight="1" x14ac:dyDescent="0.35">
      <c r="A65" s="334"/>
      <c r="B65" s="335" t="e">
        <f ca="1">IF(A65="",(IF(ISNUMBER(SUBSTITUTE(LEFT(RIGHT(E65,LEN(E65)-MIN(SEARCH({1,2,3,4,5,6,7,8,9,0},E65&amp;"1234567890"))+1),10),".","/"))=TRUE,AJ65-(SUBSTITUTE(LEFT(RIGHT(E65,LEN(E65)-MIN(SEARCH({1,2,3,4,5,6,7,8,9,0},E65&amp;"1234567890"))+1),10),".","/")),IF((SUBSTITUTE(LEFT(RIGHT(E65,LEN(E65)-MIN(SEARCH({1,2,3,4,5,6,7,8,9,0},E65&amp;"1234567890"))+1),10),".","/"))="","",(AJ65)-(MID(RIGHT((SUBSTITUTE(LEFT(RIGHT(E65,LEN(E65)-MIN(SEARCH({1,2,3,4,5,6,7,8,9,0},E65&amp;"1234567890"))+1),10),".","/")),10),4,2)&amp;"/"&amp;LEFT((RIGHT((SUBSTITUTE(LEFT(RIGHT(E65,LEN(E65)-MIN(SEARCH({1,2,3,4,5,6,7,8,9,0},E65&amp;"1234567890"))+1),10),".","/")),10)),2)&amp;"/"&amp;RIGHT((SUBSTITUTE(LEFT(RIGHT(E65,LEN(E65)-MIN(SEARCH({1,2,3,4,5,6,7,8,9,0},E65&amp;"1234567890"))+1),10),".","/")),4))))),(AJ65-A65))</f>
        <v>#VALUE!</v>
      </c>
      <c r="C65" s="334"/>
      <c r="D65" s="294" t="str">
        <f t="shared" si="9"/>
        <v>FGM-J3/2B-001X595</v>
      </c>
      <c r="E65" s="294" t="s">
        <v>3696</v>
      </c>
      <c r="F65" s="294" t="s">
        <v>3142</v>
      </c>
      <c r="G65" s="294" t="s">
        <v>3831</v>
      </c>
      <c r="H65" s="294" t="s">
        <v>29</v>
      </c>
      <c r="I65" s="337" t="s">
        <v>116</v>
      </c>
      <c r="J65" s="149">
        <v>2.4</v>
      </c>
      <c r="K65" s="149">
        <v>0.92</v>
      </c>
      <c r="L65" s="149">
        <v>0.91</v>
      </c>
      <c r="M65" s="149">
        <v>0.93</v>
      </c>
      <c r="N65" s="335">
        <v>595</v>
      </c>
      <c r="O65" s="296">
        <v>3.9950000000000001</v>
      </c>
      <c r="P65" s="345"/>
      <c r="Q65" s="138" t="s">
        <v>3598</v>
      </c>
      <c r="R65" s="339"/>
      <c r="S65" s="339"/>
      <c r="T65" s="299" t="s">
        <v>3617</v>
      </c>
      <c r="U65" s="282" t="s">
        <v>446</v>
      </c>
      <c r="V65" s="282"/>
      <c r="W65" s="138" t="s">
        <v>116</v>
      </c>
      <c r="X65" s="340">
        <v>44573</v>
      </c>
      <c r="Y65" s="340">
        <v>44573</v>
      </c>
      <c r="Z65" s="340">
        <v>44598</v>
      </c>
      <c r="AA65" s="340"/>
      <c r="AB65" s="340"/>
      <c r="AC65" s="341"/>
      <c r="AD65" s="342" t="s">
        <v>64</v>
      </c>
      <c r="AE65" s="342" t="s">
        <v>468</v>
      </c>
      <c r="AF65" s="284"/>
      <c r="AG65" s="284"/>
      <c r="AH65" s="284">
        <v>44322</v>
      </c>
      <c r="AI65" s="284"/>
      <c r="AJ65" s="334">
        <f t="shared" ca="1" si="10"/>
        <v>44963</v>
      </c>
      <c r="AK65" s="342">
        <f t="shared" ca="1" si="11"/>
        <v>641</v>
      </c>
      <c r="AL65" s="342">
        <f t="shared" ca="1" si="12"/>
        <v>365</v>
      </c>
      <c r="AM65" s="284" t="s">
        <v>516</v>
      </c>
      <c r="AN65" s="284" t="s">
        <v>3135</v>
      </c>
      <c r="AO65" s="343">
        <v>8.2050000000000001</v>
      </c>
      <c r="AP65" s="343">
        <v>8.2449999999999992</v>
      </c>
      <c r="AQ65" s="343">
        <v>8.2699999999999978</v>
      </c>
      <c r="AR65" s="343">
        <v>8.2749999999999986</v>
      </c>
      <c r="AS65" s="331">
        <f t="shared" ca="1" si="13"/>
        <v>390</v>
      </c>
      <c r="AV65" s="331" t="s">
        <v>136</v>
      </c>
      <c r="BI65" s="347"/>
    </row>
    <row r="66" spans="1:61" s="331" customFormat="1" ht="18" customHeight="1" x14ac:dyDescent="0.35">
      <c r="A66" s="334"/>
      <c r="B66" s="335" t="e">
        <f ca="1">IF(A66="",(IF(ISNUMBER(SUBSTITUTE(LEFT(RIGHT(E66,LEN(E66)-MIN(SEARCH({1,2,3,4,5,6,7,8,9,0},E66&amp;"1234567890"))+1),10),".","/"))=TRUE,AJ66-(SUBSTITUTE(LEFT(RIGHT(E66,LEN(E66)-MIN(SEARCH({1,2,3,4,5,6,7,8,9,0},E66&amp;"1234567890"))+1),10),".","/")),IF((SUBSTITUTE(LEFT(RIGHT(E66,LEN(E66)-MIN(SEARCH({1,2,3,4,5,6,7,8,9,0},E66&amp;"1234567890"))+1),10),".","/"))="","",(AJ66)-(MID(RIGHT((SUBSTITUTE(LEFT(RIGHT(E66,LEN(E66)-MIN(SEARCH({1,2,3,4,5,6,7,8,9,0},E66&amp;"1234567890"))+1),10),".","/")),10),4,2)&amp;"/"&amp;LEFT((RIGHT((SUBSTITUTE(LEFT(RIGHT(E66,LEN(E66)-MIN(SEARCH({1,2,3,4,5,6,7,8,9,0},E66&amp;"1234567890"))+1),10),".","/")),10)),2)&amp;"/"&amp;RIGHT((SUBSTITUTE(LEFT(RIGHT(E66,LEN(E66)-MIN(SEARCH({1,2,3,4,5,6,7,8,9,0},E66&amp;"1234567890"))+1),10),".","/")),4))))),(AJ66-A66))</f>
        <v>#VALUE!</v>
      </c>
      <c r="C66" s="334"/>
      <c r="D66" s="294" t="str">
        <f t="shared" si="9"/>
        <v>FGM-J3/2B-001X595</v>
      </c>
      <c r="E66" s="294" t="s">
        <v>3696</v>
      </c>
      <c r="F66" s="294" t="s">
        <v>3136</v>
      </c>
      <c r="G66" s="294" t="s">
        <v>3832</v>
      </c>
      <c r="H66" s="294" t="s">
        <v>29</v>
      </c>
      <c r="I66" s="337" t="s">
        <v>116</v>
      </c>
      <c r="J66" s="149">
        <v>2.4</v>
      </c>
      <c r="K66" s="149">
        <v>0.92</v>
      </c>
      <c r="L66" s="149">
        <v>0.9</v>
      </c>
      <c r="M66" s="149">
        <v>0.92</v>
      </c>
      <c r="N66" s="335">
        <v>595</v>
      </c>
      <c r="O66" s="296">
        <f>3.89</f>
        <v>3.89</v>
      </c>
      <c r="P66" s="345"/>
      <c r="Q66" s="138" t="s">
        <v>3598</v>
      </c>
      <c r="R66" s="339"/>
      <c r="S66" s="339"/>
      <c r="T66" s="299" t="s">
        <v>3617</v>
      </c>
      <c r="U66" s="282" t="s">
        <v>446</v>
      </c>
      <c r="V66" s="282"/>
      <c r="W66" s="138" t="s">
        <v>116</v>
      </c>
      <c r="X66" s="340">
        <v>44572</v>
      </c>
      <c r="Y66" s="340">
        <v>44572</v>
      </c>
      <c r="Z66" s="340">
        <v>44597</v>
      </c>
      <c r="AA66" s="340"/>
      <c r="AB66" s="340"/>
      <c r="AC66" s="341"/>
      <c r="AD66" s="342" t="s">
        <v>64</v>
      </c>
      <c r="AE66" s="342" t="s">
        <v>468</v>
      </c>
      <c r="AF66" s="284"/>
      <c r="AG66" s="284"/>
      <c r="AH66" s="284">
        <v>44373</v>
      </c>
      <c r="AI66" s="284"/>
      <c r="AJ66" s="334">
        <f t="shared" ca="1" si="10"/>
        <v>44963</v>
      </c>
      <c r="AK66" s="342">
        <f t="shared" ca="1" si="11"/>
        <v>590</v>
      </c>
      <c r="AL66" s="342">
        <f t="shared" ca="1" si="12"/>
        <v>366</v>
      </c>
      <c r="AM66" s="284" t="s">
        <v>733</v>
      </c>
      <c r="AN66" s="284" t="s">
        <v>3138</v>
      </c>
      <c r="AO66" s="343">
        <v>8.0389999999999997</v>
      </c>
      <c r="AP66" s="343">
        <v>8.0790000000000006</v>
      </c>
      <c r="AQ66" s="343">
        <v>8.1039999999999992</v>
      </c>
      <c r="AR66" s="343">
        <v>8.109</v>
      </c>
      <c r="AS66" s="331">
        <f t="shared" ca="1" si="13"/>
        <v>391</v>
      </c>
      <c r="AV66" s="331" t="s">
        <v>136</v>
      </c>
      <c r="BI66" s="347"/>
    </row>
    <row r="67" spans="1:61" s="331" customFormat="1" ht="18" customHeight="1" x14ac:dyDescent="0.35">
      <c r="A67" s="334"/>
      <c r="B67" s="335" t="e">
        <f ca="1">IF(A67="",(IF(ISNUMBER(SUBSTITUTE(LEFT(RIGHT(E67,LEN(E67)-MIN(SEARCH({1,2,3,4,5,6,7,8,9,0},E67&amp;"1234567890"))+1),10),".","/"))=TRUE,AJ67-(SUBSTITUTE(LEFT(RIGHT(E67,LEN(E67)-MIN(SEARCH({1,2,3,4,5,6,7,8,9,0},E67&amp;"1234567890"))+1),10),".","/")),IF((SUBSTITUTE(LEFT(RIGHT(E67,LEN(E67)-MIN(SEARCH({1,2,3,4,5,6,7,8,9,0},E67&amp;"1234567890"))+1),10),".","/"))="","",(AJ67)-(MID(RIGHT((SUBSTITUTE(LEFT(RIGHT(E67,LEN(E67)-MIN(SEARCH({1,2,3,4,5,6,7,8,9,0},E67&amp;"1234567890"))+1),10),".","/")),10),4,2)&amp;"/"&amp;LEFT((RIGHT((SUBSTITUTE(LEFT(RIGHT(E67,LEN(E67)-MIN(SEARCH({1,2,3,4,5,6,7,8,9,0},E67&amp;"1234567890"))+1),10),".","/")),10)),2)&amp;"/"&amp;RIGHT((SUBSTITUTE(LEFT(RIGHT(E67,LEN(E67)-MIN(SEARCH({1,2,3,4,5,6,7,8,9,0},E67&amp;"1234567890"))+1),10),".","/")),4))))),(AJ67-A67))</f>
        <v>#VALUE!</v>
      </c>
      <c r="C67" s="334"/>
      <c r="D67" s="294" t="str">
        <f t="shared" si="9"/>
        <v>FGM-J3/2B-001X595</v>
      </c>
      <c r="E67" s="294" t="s">
        <v>3696</v>
      </c>
      <c r="F67" s="294" t="s">
        <v>3136</v>
      </c>
      <c r="G67" s="294" t="s">
        <v>3833</v>
      </c>
      <c r="H67" s="294" t="s">
        <v>29</v>
      </c>
      <c r="I67" s="337" t="s">
        <v>116</v>
      </c>
      <c r="J67" s="149">
        <v>2.4</v>
      </c>
      <c r="K67" s="149">
        <v>0.92</v>
      </c>
      <c r="L67" s="149">
        <v>0.9</v>
      </c>
      <c r="M67" s="149">
        <v>0.92</v>
      </c>
      <c r="N67" s="335">
        <v>595</v>
      </c>
      <c r="O67" s="296">
        <v>3.97</v>
      </c>
      <c r="P67" s="345"/>
      <c r="Q67" s="138" t="s">
        <v>3598</v>
      </c>
      <c r="R67" s="339"/>
      <c r="S67" s="339"/>
      <c r="T67" s="299" t="s">
        <v>3617</v>
      </c>
      <c r="U67" s="282" t="s">
        <v>446</v>
      </c>
      <c r="V67" s="282"/>
      <c r="W67" s="138" t="s">
        <v>116</v>
      </c>
      <c r="X67" s="340">
        <v>44572</v>
      </c>
      <c r="Y67" s="340">
        <v>44572</v>
      </c>
      <c r="Z67" s="340">
        <v>44597</v>
      </c>
      <c r="AA67" s="340"/>
      <c r="AB67" s="340"/>
      <c r="AC67" s="341"/>
      <c r="AD67" s="342" t="s">
        <v>64</v>
      </c>
      <c r="AE67" s="342" t="s">
        <v>468</v>
      </c>
      <c r="AF67" s="284"/>
      <c r="AG67" s="284"/>
      <c r="AH67" s="284">
        <v>44373</v>
      </c>
      <c r="AI67" s="284"/>
      <c r="AJ67" s="334">
        <f t="shared" ca="1" si="10"/>
        <v>44963</v>
      </c>
      <c r="AK67" s="342">
        <f t="shared" ca="1" si="11"/>
        <v>590</v>
      </c>
      <c r="AL67" s="342">
        <f t="shared" ca="1" si="12"/>
        <v>366</v>
      </c>
      <c r="AM67" s="284" t="s">
        <v>733</v>
      </c>
      <c r="AN67" s="284" t="s">
        <v>3138</v>
      </c>
      <c r="AO67" s="343">
        <v>8.0389999999999997</v>
      </c>
      <c r="AP67" s="343">
        <v>8.0790000000000006</v>
      </c>
      <c r="AQ67" s="343">
        <v>8.1039999999999992</v>
      </c>
      <c r="AR67" s="343">
        <v>8.109</v>
      </c>
      <c r="AS67" s="331">
        <f t="shared" ca="1" si="13"/>
        <v>391</v>
      </c>
      <c r="AV67" s="331" t="s">
        <v>136</v>
      </c>
      <c r="BI67" s="347"/>
    </row>
    <row r="68" spans="1:61" s="331" customFormat="1" ht="18" customHeight="1" x14ac:dyDescent="0.35">
      <c r="A68" s="334"/>
      <c r="B68" s="335" t="e">
        <f ca="1">IF(A68="",(IF(ISNUMBER(SUBSTITUTE(LEFT(RIGHT(E68,LEN(E68)-MIN(SEARCH({1,2,3,4,5,6,7,8,9,0},E68&amp;"1234567890"))+1),10),".","/"))=TRUE,AJ68-(SUBSTITUTE(LEFT(RIGHT(E68,LEN(E68)-MIN(SEARCH({1,2,3,4,5,6,7,8,9,0},E68&amp;"1234567890"))+1),10),".","/")),IF((SUBSTITUTE(LEFT(RIGHT(E68,LEN(E68)-MIN(SEARCH({1,2,3,4,5,6,7,8,9,0},E68&amp;"1234567890"))+1),10),".","/"))="","",(AJ68)-(MID(RIGHT((SUBSTITUTE(LEFT(RIGHT(E68,LEN(E68)-MIN(SEARCH({1,2,3,4,5,6,7,8,9,0},E68&amp;"1234567890"))+1),10),".","/")),10),4,2)&amp;"/"&amp;LEFT((RIGHT((SUBSTITUTE(LEFT(RIGHT(E68,LEN(E68)-MIN(SEARCH({1,2,3,4,5,6,7,8,9,0},E68&amp;"1234567890"))+1),10),".","/")),10)),2)&amp;"/"&amp;RIGHT((SUBSTITUTE(LEFT(RIGHT(E68,LEN(E68)-MIN(SEARCH({1,2,3,4,5,6,7,8,9,0},E68&amp;"1234567890"))+1),10),".","/")),4))))),(AJ68-A68))</f>
        <v>#VALUE!</v>
      </c>
      <c r="C68" s="334"/>
      <c r="D68" s="294" t="str">
        <f t="shared" si="9"/>
        <v>FGM-J3/2B-001X620</v>
      </c>
      <c r="E68" s="294" t="s">
        <v>3696</v>
      </c>
      <c r="F68" s="294" t="s">
        <v>3176</v>
      </c>
      <c r="G68" s="294" t="s">
        <v>3834</v>
      </c>
      <c r="H68" s="294" t="s">
        <v>29</v>
      </c>
      <c r="I68" s="337" t="s">
        <v>116</v>
      </c>
      <c r="J68" s="149">
        <v>2.2000000000000002</v>
      </c>
      <c r="K68" s="149">
        <v>0.73</v>
      </c>
      <c r="L68" s="149">
        <v>0.7</v>
      </c>
      <c r="M68" s="149">
        <v>0.72</v>
      </c>
      <c r="N68" s="335">
        <v>620</v>
      </c>
      <c r="O68" s="296">
        <f>4.89</f>
        <v>4.8899999999999997</v>
      </c>
      <c r="P68" s="345"/>
      <c r="Q68" s="138" t="s">
        <v>3598</v>
      </c>
      <c r="R68" s="339"/>
      <c r="S68" s="339"/>
      <c r="T68" s="299" t="s">
        <v>3617</v>
      </c>
      <c r="U68" s="282" t="s">
        <v>446</v>
      </c>
      <c r="V68" s="282"/>
      <c r="W68" s="138" t="s">
        <v>116</v>
      </c>
      <c r="X68" s="340">
        <v>44572</v>
      </c>
      <c r="Y68" s="340">
        <v>44574</v>
      </c>
      <c r="Z68" s="340">
        <v>44599</v>
      </c>
      <c r="AA68" s="340"/>
      <c r="AB68" s="340"/>
      <c r="AC68" s="341"/>
      <c r="AD68" s="342" t="s">
        <v>64</v>
      </c>
      <c r="AE68" s="342" t="s">
        <v>322</v>
      </c>
      <c r="AF68" s="284"/>
      <c r="AG68" s="284"/>
      <c r="AH68" s="284">
        <v>44396</v>
      </c>
      <c r="AI68" s="284"/>
      <c r="AJ68" s="334">
        <f t="shared" ca="1" si="10"/>
        <v>44963</v>
      </c>
      <c r="AK68" s="342">
        <f t="shared" ca="1" si="11"/>
        <v>567</v>
      </c>
      <c r="AL68" s="342">
        <f t="shared" ca="1" si="12"/>
        <v>364</v>
      </c>
      <c r="AM68" s="284" t="s">
        <v>891</v>
      </c>
      <c r="AN68" s="284" t="s">
        <v>798</v>
      </c>
      <c r="AO68" s="343">
        <v>9.9649999999999999</v>
      </c>
      <c r="AP68" s="343">
        <v>10.005000000000001</v>
      </c>
      <c r="AQ68" s="343">
        <v>10.029999999999999</v>
      </c>
      <c r="AR68" s="343">
        <v>10.035</v>
      </c>
      <c r="AS68" s="331">
        <f t="shared" ca="1" si="13"/>
        <v>389</v>
      </c>
      <c r="AV68" s="331" t="s">
        <v>136</v>
      </c>
      <c r="BI68" s="347"/>
    </row>
    <row r="69" spans="1:61" s="331" customFormat="1" ht="18" customHeight="1" x14ac:dyDescent="0.35">
      <c r="A69" s="334"/>
      <c r="B69" s="335" t="e">
        <f ca="1">IF(A69="",(IF(ISNUMBER(SUBSTITUTE(LEFT(RIGHT(E69,LEN(E69)-MIN(SEARCH({1,2,3,4,5,6,7,8,9,0},E69&amp;"1234567890"))+1),10),".","/"))=TRUE,AJ69-(SUBSTITUTE(LEFT(RIGHT(E69,LEN(E69)-MIN(SEARCH({1,2,3,4,5,6,7,8,9,0},E69&amp;"1234567890"))+1),10),".","/")),IF((SUBSTITUTE(LEFT(RIGHT(E69,LEN(E69)-MIN(SEARCH({1,2,3,4,5,6,7,8,9,0},E69&amp;"1234567890"))+1),10),".","/"))="","",(AJ69)-(MID(RIGHT((SUBSTITUTE(LEFT(RIGHT(E69,LEN(E69)-MIN(SEARCH({1,2,3,4,5,6,7,8,9,0},E69&amp;"1234567890"))+1),10),".","/")),10),4,2)&amp;"/"&amp;LEFT((RIGHT((SUBSTITUTE(LEFT(RIGHT(E69,LEN(E69)-MIN(SEARCH({1,2,3,4,5,6,7,8,9,0},E69&amp;"1234567890"))+1),10),".","/")),10)),2)&amp;"/"&amp;RIGHT((SUBSTITUTE(LEFT(RIGHT(E69,LEN(E69)-MIN(SEARCH({1,2,3,4,5,6,7,8,9,0},E69&amp;"1234567890"))+1),10),".","/")),4))))),(AJ69-A69))</f>
        <v>#VALUE!</v>
      </c>
      <c r="C69" s="334"/>
      <c r="D69" s="294" t="str">
        <f t="shared" si="9"/>
        <v>FGM-J3/2B-001X620</v>
      </c>
      <c r="E69" s="294" t="s">
        <v>3696</v>
      </c>
      <c r="F69" s="294" t="s">
        <v>3176</v>
      </c>
      <c r="G69" s="294" t="s">
        <v>3835</v>
      </c>
      <c r="H69" s="294" t="s">
        <v>29</v>
      </c>
      <c r="I69" s="337" t="s">
        <v>116</v>
      </c>
      <c r="J69" s="149">
        <v>2.2000000000000002</v>
      </c>
      <c r="K69" s="149">
        <v>0.73</v>
      </c>
      <c r="L69" s="149">
        <v>0.7</v>
      </c>
      <c r="M69" s="149">
        <v>0.72</v>
      </c>
      <c r="N69" s="335">
        <v>620</v>
      </c>
      <c r="O69" s="296">
        <v>4.78</v>
      </c>
      <c r="P69" s="345"/>
      <c r="Q69" s="138" t="s">
        <v>3598</v>
      </c>
      <c r="R69" s="339"/>
      <c r="S69" s="339"/>
      <c r="T69" s="299" t="s">
        <v>3617</v>
      </c>
      <c r="U69" s="282" t="s">
        <v>446</v>
      </c>
      <c r="V69" s="282"/>
      <c r="W69" s="138" t="s">
        <v>116</v>
      </c>
      <c r="X69" s="340">
        <v>44572</v>
      </c>
      <c r="Y69" s="340">
        <v>44574</v>
      </c>
      <c r="Z69" s="340">
        <v>44599</v>
      </c>
      <c r="AA69" s="340"/>
      <c r="AB69" s="340"/>
      <c r="AC69" s="341"/>
      <c r="AD69" s="342" t="s">
        <v>64</v>
      </c>
      <c r="AE69" s="342" t="s">
        <v>322</v>
      </c>
      <c r="AF69" s="284"/>
      <c r="AG69" s="284"/>
      <c r="AH69" s="284">
        <v>44396</v>
      </c>
      <c r="AI69" s="284"/>
      <c r="AJ69" s="334">
        <f t="shared" ca="1" si="10"/>
        <v>44963</v>
      </c>
      <c r="AK69" s="342">
        <f t="shared" ca="1" si="11"/>
        <v>567</v>
      </c>
      <c r="AL69" s="342">
        <f t="shared" ca="1" si="12"/>
        <v>364</v>
      </c>
      <c r="AM69" s="284" t="s">
        <v>891</v>
      </c>
      <c r="AN69" s="284" t="s">
        <v>798</v>
      </c>
      <c r="AO69" s="343">
        <v>9.9649999999999999</v>
      </c>
      <c r="AP69" s="343">
        <v>10.005000000000001</v>
      </c>
      <c r="AQ69" s="343">
        <v>10.029999999999999</v>
      </c>
      <c r="AR69" s="343">
        <v>10.035</v>
      </c>
      <c r="AS69" s="331">
        <f t="shared" ca="1" si="13"/>
        <v>389</v>
      </c>
      <c r="AV69" s="331" t="s">
        <v>136</v>
      </c>
      <c r="BI69" s="347"/>
    </row>
    <row r="70" spans="1:61" s="331" customFormat="1" ht="18" customHeight="1" x14ac:dyDescent="0.35">
      <c r="A70" s="334"/>
      <c r="B70" s="335" t="e">
        <f ca="1">IF(A70="",(IF(ISNUMBER(SUBSTITUTE(LEFT(RIGHT(E70,LEN(E70)-MIN(SEARCH({1,2,3,4,5,6,7,8,9,0},E70&amp;"1234567890"))+1),10),".","/"))=TRUE,AJ70-(SUBSTITUTE(LEFT(RIGHT(E70,LEN(E70)-MIN(SEARCH({1,2,3,4,5,6,7,8,9,0},E70&amp;"1234567890"))+1),10),".","/")),IF((SUBSTITUTE(LEFT(RIGHT(E70,LEN(E70)-MIN(SEARCH({1,2,3,4,5,6,7,8,9,0},E70&amp;"1234567890"))+1),10),".","/"))="","",(AJ70)-(MID(RIGHT((SUBSTITUTE(LEFT(RIGHT(E70,LEN(E70)-MIN(SEARCH({1,2,3,4,5,6,7,8,9,0},E70&amp;"1234567890"))+1),10),".","/")),10),4,2)&amp;"/"&amp;LEFT((RIGHT((SUBSTITUTE(LEFT(RIGHT(E70,LEN(E70)-MIN(SEARCH({1,2,3,4,5,6,7,8,9,0},E70&amp;"1234567890"))+1),10),".","/")),10)),2)&amp;"/"&amp;RIGHT((SUBSTITUTE(LEFT(RIGHT(E70,LEN(E70)-MIN(SEARCH({1,2,3,4,5,6,7,8,9,0},E70&amp;"1234567890"))+1),10),".","/")),4))))),(AJ70-A70))</f>
        <v>#VALUE!</v>
      </c>
      <c r="C70" s="334"/>
      <c r="D70" s="294" t="str">
        <f t="shared" si="9"/>
        <v>FGM-J3/2B-001X620</v>
      </c>
      <c r="E70" s="294" t="s">
        <v>3696</v>
      </c>
      <c r="F70" s="294" t="s">
        <v>3130</v>
      </c>
      <c r="G70" s="294" t="s">
        <v>3836</v>
      </c>
      <c r="H70" s="294" t="s">
        <v>29</v>
      </c>
      <c r="I70" s="337" t="s">
        <v>116</v>
      </c>
      <c r="J70" s="149">
        <v>2.4</v>
      </c>
      <c r="K70" s="149">
        <v>0.92</v>
      </c>
      <c r="L70" s="149">
        <v>0.9</v>
      </c>
      <c r="M70" s="149">
        <v>0.92</v>
      </c>
      <c r="N70" s="335">
        <v>620</v>
      </c>
      <c r="O70" s="296">
        <f>4.82</f>
        <v>4.82</v>
      </c>
      <c r="P70" s="345"/>
      <c r="Q70" s="138" t="s">
        <v>3598</v>
      </c>
      <c r="R70" s="339"/>
      <c r="S70" s="339"/>
      <c r="T70" s="299" t="s">
        <v>3617</v>
      </c>
      <c r="U70" s="282" t="s">
        <v>446</v>
      </c>
      <c r="V70" s="282"/>
      <c r="W70" s="138" t="s">
        <v>116</v>
      </c>
      <c r="X70" s="340">
        <v>44573</v>
      </c>
      <c r="Y70" s="340">
        <v>44573</v>
      </c>
      <c r="Z70" s="340">
        <v>44597</v>
      </c>
      <c r="AA70" s="340"/>
      <c r="AB70" s="340"/>
      <c r="AC70" s="341"/>
      <c r="AD70" s="342" t="s">
        <v>64</v>
      </c>
      <c r="AE70" s="342" t="s">
        <v>468</v>
      </c>
      <c r="AF70" s="284"/>
      <c r="AG70" s="284"/>
      <c r="AH70" s="284">
        <v>44370</v>
      </c>
      <c r="AI70" s="284"/>
      <c r="AJ70" s="334">
        <f t="shared" ca="1" si="10"/>
        <v>44963</v>
      </c>
      <c r="AK70" s="342">
        <f t="shared" ca="1" si="11"/>
        <v>593</v>
      </c>
      <c r="AL70" s="342">
        <f t="shared" ca="1" si="12"/>
        <v>366</v>
      </c>
      <c r="AM70" s="284" t="s">
        <v>3132</v>
      </c>
      <c r="AN70" s="284" t="s">
        <v>691</v>
      </c>
      <c r="AO70" s="343">
        <v>9.9649999999999999</v>
      </c>
      <c r="AP70" s="343">
        <v>10.004999999999999</v>
      </c>
      <c r="AQ70" s="343">
        <v>10.029999999999998</v>
      </c>
      <c r="AR70" s="343">
        <v>10.034999999999998</v>
      </c>
      <c r="AS70" s="331">
        <f t="shared" ca="1" si="13"/>
        <v>390</v>
      </c>
      <c r="AV70" s="331" t="s">
        <v>136</v>
      </c>
      <c r="BI70" s="347"/>
    </row>
    <row r="71" spans="1:61" s="331" customFormat="1" ht="18" customHeight="1" x14ac:dyDescent="0.35">
      <c r="A71" s="334">
        <v>44619</v>
      </c>
      <c r="B71" s="335">
        <f ca="1">IF(A71="",(IF(ISNUMBER(SUBSTITUTE(LEFT(RIGHT(E71,LEN(E71)-MIN(SEARCH({1,2,3,4,5,6,7,8,9,0},E71&amp;"1234567890"))+1),10),".","/"))=TRUE,AJ71-(SUBSTITUTE(LEFT(RIGHT(E71,LEN(E71)-MIN(SEARCH({1,2,3,4,5,6,7,8,9,0},E71&amp;"1234567890"))+1),10),".","/")),IF((SUBSTITUTE(LEFT(RIGHT(E71,LEN(E71)-MIN(SEARCH({1,2,3,4,5,6,7,8,9,0},E71&amp;"1234567890"))+1),10),".","/"))="","",(AJ71)-(MID(RIGHT((SUBSTITUTE(LEFT(RIGHT(E71,LEN(E71)-MIN(SEARCH({1,2,3,4,5,6,7,8,9,0},E71&amp;"1234567890"))+1),10),".","/")),10),4,2)&amp;"/"&amp;LEFT((RIGHT((SUBSTITUTE(LEFT(RIGHT(E71,LEN(E71)-MIN(SEARCH({1,2,3,4,5,6,7,8,9,0},E71&amp;"1234567890"))+1),10),".","/")),10)),2)&amp;"/"&amp;RIGHT((SUBSTITUTE(LEFT(RIGHT(E71,LEN(E71)-MIN(SEARCH({1,2,3,4,5,6,7,8,9,0},E71&amp;"1234567890"))+1),10),".","/")),4))))),(AJ71-A71))</f>
        <v>344</v>
      </c>
      <c r="C71" s="334"/>
      <c r="D71" s="294" t="str">
        <f t="shared" si="9"/>
        <v>FGM-J3/2B-001X620</v>
      </c>
      <c r="E71" s="294" t="s">
        <v>3696</v>
      </c>
      <c r="F71" s="294" t="s">
        <v>3130</v>
      </c>
      <c r="G71" s="294" t="s">
        <v>3837</v>
      </c>
      <c r="H71" s="294" t="s">
        <v>29</v>
      </c>
      <c r="I71" s="337" t="s">
        <v>116</v>
      </c>
      <c r="J71" s="149">
        <v>2.4</v>
      </c>
      <c r="K71" s="149">
        <v>0.92</v>
      </c>
      <c r="L71" s="149">
        <v>0.9</v>
      </c>
      <c r="M71" s="149">
        <v>0.92</v>
      </c>
      <c r="N71" s="335">
        <v>620</v>
      </c>
      <c r="O71" s="296">
        <v>4.8</v>
      </c>
      <c r="P71" s="345">
        <v>4.835</v>
      </c>
      <c r="Q71" s="138" t="s">
        <v>3598</v>
      </c>
      <c r="R71" s="339"/>
      <c r="S71" s="339"/>
      <c r="T71" s="299" t="s">
        <v>3617</v>
      </c>
      <c r="U71" s="282" t="s">
        <v>446</v>
      </c>
      <c r="V71" s="282"/>
      <c r="W71" s="138" t="s">
        <v>116</v>
      </c>
      <c r="X71" s="340">
        <v>44573</v>
      </c>
      <c r="Y71" s="340">
        <v>44573</v>
      </c>
      <c r="Z71" s="340">
        <v>44597</v>
      </c>
      <c r="AA71" s="340"/>
      <c r="AB71" s="340"/>
      <c r="AC71" s="341"/>
      <c r="AD71" s="342" t="s">
        <v>64</v>
      </c>
      <c r="AE71" s="342" t="s">
        <v>468</v>
      </c>
      <c r="AF71" s="284"/>
      <c r="AG71" s="284"/>
      <c r="AH71" s="284">
        <v>44370</v>
      </c>
      <c r="AI71" s="284"/>
      <c r="AJ71" s="334">
        <f t="shared" ca="1" si="10"/>
        <v>44963</v>
      </c>
      <c r="AK71" s="342">
        <f t="shared" ca="1" si="11"/>
        <v>593</v>
      </c>
      <c r="AL71" s="342">
        <f t="shared" ca="1" si="12"/>
        <v>366</v>
      </c>
      <c r="AM71" s="284" t="s">
        <v>3132</v>
      </c>
      <c r="AN71" s="284" t="s">
        <v>691</v>
      </c>
      <c r="AO71" s="343">
        <v>9.9649999999999999</v>
      </c>
      <c r="AP71" s="343">
        <v>10.004999999999999</v>
      </c>
      <c r="AQ71" s="343">
        <v>10.029999999999998</v>
      </c>
      <c r="AR71" s="343">
        <v>10.034999999999998</v>
      </c>
      <c r="AS71" s="331">
        <f t="shared" ca="1" si="13"/>
        <v>390</v>
      </c>
      <c r="AV71" s="331" t="s">
        <v>136</v>
      </c>
      <c r="BI71" s="347"/>
    </row>
    <row r="72" spans="1:61" s="331" customFormat="1" ht="18" customHeight="1" x14ac:dyDescent="0.35">
      <c r="A72" s="334"/>
      <c r="B72" s="335" t="e">
        <f ca="1">IF(A72="",(IF(ISNUMBER(SUBSTITUTE(LEFT(RIGHT(E72,LEN(E72)-MIN(SEARCH({1,2,3,4,5,6,7,8,9,0},E72&amp;"1234567890"))+1),10),".","/"))=TRUE,AJ72-(SUBSTITUTE(LEFT(RIGHT(E72,LEN(E72)-MIN(SEARCH({1,2,3,4,5,6,7,8,9,0},E72&amp;"1234567890"))+1),10),".","/")),IF((SUBSTITUTE(LEFT(RIGHT(E72,LEN(E72)-MIN(SEARCH({1,2,3,4,5,6,7,8,9,0},E72&amp;"1234567890"))+1),10),".","/"))="","",(AJ72)-(MID(RIGHT((SUBSTITUTE(LEFT(RIGHT(E72,LEN(E72)-MIN(SEARCH({1,2,3,4,5,6,7,8,9,0},E72&amp;"1234567890"))+1),10),".","/")),10),4,2)&amp;"/"&amp;LEFT((RIGHT((SUBSTITUTE(LEFT(RIGHT(E72,LEN(E72)-MIN(SEARCH({1,2,3,4,5,6,7,8,9,0},E72&amp;"1234567890"))+1),10),".","/")),10)),2)&amp;"/"&amp;RIGHT((SUBSTITUTE(LEFT(RIGHT(E72,LEN(E72)-MIN(SEARCH({1,2,3,4,5,6,7,8,9,0},E72&amp;"1234567890"))+1),10),".","/")),4))))),(AJ72-A72))</f>
        <v>#VALUE!</v>
      </c>
      <c r="C72" s="334"/>
      <c r="D72" s="294" t="str">
        <f t="shared" si="9"/>
        <v>FGM-J3/2B-001X595</v>
      </c>
      <c r="E72" s="294" t="s">
        <v>3696</v>
      </c>
      <c r="F72" s="294" t="s">
        <v>3165</v>
      </c>
      <c r="G72" s="294" t="s">
        <v>3838</v>
      </c>
      <c r="H72" s="294" t="s">
        <v>29</v>
      </c>
      <c r="I72" s="337" t="s">
        <v>116</v>
      </c>
      <c r="J72" s="149">
        <v>2.4</v>
      </c>
      <c r="K72" s="149">
        <v>0.92</v>
      </c>
      <c r="L72" s="149">
        <v>0.9</v>
      </c>
      <c r="M72" s="149">
        <v>0.92</v>
      </c>
      <c r="N72" s="335">
        <v>595</v>
      </c>
      <c r="O72" s="296">
        <f>3.995</f>
        <v>3.9950000000000001</v>
      </c>
      <c r="P72" s="345"/>
      <c r="Q72" s="138" t="s">
        <v>3598</v>
      </c>
      <c r="R72" s="339"/>
      <c r="S72" s="339"/>
      <c r="T72" s="299" t="s">
        <v>3617</v>
      </c>
      <c r="U72" s="282" t="s">
        <v>446</v>
      </c>
      <c r="V72" s="282"/>
      <c r="W72" s="138" t="s">
        <v>116</v>
      </c>
      <c r="X72" s="340">
        <v>44573</v>
      </c>
      <c r="Y72" s="340">
        <v>44573</v>
      </c>
      <c r="Z72" s="340">
        <v>44599</v>
      </c>
      <c r="AA72" s="340"/>
      <c r="AB72" s="340"/>
      <c r="AC72" s="341"/>
      <c r="AD72" s="342" t="s">
        <v>64</v>
      </c>
      <c r="AE72" s="342" t="s">
        <v>322</v>
      </c>
      <c r="AF72" s="284" t="s">
        <v>635</v>
      </c>
      <c r="AG72" s="284">
        <v>44315</v>
      </c>
      <c r="AH72" s="284">
        <v>44352</v>
      </c>
      <c r="AI72" s="284"/>
      <c r="AJ72" s="334">
        <f t="shared" ca="1" si="10"/>
        <v>44963</v>
      </c>
      <c r="AK72" s="342">
        <f t="shared" ca="1" si="11"/>
        <v>611</v>
      </c>
      <c r="AL72" s="342">
        <f t="shared" ca="1" si="12"/>
        <v>364</v>
      </c>
      <c r="AM72" s="284" t="s">
        <v>640</v>
      </c>
      <c r="AN72" s="284" t="s">
        <v>3167</v>
      </c>
      <c r="AO72" s="343">
        <v>8.1850000000000005</v>
      </c>
      <c r="AP72" s="343">
        <v>8.2249999999999996</v>
      </c>
      <c r="AQ72" s="343">
        <v>8.2499999999999982</v>
      </c>
      <c r="AR72" s="343">
        <v>8.254999999999999</v>
      </c>
      <c r="AS72" s="331">
        <f t="shared" ca="1" si="13"/>
        <v>390</v>
      </c>
      <c r="AV72" s="331" t="s">
        <v>136</v>
      </c>
      <c r="BI72" s="347"/>
    </row>
    <row r="73" spans="1:61" s="331" customFormat="1" ht="18" customHeight="1" x14ac:dyDescent="0.35">
      <c r="A73" s="334"/>
      <c r="B73" s="335" t="e">
        <f ca="1">IF(A73="",(IF(ISNUMBER(SUBSTITUTE(LEFT(RIGHT(E73,LEN(E73)-MIN(SEARCH({1,2,3,4,5,6,7,8,9,0},E73&amp;"1234567890"))+1),10),".","/"))=TRUE,AJ73-(SUBSTITUTE(LEFT(RIGHT(E73,LEN(E73)-MIN(SEARCH({1,2,3,4,5,6,7,8,9,0},E73&amp;"1234567890"))+1),10),".","/")),IF((SUBSTITUTE(LEFT(RIGHT(E73,LEN(E73)-MIN(SEARCH({1,2,3,4,5,6,7,8,9,0},E73&amp;"1234567890"))+1),10),".","/"))="","",(AJ73)-(MID(RIGHT((SUBSTITUTE(LEFT(RIGHT(E73,LEN(E73)-MIN(SEARCH({1,2,3,4,5,6,7,8,9,0},E73&amp;"1234567890"))+1),10),".","/")),10),4,2)&amp;"/"&amp;LEFT((RIGHT((SUBSTITUTE(LEFT(RIGHT(E73,LEN(E73)-MIN(SEARCH({1,2,3,4,5,6,7,8,9,0},E73&amp;"1234567890"))+1),10),".","/")),10)),2)&amp;"/"&amp;RIGHT((SUBSTITUTE(LEFT(RIGHT(E73,LEN(E73)-MIN(SEARCH({1,2,3,4,5,6,7,8,9,0},E73&amp;"1234567890"))+1),10),".","/")),4))))),(AJ73-A73))</f>
        <v>#VALUE!</v>
      </c>
      <c r="C73" s="334"/>
      <c r="D73" s="294" t="str">
        <f t="shared" si="9"/>
        <v>FGM-J3/2B-001X595</v>
      </c>
      <c r="E73" s="294" t="s">
        <v>3696</v>
      </c>
      <c r="F73" s="294" t="s">
        <v>3165</v>
      </c>
      <c r="G73" s="294" t="s">
        <v>3839</v>
      </c>
      <c r="H73" s="294" t="s">
        <v>29</v>
      </c>
      <c r="I73" s="337" t="s">
        <v>116</v>
      </c>
      <c r="J73" s="149">
        <v>2.4</v>
      </c>
      <c r="K73" s="149">
        <v>0.92</v>
      </c>
      <c r="L73" s="149">
        <v>0.9</v>
      </c>
      <c r="M73" s="149">
        <v>0.92</v>
      </c>
      <c r="N73" s="335">
        <v>595</v>
      </c>
      <c r="O73" s="296">
        <v>3.9849999999999999</v>
      </c>
      <c r="P73" s="345"/>
      <c r="Q73" s="138" t="s">
        <v>3598</v>
      </c>
      <c r="R73" s="339"/>
      <c r="S73" s="339"/>
      <c r="T73" s="299" t="s">
        <v>3617</v>
      </c>
      <c r="U73" s="282" t="s">
        <v>446</v>
      </c>
      <c r="V73" s="282"/>
      <c r="W73" s="138" t="s">
        <v>116</v>
      </c>
      <c r="X73" s="340">
        <v>44573</v>
      </c>
      <c r="Y73" s="340">
        <v>44573</v>
      </c>
      <c r="Z73" s="340">
        <v>44599</v>
      </c>
      <c r="AA73" s="340"/>
      <c r="AB73" s="340"/>
      <c r="AC73" s="341"/>
      <c r="AD73" s="342" t="s">
        <v>64</v>
      </c>
      <c r="AE73" s="342" t="s">
        <v>322</v>
      </c>
      <c r="AF73" s="284" t="s">
        <v>635</v>
      </c>
      <c r="AG73" s="284">
        <v>44315</v>
      </c>
      <c r="AH73" s="284">
        <v>44352</v>
      </c>
      <c r="AI73" s="284"/>
      <c r="AJ73" s="334">
        <f t="shared" ca="1" si="10"/>
        <v>44963</v>
      </c>
      <c r="AK73" s="342">
        <f t="shared" ca="1" si="11"/>
        <v>611</v>
      </c>
      <c r="AL73" s="342">
        <f t="shared" ca="1" si="12"/>
        <v>364</v>
      </c>
      <c r="AM73" s="284" t="s">
        <v>640</v>
      </c>
      <c r="AN73" s="284" t="s">
        <v>3167</v>
      </c>
      <c r="AO73" s="343">
        <v>8.1850000000000005</v>
      </c>
      <c r="AP73" s="343">
        <v>8.2249999999999996</v>
      </c>
      <c r="AQ73" s="343">
        <v>8.2499999999999982</v>
      </c>
      <c r="AR73" s="343">
        <v>8.254999999999999</v>
      </c>
      <c r="AS73" s="331">
        <f t="shared" ca="1" si="13"/>
        <v>390</v>
      </c>
      <c r="AV73" s="331" t="s">
        <v>136</v>
      </c>
      <c r="BI73" s="347"/>
    </row>
    <row r="74" spans="1:61" s="331" customFormat="1" ht="18" customHeight="1" x14ac:dyDescent="0.35">
      <c r="A74" s="334"/>
      <c r="B74" s="335" t="e">
        <f ca="1">IF(A74="",(IF(ISNUMBER(SUBSTITUTE(LEFT(RIGHT(E74,LEN(E74)-MIN(SEARCH({1,2,3,4,5,6,7,8,9,0},E74&amp;"1234567890"))+1),10),".","/"))=TRUE,AJ74-(SUBSTITUTE(LEFT(RIGHT(E74,LEN(E74)-MIN(SEARCH({1,2,3,4,5,6,7,8,9,0},E74&amp;"1234567890"))+1),10),".","/")),IF((SUBSTITUTE(LEFT(RIGHT(E74,LEN(E74)-MIN(SEARCH({1,2,3,4,5,6,7,8,9,0},E74&amp;"1234567890"))+1),10),".","/"))="","",(AJ74)-(MID(RIGHT((SUBSTITUTE(LEFT(RIGHT(E74,LEN(E74)-MIN(SEARCH({1,2,3,4,5,6,7,8,9,0},E74&amp;"1234567890"))+1),10),".","/")),10),4,2)&amp;"/"&amp;LEFT((RIGHT((SUBSTITUTE(LEFT(RIGHT(E74,LEN(E74)-MIN(SEARCH({1,2,3,4,5,6,7,8,9,0},E74&amp;"1234567890"))+1),10),".","/")),10)),2)&amp;"/"&amp;RIGHT((SUBSTITUTE(LEFT(RIGHT(E74,LEN(E74)-MIN(SEARCH({1,2,3,4,5,6,7,8,9,0},E74&amp;"1234567890"))+1),10),".","/")),4))))),(AJ74-A74))</f>
        <v>#VALUE!</v>
      </c>
      <c r="C74" s="334"/>
      <c r="D74" s="294" t="str">
        <f>IF(Q74="MULTI","FGM","FGC")&amp;"-"&amp;H74&amp;"/"&amp;I74&amp;"-"&amp;TEXT(K74,"0.00")&amp;"X"&amp;IF(Q74="MULTI",N74,Q74)</f>
        <v>FGM-304L/2B-001X768</v>
      </c>
      <c r="E74" s="294" t="s">
        <v>3713</v>
      </c>
      <c r="F74" s="294" t="s">
        <v>3127</v>
      </c>
      <c r="G74" s="294" t="s">
        <v>3840</v>
      </c>
      <c r="H74" s="294" t="s">
        <v>230</v>
      </c>
      <c r="I74" s="337" t="s">
        <v>116</v>
      </c>
      <c r="J74" s="149">
        <v>3.44</v>
      </c>
      <c r="K74" s="149">
        <v>1.1499999999999999</v>
      </c>
      <c r="L74" s="149">
        <v>1.1200000000000001</v>
      </c>
      <c r="M74" s="149">
        <v>1.1399999999999999</v>
      </c>
      <c r="N74" s="335">
        <v>768</v>
      </c>
      <c r="O74" s="296">
        <f>4.08</f>
        <v>4.08</v>
      </c>
      <c r="P74" s="345"/>
      <c r="Q74" s="138" t="s">
        <v>3598</v>
      </c>
      <c r="R74" s="339"/>
      <c r="S74" s="339"/>
      <c r="T74" s="299" t="s">
        <v>3715</v>
      </c>
      <c r="U74" s="282" t="s">
        <v>446</v>
      </c>
      <c r="V74" s="282"/>
      <c r="W74" s="138" t="s">
        <v>116</v>
      </c>
      <c r="X74" s="340">
        <v>44569</v>
      </c>
      <c r="Y74" s="340">
        <v>44570</v>
      </c>
      <c r="Z74" s="340">
        <v>44597</v>
      </c>
      <c r="AA74" s="340"/>
      <c r="AB74" s="340"/>
      <c r="AC74" s="341"/>
      <c r="AD74" s="342" t="s">
        <v>64</v>
      </c>
      <c r="AE74" s="342" t="s">
        <v>154</v>
      </c>
      <c r="AF74" s="284" t="s">
        <v>1296</v>
      </c>
      <c r="AG74" s="284"/>
      <c r="AH74" s="284">
        <v>44516</v>
      </c>
      <c r="AI74" s="284"/>
      <c r="AJ74" s="334">
        <f ca="1">TODAY()</f>
        <v>44963</v>
      </c>
      <c r="AK74" s="342">
        <f ca="1">IF(AH74&lt;&gt;0,AJ74-AH74,0)</f>
        <v>447</v>
      </c>
      <c r="AL74" s="342">
        <f ca="1">IF(ISNUMBER(Z74)=TRUE,AJ74-Z74,IF(Z74="","",(AJ74)-(MID(RIGHT(Z74,10),4,2)&amp;"/"&amp;LEFT((RIGHT(Z74,10)),2)&amp;"/"&amp;RIGHT(Z74,4))))</f>
        <v>366</v>
      </c>
      <c r="AM74" s="284"/>
      <c r="AN74" s="284" t="s">
        <v>3129</v>
      </c>
      <c r="AO74" s="343">
        <v>12.215</v>
      </c>
      <c r="AP74" s="343">
        <v>12.225</v>
      </c>
      <c r="AQ74" s="343">
        <v>12.249999999999998</v>
      </c>
      <c r="AR74" s="343">
        <v>12.254999999999999</v>
      </c>
      <c r="AS74" s="331">
        <f ca="1">IF(ISNUMBER(Y74)=TRUE,AJ74-Y74,IF(Y74="","",(AJ74)-(MID(RIGHT(Y74,10),4,2)&amp;"/"&amp;LEFT((RIGHT(Y74,10)),2)&amp;"/"&amp;RIGHT(Y74,4))))</f>
        <v>393</v>
      </c>
      <c r="AV74" s="331" t="s">
        <v>136</v>
      </c>
      <c r="BI74" s="347"/>
    </row>
    <row r="75" spans="1:61" s="331" customFormat="1" ht="18" customHeight="1" x14ac:dyDescent="0.35">
      <c r="A75" s="334">
        <v>44619</v>
      </c>
      <c r="B75" s="335">
        <f ca="1">IF(A75="",(IF(ISNUMBER(SUBSTITUTE(LEFT(RIGHT(E75,LEN(E75)-MIN(SEARCH({1,2,3,4,5,6,7,8,9,0},E75&amp;"1234567890"))+1),10),".","/"))=TRUE,AJ75-(SUBSTITUTE(LEFT(RIGHT(E75,LEN(E75)-MIN(SEARCH({1,2,3,4,5,6,7,8,9,0},E75&amp;"1234567890"))+1),10),".","/")),IF((SUBSTITUTE(LEFT(RIGHT(E75,LEN(E75)-MIN(SEARCH({1,2,3,4,5,6,7,8,9,0},E75&amp;"1234567890"))+1),10),".","/"))="","",(AJ75)-(MID(RIGHT((SUBSTITUTE(LEFT(RIGHT(E75,LEN(E75)-MIN(SEARCH({1,2,3,4,5,6,7,8,9,0},E75&amp;"1234567890"))+1),10),".","/")),10),4,2)&amp;"/"&amp;LEFT((RIGHT((SUBSTITUTE(LEFT(RIGHT(E75,LEN(E75)-MIN(SEARCH({1,2,3,4,5,6,7,8,9,0},E75&amp;"1234567890"))+1),10),".","/")),10)),2)&amp;"/"&amp;RIGHT((SUBSTITUTE(LEFT(RIGHT(E75,LEN(E75)-MIN(SEARCH({1,2,3,4,5,6,7,8,9,0},E75&amp;"1234567890"))+1),10),".","/")),4))))),(AJ75-A75))</f>
        <v>344</v>
      </c>
      <c r="C75" s="334"/>
      <c r="D75" s="294" t="str">
        <f>IF(Q75="MULTI","FGM","FGC")&amp;"-"&amp;H75&amp;"/"&amp;I75&amp;"-"&amp;TEXT(K75,"0.00")&amp;"X"&amp;IF(Q75="MULTI",N75,Q75)</f>
        <v>FGM-304L/2B-001X768</v>
      </c>
      <c r="E75" s="294" t="s">
        <v>3713</v>
      </c>
      <c r="F75" s="294" t="s">
        <v>3127</v>
      </c>
      <c r="G75" s="294" t="s">
        <v>3841</v>
      </c>
      <c r="H75" s="294" t="s">
        <v>230</v>
      </c>
      <c r="I75" s="337" t="s">
        <v>116</v>
      </c>
      <c r="J75" s="149">
        <v>3.44</v>
      </c>
      <c r="K75" s="149">
        <v>1.1499999999999999</v>
      </c>
      <c r="L75" s="149">
        <v>1.1200000000000001</v>
      </c>
      <c r="M75" s="149">
        <v>1.1399999999999999</v>
      </c>
      <c r="N75" s="335">
        <v>768</v>
      </c>
      <c r="O75" s="296">
        <v>4.0650000000000004</v>
      </c>
      <c r="P75" s="345">
        <v>4.0949999999999998</v>
      </c>
      <c r="Q75" s="138" t="s">
        <v>3598</v>
      </c>
      <c r="R75" s="339"/>
      <c r="S75" s="339"/>
      <c r="T75" s="299" t="s">
        <v>3715</v>
      </c>
      <c r="U75" s="282" t="s">
        <v>446</v>
      </c>
      <c r="V75" s="282"/>
      <c r="W75" s="138" t="s">
        <v>116</v>
      </c>
      <c r="X75" s="340">
        <v>44569</v>
      </c>
      <c r="Y75" s="340">
        <v>44570</v>
      </c>
      <c r="Z75" s="340">
        <v>44597</v>
      </c>
      <c r="AA75" s="340"/>
      <c r="AB75" s="340"/>
      <c r="AC75" s="341"/>
      <c r="AD75" s="342" t="s">
        <v>64</v>
      </c>
      <c r="AE75" s="342" t="s">
        <v>154</v>
      </c>
      <c r="AF75" s="284" t="s">
        <v>1296</v>
      </c>
      <c r="AG75" s="284"/>
      <c r="AH75" s="284">
        <v>44516</v>
      </c>
      <c r="AI75" s="284"/>
      <c r="AJ75" s="334">
        <f ca="1">TODAY()</f>
        <v>44963</v>
      </c>
      <c r="AK75" s="342">
        <f ca="1">IF(AH75&lt;&gt;0,AJ75-AH75,0)</f>
        <v>447</v>
      </c>
      <c r="AL75" s="342">
        <f ca="1">IF(ISNUMBER(Z75)=TRUE,AJ75-Z75,IF(Z75="","",(AJ75)-(MID(RIGHT(Z75,10),4,2)&amp;"/"&amp;LEFT((RIGHT(Z75,10)),2)&amp;"/"&amp;RIGHT(Z75,4))))</f>
        <v>366</v>
      </c>
      <c r="AM75" s="284"/>
      <c r="AN75" s="284" t="s">
        <v>3129</v>
      </c>
      <c r="AO75" s="343">
        <v>12.215</v>
      </c>
      <c r="AP75" s="343">
        <v>12.225</v>
      </c>
      <c r="AQ75" s="343">
        <v>12.249999999999998</v>
      </c>
      <c r="AR75" s="343">
        <v>12.254999999999999</v>
      </c>
      <c r="AS75" s="331">
        <f ca="1">IF(ISNUMBER(Y75)=TRUE,AJ75-Y75,IF(Y75="","",(AJ75)-(MID(RIGHT(Y75,10),4,2)&amp;"/"&amp;LEFT((RIGHT(Y75,10)),2)&amp;"/"&amp;RIGHT(Y75,4))))</f>
        <v>393</v>
      </c>
      <c r="AV75" s="331" t="s">
        <v>136</v>
      </c>
      <c r="BI75" s="347"/>
    </row>
    <row r="76" spans="1:61" s="331" customFormat="1" ht="18" customHeight="1" x14ac:dyDescent="0.35">
      <c r="A76" s="334">
        <v>44619</v>
      </c>
      <c r="B76" s="335">
        <f ca="1">IF(A76="",(IF(ISNUMBER(SUBSTITUTE(LEFT(RIGHT(E76,LEN(E76)-MIN(SEARCH({1,2,3,4,5,6,7,8,9,0},E76&amp;"1234567890"))+1),10),".","/"))=TRUE,AJ76-(SUBSTITUTE(LEFT(RIGHT(E76,LEN(E76)-MIN(SEARCH({1,2,3,4,5,6,7,8,9,0},E76&amp;"1234567890"))+1),10),".","/")),IF((SUBSTITUTE(LEFT(RIGHT(E76,LEN(E76)-MIN(SEARCH({1,2,3,4,5,6,7,8,9,0},E76&amp;"1234567890"))+1),10),".","/"))="","",(AJ76)-(MID(RIGHT((SUBSTITUTE(LEFT(RIGHT(E76,LEN(E76)-MIN(SEARCH({1,2,3,4,5,6,7,8,9,0},E76&amp;"1234567890"))+1),10),".","/")),10),4,2)&amp;"/"&amp;LEFT((RIGHT((SUBSTITUTE(LEFT(RIGHT(E76,LEN(E76)-MIN(SEARCH({1,2,3,4,5,6,7,8,9,0},E76&amp;"1234567890"))+1),10),".","/")),10)),2)&amp;"/"&amp;RIGHT((SUBSTITUTE(LEFT(RIGHT(E76,LEN(E76)-MIN(SEARCH({1,2,3,4,5,6,7,8,9,0},E76&amp;"1234567890"))+1),10),".","/")),4))))),(AJ76-A76))</f>
        <v>344</v>
      </c>
      <c r="C76" s="334"/>
      <c r="D76" s="294" t="str">
        <f>IF(Q76="MULTI","FGM","FGC")&amp;"-"&amp;H76&amp;"/"&amp;I76&amp;"-"&amp;TEXT(K76,"0.00")&amp;"X"&amp;IF(Q76="MULTI",N76,Q76)</f>
        <v>FGM-304L/2B-001X768</v>
      </c>
      <c r="E76" s="294" t="s">
        <v>3713</v>
      </c>
      <c r="F76" s="294" t="s">
        <v>3127</v>
      </c>
      <c r="G76" s="294" t="s">
        <v>3842</v>
      </c>
      <c r="H76" s="294" t="s">
        <v>230</v>
      </c>
      <c r="I76" s="337" t="s">
        <v>116</v>
      </c>
      <c r="J76" s="149">
        <v>3.44</v>
      </c>
      <c r="K76" s="149">
        <v>1.1499999999999999</v>
      </c>
      <c r="L76" s="149">
        <v>1.1200000000000001</v>
      </c>
      <c r="M76" s="149">
        <v>1.1399999999999999</v>
      </c>
      <c r="N76" s="335">
        <v>768</v>
      </c>
      <c r="O76" s="296">
        <v>3.76</v>
      </c>
      <c r="P76" s="345">
        <v>3.79</v>
      </c>
      <c r="Q76" s="138" t="s">
        <v>3598</v>
      </c>
      <c r="R76" s="339"/>
      <c r="S76" s="339"/>
      <c r="T76" s="299" t="s">
        <v>3715</v>
      </c>
      <c r="U76" s="282" t="s">
        <v>446</v>
      </c>
      <c r="V76" s="282"/>
      <c r="W76" s="138" t="s">
        <v>116</v>
      </c>
      <c r="X76" s="340">
        <v>44569</v>
      </c>
      <c r="Y76" s="340">
        <v>44570</v>
      </c>
      <c r="Z76" s="340">
        <v>44597</v>
      </c>
      <c r="AA76" s="340"/>
      <c r="AB76" s="340"/>
      <c r="AC76" s="341"/>
      <c r="AD76" s="342" t="s">
        <v>64</v>
      </c>
      <c r="AE76" s="342" t="s">
        <v>154</v>
      </c>
      <c r="AF76" s="284" t="s">
        <v>1296</v>
      </c>
      <c r="AG76" s="284"/>
      <c r="AH76" s="284">
        <v>44516</v>
      </c>
      <c r="AI76" s="284"/>
      <c r="AJ76" s="334">
        <f ca="1">TODAY()</f>
        <v>44963</v>
      </c>
      <c r="AK76" s="342">
        <f ca="1">IF(AH76&lt;&gt;0,AJ76-AH76,0)</f>
        <v>447</v>
      </c>
      <c r="AL76" s="342">
        <f ca="1">IF(ISNUMBER(Z76)=TRUE,AJ76-Z76,IF(Z76="","",(AJ76)-(MID(RIGHT(Z76,10),4,2)&amp;"/"&amp;LEFT((RIGHT(Z76,10)),2)&amp;"/"&amp;RIGHT(Z76,4))))</f>
        <v>366</v>
      </c>
      <c r="AM76" s="284"/>
      <c r="AN76" s="284" t="s">
        <v>3129</v>
      </c>
      <c r="AO76" s="343">
        <v>12.215</v>
      </c>
      <c r="AP76" s="343">
        <v>12.225</v>
      </c>
      <c r="AQ76" s="343">
        <v>12.249999999999998</v>
      </c>
      <c r="AR76" s="343">
        <v>12.254999999999999</v>
      </c>
      <c r="AS76" s="331">
        <f ca="1">IF(ISNUMBER(Y76)=TRUE,AJ76-Y76,IF(Y76="","",(AJ76)-(MID(RIGHT(Y76,10),4,2)&amp;"/"&amp;LEFT((RIGHT(Y76,10)),2)&amp;"/"&amp;RIGHT(Y76,4))))</f>
        <v>393</v>
      </c>
      <c r="AV76" s="331" t="s">
        <v>136</v>
      </c>
      <c r="BI76" s="347"/>
    </row>
    <row r="77" spans="1:61" s="331" customFormat="1" ht="18" customHeight="1" x14ac:dyDescent="0.35">
      <c r="A77" s="320"/>
      <c r="B77" s="319"/>
      <c r="C77" s="320"/>
      <c r="D77" s="302"/>
      <c r="E77" s="302"/>
      <c r="F77" s="302"/>
      <c r="G77" s="302"/>
      <c r="H77" s="302"/>
      <c r="I77" s="260"/>
      <c r="J77" s="321"/>
      <c r="K77" s="321"/>
      <c r="L77" s="321"/>
      <c r="M77" s="321"/>
      <c r="N77" s="319"/>
      <c r="O77" s="353">
        <f>SUM(O57:O76)</f>
        <v>82.804999999999993</v>
      </c>
      <c r="P77" s="323"/>
      <c r="Q77" s="301"/>
      <c r="R77" s="325"/>
      <c r="S77" s="326"/>
      <c r="T77" s="327"/>
      <c r="U77" s="328"/>
      <c r="V77" s="328"/>
      <c r="W77" s="328"/>
      <c r="X77" s="329"/>
      <c r="Y77" s="329"/>
      <c r="Z77" s="329"/>
      <c r="AA77" s="329"/>
      <c r="AB77" s="329"/>
      <c r="AC77" s="330"/>
      <c r="AF77" s="332"/>
      <c r="AG77" s="332"/>
      <c r="AH77" s="332"/>
      <c r="AI77" s="332"/>
      <c r="AJ77" s="320"/>
      <c r="AM77" s="332"/>
      <c r="AN77" s="332"/>
      <c r="AO77" s="333"/>
      <c r="AP77" s="333"/>
      <c r="AQ77" s="333"/>
      <c r="AR77" s="333"/>
    </row>
    <row r="78" spans="1:61" s="331" customFormat="1" ht="20.25" customHeight="1" x14ac:dyDescent="0.35">
      <c r="A78" s="320"/>
      <c r="B78" s="319"/>
      <c r="C78" s="320"/>
      <c r="D78" s="302"/>
      <c r="E78" s="302"/>
      <c r="F78" s="302"/>
      <c r="G78" s="302"/>
      <c r="H78" s="302"/>
      <c r="I78" s="260"/>
      <c r="J78" s="321"/>
      <c r="K78" s="321"/>
      <c r="L78" s="321"/>
      <c r="M78" s="321"/>
      <c r="N78" s="319"/>
      <c r="O78" s="322"/>
      <c r="P78" s="323"/>
      <c r="Q78" s="324"/>
      <c r="R78" s="325"/>
      <c r="S78" s="326"/>
      <c r="T78" s="327"/>
      <c r="U78" s="328"/>
      <c r="V78" s="328"/>
      <c r="W78" s="328"/>
      <c r="X78" s="329"/>
      <c r="Y78" s="329"/>
      <c r="Z78" s="329"/>
      <c r="AA78" s="329"/>
      <c r="AB78" s="329"/>
      <c r="AC78" s="330"/>
      <c r="AF78" s="332"/>
      <c r="AG78" s="332"/>
      <c r="AH78" s="332"/>
      <c r="AI78" s="332"/>
      <c r="AJ78" s="320"/>
      <c r="AM78" s="332"/>
      <c r="AN78" s="332"/>
      <c r="AO78" s="333"/>
      <c r="AP78" s="333"/>
      <c r="AQ78" s="333"/>
      <c r="AR78" s="333"/>
    </row>
    <row r="79" spans="1:61" x14ac:dyDescent="0.35">
      <c r="A79" s="318" t="s">
        <v>3843</v>
      </c>
    </row>
    <row r="80" spans="1:61" s="331" customFormat="1" ht="19.5" customHeight="1" x14ac:dyDescent="0.35">
      <c r="A80" s="334">
        <v>43457</v>
      </c>
      <c r="B80" s="335">
        <f ca="1">IF(A80="",(IF(ISNUMBER(SUBSTITUTE(LEFT(RIGHT(E80,LEN(E80)-MIN(SEARCH({1,2,3,4,5,6,7,8,9,0},E80&amp;"1234567890"))+1),10),".","/"))=TRUE,AJ80-(SUBSTITUTE(LEFT(RIGHT(E80,LEN(E80)-MIN(SEARCH({1,2,3,4,5,6,7,8,9,0},E80&amp;"1234567890"))+1),10),".","/")),IF((SUBSTITUTE(LEFT(RIGHT(E80,LEN(E80)-MIN(SEARCH({1,2,3,4,5,6,7,8,9,0},E80&amp;"1234567890"))+1),10),".","/"))="","",(AJ80)-(MID(RIGHT((SUBSTITUTE(LEFT(RIGHT(E80,LEN(E80)-MIN(SEARCH({1,2,3,4,5,6,7,8,9,0},E80&amp;"1234567890"))+1),10),".","/")),10),4,2)&amp;"/"&amp;LEFT((RIGHT((SUBSTITUTE(LEFT(RIGHT(E80,LEN(E80)-MIN(SEARCH({1,2,3,4,5,6,7,8,9,0},E80&amp;"1234567890"))+1),10),".","/")),10)),2)&amp;"/"&amp;RIGHT((SUBSTITUTE(LEFT(RIGHT(E80,LEN(E80)-MIN(SEARCH({1,2,3,4,5,6,7,8,9,0},E80&amp;"1234567890"))+1),10),".","/")),4))))),(AJ80-A80))</f>
        <v>1506</v>
      </c>
      <c r="C80" s="294"/>
      <c r="D80" s="294" t="str">
        <f>"FGS"&amp;"-"&amp;H80&amp;"/"&amp;I80&amp;"-"&amp;IF(K80="",(TEXT(J80,"0.00")),(TEXT(K80,"0.00")))&amp;"X"&amp;N80&amp;"X"&amp;Q80</f>
        <v>FGS-430/2B-001X762XSHEET</v>
      </c>
      <c r="E80" s="342" t="s">
        <v>3844</v>
      </c>
      <c r="F80" s="294" t="s">
        <v>3845</v>
      </c>
      <c r="G80" s="294" t="s">
        <v>3846</v>
      </c>
      <c r="H80" s="294">
        <v>430</v>
      </c>
      <c r="I80" s="337" t="s">
        <v>116</v>
      </c>
      <c r="J80" s="149">
        <v>4</v>
      </c>
      <c r="K80" s="149">
        <v>1.2</v>
      </c>
      <c r="L80" s="149">
        <v>1.1499999999999999</v>
      </c>
      <c r="M80" s="149">
        <v>1.17</v>
      </c>
      <c r="N80" s="335">
        <v>762</v>
      </c>
      <c r="O80" s="296">
        <v>0.28299999999999997</v>
      </c>
      <c r="P80" s="345">
        <v>0.317</v>
      </c>
      <c r="Q80" s="138" t="s">
        <v>3847</v>
      </c>
      <c r="R80" s="335">
        <v>3048</v>
      </c>
      <c r="S80" s="339">
        <v>13</v>
      </c>
      <c r="T80" s="299"/>
      <c r="U80" s="282" t="s">
        <v>3848</v>
      </c>
      <c r="V80" s="282"/>
      <c r="W80" s="282" t="s">
        <v>208</v>
      </c>
      <c r="X80" s="340">
        <v>43438</v>
      </c>
      <c r="Y80" s="340">
        <v>43444</v>
      </c>
      <c r="Z80" s="340">
        <v>43447</v>
      </c>
      <c r="AA80" s="340">
        <v>43448</v>
      </c>
      <c r="AB80" s="340"/>
      <c r="AC80" s="341"/>
      <c r="AD80" s="342" t="s">
        <v>64</v>
      </c>
      <c r="AE80" s="342" t="s">
        <v>132</v>
      </c>
      <c r="AF80" s="284" t="s">
        <v>192</v>
      </c>
      <c r="AG80" s="284">
        <v>43329</v>
      </c>
      <c r="AH80" s="284">
        <v>43348</v>
      </c>
      <c r="AI80" s="284"/>
      <c r="AJ80" s="334">
        <f t="shared" ref="AJ80:AJ121" ca="1" si="14">TODAY()</f>
        <v>44963</v>
      </c>
      <c r="AK80" s="342">
        <f t="shared" ref="AK80:AK121" ca="1" si="15">IF(AH80&lt;&gt;0,AJ80-AH80,0)</f>
        <v>1615</v>
      </c>
      <c r="AL80" s="342">
        <f ca="1">IF(ISNUMBER(Z80)=TRUE,AJ80-Z80,IF(Z80="","",(AJ80)-(MID(RIGHT(Z80,10),4,2)&amp;"/"&amp;LEFT((RIGHT(Z80,10)),2)&amp;"/"&amp;RIGHT(Z80,4))))</f>
        <v>1516</v>
      </c>
      <c r="AM80" s="284" t="s">
        <v>3849</v>
      </c>
      <c r="AN80" s="126">
        <v>1012726</v>
      </c>
      <c r="AO80" s="343">
        <v>9.9339999999999993</v>
      </c>
      <c r="AP80" s="343">
        <v>9.9489999999999998</v>
      </c>
      <c r="AQ80" s="343">
        <v>9.9550000000000001</v>
      </c>
      <c r="AR80" s="343">
        <v>9.9600000000000009</v>
      </c>
      <c r="AW80" s="331" t="s">
        <v>136</v>
      </c>
      <c r="BE80" s="331" t="s">
        <v>125</v>
      </c>
    </row>
    <row r="81" spans="1:57" s="331" customFormat="1" ht="19.5" customHeight="1" x14ac:dyDescent="0.35">
      <c r="A81" s="334"/>
      <c r="B81" s="335">
        <f ca="1">IF(A81="",(IF(ISNUMBER(SUBSTITUTE(LEFT(RIGHT(E81,LEN(E81)-MIN(SEARCH({1,2,3,4,5,6,7,8,9,0},E81&amp;"1234567890"))+1),10),".","/"))=TRUE,AJ81-(SUBSTITUTE(LEFT(RIGHT(E81,LEN(E81)-MIN(SEARCH({1,2,3,4,5,6,7,8,9,0},E81&amp;"1234567890"))+1),10),".","/")),IF((SUBSTITUTE(LEFT(RIGHT(E81,LEN(E81)-MIN(SEARCH({1,2,3,4,5,6,7,8,9,0},E81&amp;"1234567890"))+1),10),".","/"))="","",(AJ81)-(MID(RIGHT((SUBSTITUTE(LEFT(RIGHT(E81,LEN(E81)-MIN(SEARCH({1,2,3,4,5,6,7,8,9,0},E81&amp;"1234567890"))+1),10),".","/")),10),4,2)&amp;"/"&amp;LEFT((RIGHT((SUBSTITUTE(LEFT(RIGHT(E81,LEN(E81)-MIN(SEARCH({1,2,3,4,5,6,7,8,9,0},E81&amp;"1234567890"))+1),10),".","/")),10)),2)&amp;"/"&amp;RIGHT((SUBSTITUTE(LEFT(RIGHT(E81,LEN(E81)-MIN(SEARCH({1,2,3,4,5,6,7,8,9,0},E81&amp;"1234567890"))+1),10),".","/")),4))))),(AJ81-A81))</f>
        <v>1153</v>
      </c>
      <c r="C81" s="334"/>
      <c r="D81" s="294" t="str">
        <f>"FGS"&amp;"-"&amp;H81&amp;"/"&amp;I81&amp;"-"&amp;IF(K81="",(TEXT(J81,"0.00")),(TEXT(K81,"0.00")))&amp;"X"&amp;N81&amp;"X"&amp;Q81</f>
        <v>FGS-J1/2B-001X1219XSHEET</v>
      </c>
      <c r="E81" s="294" t="s">
        <v>3850</v>
      </c>
      <c r="F81" s="294" t="s">
        <v>3851</v>
      </c>
      <c r="G81" s="294" t="s">
        <v>3852</v>
      </c>
      <c r="H81" s="294" t="s">
        <v>27</v>
      </c>
      <c r="I81" s="337" t="s">
        <v>116</v>
      </c>
      <c r="J81" s="149">
        <v>1</v>
      </c>
      <c r="K81" s="149">
        <v>1</v>
      </c>
      <c r="L81" s="149"/>
      <c r="M81" s="149"/>
      <c r="N81" s="335">
        <v>1219</v>
      </c>
      <c r="O81" s="296">
        <v>2.5421900000000002</v>
      </c>
      <c r="P81" s="345">
        <v>2.6171899999999999</v>
      </c>
      <c r="Q81" s="138" t="s">
        <v>3847</v>
      </c>
      <c r="R81" s="366">
        <v>2438</v>
      </c>
      <c r="S81" s="339">
        <v>115</v>
      </c>
      <c r="T81" s="299"/>
      <c r="U81" s="282" t="s">
        <v>3853</v>
      </c>
      <c r="V81" s="282"/>
      <c r="W81" s="282"/>
      <c r="X81" s="340"/>
      <c r="Y81" s="340"/>
      <c r="Z81" s="340"/>
      <c r="AA81" s="340"/>
      <c r="AB81" s="340"/>
      <c r="AC81" s="341"/>
      <c r="AD81" s="342" t="s">
        <v>116</v>
      </c>
      <c r="AE81" s="342" t="s">
        <v>3854</v>
      </c>
      <c r="AF81" s="284" t="s">
        <v>3855</v>
      </c>
      <c r="AG81" s="284">
        <v>43748</v>
      </c>
      <c r="AH81" s="284">
        <v>43781</v>
      </c>
      <c r="AI81" s="284"/>
      <c r="AJ81" s="334">
        <f t="shared" ca="1" si="14"/>
        <v>44963</v>
      </c>
      <c r="AK81" s="342">
        <f t="shared" ca="1" si="15"/>
        <v>1182</v>
      </c>
      <c r="AL81" s="342" t="str">
        <f>IF(ISNUMBER(V81)=TRUE,AJ81-V81,IF(V81="","",(AJ81)-(MID(RIGHT(V81,10),4,2)&amp;"/"&amp;LEFT((RIGHT(V81,10)),2)&amp;"/"&amp;RIGHT(V81,4))))</f>
        <v/>
      </c>
      <c r="AM81" s="284" t="s">
        <v>3856</v>
      </c>
      <c r="AN81" s="284" t="s">
        <v>3857</v>
      </c>
      <c r="AO81" s="343">
        <v>2.5421900000000002</v>
      </c>
      <c r="AP81" s="343">
        <v>2.6171899999999999</v>
      </c>
      <c r="AQ81" s="343">
        <v>2.5421900000000002</v>
      </c>
      <c r="AR81" s="343">
        <v>2.6171899999999999</v>
      </c>
      <c r="AS81" s="331" t="e">
        <f ca="1">IF(ISNUMBER(U81)=TRUE,AJ81-U81,IF(U81="","",(AJ81)-(MID(RIGHT(U81,10),4,2)&amp;"/"&amp;LEFT((RIGHT(U81,10)),2)&amp;"/"&amp;RIGHT(U81,4))))</f>
        <v>#VALUE!</v>
      </c>
      <c r="AV81" s="331" t="s">
        <v>3858</v>
      </c>
      <c r="BC81" s="331">
        <v>0</v>
      </c>
      <c r="BE81" s="331" t="s">
        <v>125</v>
      </c>
    </row>
    <row r="82" spans="1:57" s="331" customFormat="1" ht="18" customHeight="1" x14ac:dyDescent="0.35">
      <c r="A82" s="334"/>
      <c r="B82" s="335">
        <f ca="1">IF(A82="",(IF(ISNUMBER(SUBSTITUTE(LEFT(RIGHT(E82,LEN(E82)-MIN(SEARCH({1,2,3,4,5,6,7,8,9,0},E82&amp;"1234567890"))+1),10),".","/"))=TRUE,AJ82-(SUBSTITUTE(LEFT(RIGHT(E82,LEN(E82)-MIN(SEARCH({1,2,3,4,5,6,7,8,9,0},E82&amp;"1234567890"))+1),10),".","/")),IF((SUBSTITUTE(LEFT(RIGHT(E82,LEN(E82)-MIN(SEARCH({1,2,3,4,5,6,7,8,9,0},E82&amp;"1234567890"))+1),10),".","/"))="","",(AJ82)-(MID(RIGHT((SUBSTITUTE(LEFT(RIGHT(E82,LEN(E82)-MIN(SEARCH({1,2,3,4,5,6,7,8,9,0},E82&amp;"1234567890"))+1),10),".","/")),10),4,2)&amp;"/"&amp;LEFT((RIGHT((SUBSTITUTE(LEFT(RIGHT(E82,LEN(E82)-MIN(SEARCH({1,2,3,4,5,6,7,8,9,0},E82&amp;"1234567890"))+1),10),".","/")),10)),2)&amp;"/"&amp;RIGHT((SUBSTITUTE(LEFT(RIGHT(E82,LEN(E82)-MIN(SEARCH({1,2,3,4,5,6,7,8,9,0},E82&amp;"1234567890"))+1),10),".","/")),4))))),(AJ82-A82))</f>
        <v>760</v>
      </c>
      <c r="C82" s="334"/>
      <c r="D82" s="294" t="str">
        <f t="shared" ref="D82:D121" si="16">"FGS"&amp;"-"&amp;G82&amp;"/"&amp;H82&amp;"-"&amp;IF(J82="",(TEXT(I82,"0.00")),(TEXT(J82,"0.00")))&amp;"X"&amp;M82&amp;"X"&amp;O82</f>
        <v>FGS-LM410467/410-001XX1,966</v>
      </c>
      <c r="E82" s="294" t="s">
        <v>3859</v>
      </c>
      <c r="F82" s="294" t="s">
        <v>3860</v>
      </c>
      <c r="G82" s="294" t="s">
        <v>3861</v>
      </c>
      <c r="H82" s="294">
        <v>410</v>
      </c>
      <c r="I82" s="337" t="s">
        <v>169</v>
      </c>
      <c r="J82" s="149">
        <v>0.92</v>
      </c>
      <c r="K82" s="149">
        <v>0.92</v>
      </c>
      <c r="L82" s="149"/>
      <c r="M82" s="149"/>
      <c r="N82" s="335">
        <v>1219</v>
      </c>
      <c r="O82" s="296">
        <v>1.966</v>
      </c>
      <c r="P82" s="345">
        <v>2.0179999999999998</v>
      </c>
      <c r="Q82" s="138" t="s">
        <v>3847</v>
      </c>
      <c r="R82" s="138">
        <v>2438</v>
      </c>
      <c r="S82" s="339">
        <v>92</v>
      </c>
      <c r="T82" s="299"/>
      <c r="U82" s="282"/>
      <c r="V82" s="282"/>
      <c r="W82" s="282"/>
      <c r="X82" s="340"/>
      <c r="Y82" s="340"/>
      <c r="Z82" s="340"/>
      <c r="AA82" s="340"/>
      <c r="AB82" s="340"/>
      <c r="AC82" s="341"/>
      <c r="AD82" s="342" t="s">
        <v>169</v>
      </c>
      <c r="AE82" s="342" t="s">
        <v>903</v>
      </c>
      <c r="AF82" s="284" t="s">
        <v>3862</v>
      </c>
      <c r="AG82" s="284">
        <v>44358</v>
      </c>
      <c r="AH82" s="284">
        <v>44378</v>
      </c>
      <c r="AI82" s="284"/>
      <c r="AJ82" s="334">
        <f t="shared" ca="1" si="14"/>
        <v>44963</v>
      </c>
      <c r="AK82" s="342">
        <f t="shared" ca="1" si="15"/>
        <v>585</v>
      </c>
      <c r="AL82" s="342"/>
      <c r="AM82" s="284" t="s">
        <v>3863</v>
      </c>
      <c r="AN82" s="284" t="s">
        <v>3864</v>
      </c>
      <c r="AO82" s="343">
        <v>1.966</v>
      </c>
      <c r="AP82" s="343">
        <v>2.0179999999999998</v>
      </c>
      <c r="AQ82" s="343">
        <v>1.966</v>
      </c>
      <c r="AR82" s="343">
        <v>2.0179999999999998</v>
      </c>
    </row>
    <row r="83" spans="1:57" s="331" customFormat="1" ht="18" customHeight="1" x14ac:dyDescent="0.35">
      <c r="A83" s="334"/>
      <c r="B83" s="335">
        <f ca="1">IF(A83="",(IF(ISNUMBER(SUBSTITUTE(LEFT(RIGHT(E83,LEN(E83)-MIN(SEARCH({1,2,3,4,5,6,7,8,9,0},E83&amp;"1234567890"))+1),10),".","/"))=TRUE,AJ83-(SUBSTITUTE(LEFT(RIGHT(E83,LEN(E83)-MIN(SEARCH({1,2,3,4,5,6,7,8,9,0},E83&amp;"1234567890"))+1),10),".","/")),IF((SUBSTITUTE(LEFT(RIGHT(E83,LEN(E83)-MIN(SEARCH({1,2,3,4,5,6,7,8,9,0},E83&amp;"1234567890"))+1),10),".","/"))="","",(AJ83)-(MID(RIGHT((SUBSTITUTE(LEFT(RIGHT(E83,LEN(E83)-MIN(SEARCH({1,2,3,4,5,6,7,8,9,0},E83&amp;"1234567890"))+1),10),".","/")),10),4,2)&amp;"/"&amp;LEFT((RIGHT((SUBSTITUTE(LEFT(RIGHT(E83,LEN(E83)-MIN(SEARCH({1,2,3,4,5,6,7,8,9,0},E83&amp;"1234567890"))+1),10),".","/")),10)),2)&amp;"/"&amp;RIGHT((SUBSTITUTE(LEFT(RIGHT(E83,LEN(E83)-MIN(SEARCH({1,2,3,4,5,6,7,8,9,0},E83&amp;"1234567890"))+1),10),".","/")),4))))),(AJ83-A83))</f>
        <v>760</v>
      </c>
      <c r="C83" s="334"/>
      <c r="D83" s="294" t="str">
        <f t="shared" si="16"/>
        <v>FGS-LM410469/410-001XX2,095</v>
      </c>
      <c r="E83" s="294" t="s">
        <v>3859</v>
      </c>
      <c r="F83" s="294" t="s">
        <v>3865</v>
      </c>
      <c r="G83" s="294" t="s">
        <v>3866</v>
      </c>
      <c r="H83" s="294">
        <v>410</v>
      </c>
      <c r="I83" s="337" t="s">
        <v>169</v>
      </c>
      <c r="J83" s="149">
        <v>0.92</v>
      </c>
      <c r="K83" s="149">
        <v>0.92</v>
      </c>
      <c r="L83" s="149"/>
      <c r="M83" s="149"/>
      <c r="N83" s="335">
        <v>1219</v>
      </c>
      <c r="O83" s="296">
        <v>2.0950000000000002</v>
      </c>
      <c r="P83" s="345">
        <v>2.1480000000000001</v>
      </c>
      <c r="Q83" s="138" t="s">
        <v>3847</v>
      </c>
      <c r="R83" s="138">
        <v>2438</v>
      </c>
      <c r="S83" s="339">
        <v>98</v>
      </c>
      <c r="T83" s="299"/>
      <c r="U83" s="282"/>
      <c r="V83" s="282"/>
      <c r="W83" s="282"/>
      <c r="X83" s="340"/>
      <c r="Y83" s="340"/>
      <c r="Z83" s="340"/>
      <c r="AA83" s="340"/>
      <c r="AB83" s="340"/>
      <c r="AC83" s="341"/>
      <c r="AD83" s="342" t="s">
        <v>169</v>
      </c>
      <c r="AE83" s="342" t="s">
        <v>903</v>
      </c>
      <c r="AF83" s="284" t="s">
        <v>3862</v>
      </c>
      <c r="AG83" s="284">
        <v>44358</v>
      </c>
      <c r="AH83" s="284">
        <v>44378</v>
      </c>
      <c r="AI83" s="284"/>
      <c r="AJ83" s="334">
        <f t="shared" ca="1" si="14"/>
        <v>44963</v>
      </c>
      <c r="AK83" s="342">
        <f t="shared" ca="1" si="15"/>
        <v>585</v>
      </c>
      <c r="AL83" s="342"/>
      <c r="AM83" s="284" t="s">
        <v>3867</v>
      </c>
      <c r="AN83" s="284" t="s">
        <v>3868</v>
      </c>
      <c r="AO83" s="343">
        <v>2.0950000000000002</v>
      </c>
      <c r="AP83" s="343">
        <v>2.1480000000000001</v>
      </c>
      <c r="AQ83" s="343">
        <v>2.0950000000000002</v>
      </c>
      <c r="AR83" s="343">
        <v>2.1480000000000001</v>
      </c>
    </row>
    <row r="84" spans="1:57" s="331" customFormat="1" ht="18" customHeight="1" x14ac:dyDescent="0.35">
      <c r="A84" s="334"/>
      <c r="B84" s="335">
        <f ca="1">IF(A84="",(IF(ISNUMBER(SUBSTITUTE(LEFT(RIGHT(E84,LEN(E84)-MIN(SEARCH({1,2,3,4,5,6,7,8,9,0},E84&amp;"1234567890"))+1),10),".","/"))=TRUE,AJ84-(SUBSTITUTE(LEFT(RIGHT(E84,LEN(E84)-MIN(SEARCH({1,2,3,4,5,6,7,8,9,0},E84&amp;"1234567890"))+1),10),".","/")),IF((SUBSTITUTE(LEFT(RIGHT(E84,LEN(E84)-MIN(SEARCH({1,2,3,4,5,6,7,8,9,0},E84&amp;"1234567890"))+1),10),".","/"))="","",(AJ84)-(MID(RIGHT((SUBSTITUTE(LEFT(RIGHT(E84,LEN(E84)-MIN(SEARCH({1,2,3,4,5,6,7,8,9,0},E84&amp;"1234567890"))+1),10),".","/")),10),4,2)&amp;"/"&amp;LEFT((RIGHT((SUBSTITUTE(LEFT(RIGHT(E84,LEN(E84)-MIN(SEARCH({1,2,3,4,5,6,7,8,9,0},E84&amp;"1234567890"))+1),10),".","/")),10)),2)&amp;"/"&amp;RIGHT((SUBSTITUTE(LEFT(RIGHT(E84,LEN(E84)-MIN(SEARCH({1,2,3,4,5,6,7,8,9,0},E84&amp;"1234567890"))+1),10),".","/")),4))))),(AJ84-A84))</f>
        <v>760</v>
      </c>
      <c r="C84" s="334"/>
      <c r="D84" s="294" t="str">
        <f t="shared" si="16"/>
        <v>FGS-LM410470/410-001XX2,095</v>
      </c>
      <c r="E84" s="294" t="s">
        <v>3859</v>
      </c>
      <c r="F84" s="294" t="s">
        <v>3869</v>
      </c>
      <c r="G84" s="294" t="s">
        <v>3870</v>
      </c>
      <c r="H84" s="294">
        <v>410</v>
      </c>
      <c r="I84" s="337" t="s">
        <v>169</v>
      </c>
      <c r="J84" s="149">
        <v>0.92</v>
      </c>
      <c r="K84" s="149">
        <v>0.92</v>
      </c>
      <c r="L84" s="149"/>
      <c r="M84" s="149"/>
      <c r="N84" s="335">
        <v>1219</v>
      </c>
      <c r="O84" s="296">
        <v>2.0950000000000002</v>
      </c>
      <c r="P84" s="345">
        <v>2.1440000000000001</v>
      </c>
      <c r="Q84" s="138" t="s">
        <v>3847</v>
      </c>
      <c r="R84" s="138">
        <v>2438</v>
      </c>
      <c r="S84" s="339">
        <v>98</v>
      </c>
      <c r="T84" s="299"/>
      <c r="U84" s="282"/>
      <c r="V84" s="282"/>
      <c r="W84" s="282"/>
      <c r="X84" s="340"/>
      <c r="Y84" s="340"/>
      <c r="Z84" s="340"/>
      <c r="AA84" s="340"/>
      <c r="AB84" s="340"/>
      <c r="AC84" s="341"/>
      <c r="AD84" s="342" t="s">
        <v>169</v>
      </c>
      <c r="AE84" s="342" t="s">
        <v>903</v>
      </c>
      <c r="AF84" s="284" t="s">
        <v>3862</v>
      </c>
      <c r="AG84" s="284">
        <v>44358</v>
      </c>
      <c r="AH84" s="284">
        <v>44378</v>
      </c>
      <c r="AI84" s="284"/>
      <c r="AJ84" s="334">
        <f t="shared" ca="1" si="14"/>
        <v>44963</v>
      </c>
      <c r="AK84" s="342">
        <f t="shared" ca="1" si="15"/>
        <v>585</v>
      </c>
      <c r="AL84" s="342"/>
      <c r="AM84" s="284" t="s">
        <v>3871</v>
      </c>
      <c r="AN84" s="284" t="s">
        <v>3872</v>
      </c>
      <c r="AO84" s="343">
        <v>2.0950000000000002</v>
      </c>
      <c r="AP84" s="343">
        <v>2.1440000000000001</v>
      </c>
      <c r="AQ84" s="343">
        <v>2.0950000000000002</v>
      </c>
      <c r="AR84" s="343">
        <v>2.1440000000000001</v>
      </c>
    </row>
    <row r="85" spans="1:57" s="331" customFormat="1" ht="18" customHeight="1" x14ac:dyDescent="0.35">
      <c r="A85" s="334"/>
      <c r="B85" s="335">
        <f ca="1">IF(A85="",(IF(ISNUMBER(SUBSTITUTE(LEFT(RIGHT(E85,LEN(E85)-MIN(SEARCH({1,2,3,4,5,6,7,8,9,0},E85&amp;"1234567890"))+1),10),".","/"))=TRUE,AJ85-(SUBSTITUTE(LEFT(RIGHT(E85,LEN(E85)-MIN(SEARCH({1,2,3,4,5,6,7,8,9,0},E85&amp;"1234567890"))+1),10),".","/")),IF((SUBSTITUTE(LEFT(RIGHT(E85,LEN(E85)-MIN(SEARCH({1,2,3,4,5,6,7,8,9,0},E85&amp;"1234567890"))+1),10),".","/"))="","",(AJ85)-(MID(RIGHT((SUBSTITUTE(LEFT(RIGHT(E85,LEN(E85)-MIN(SEARCH({1,2,3,4,5,6,7,8,9,0},E85&amp;"1234567890"))+1),10),".","/")),10),4,2)&amp;"/"&amp;LEFT((RIGHT((SUBSTITUTE(LEFT(RIGHT(E85,LEN(E85)-MIN(SEARCH({1,2,3,4,5,6,7,8,9,0},E85&amp;"1234567890"))+1),10),".","/")),10)),2)&amp;"/"&amp;RIGHT((SUBSTITUTE(LEFT(RIGHT(E85,LEN(E85)-MIN(SEARCH({1,2,3,4,5,6,7,8,9,0},E85&amp;"1234567890"))+1),10),".","/")),4))))),(AJ85-A85))</f>
        <v>760</v>
      </c>
      <c r="C85" s="334"/>
      <c r="D85" s="294" t="str">
        <f t="shared" si="16"/>
        <v>FGS-LM410471/410-001XX2,095</v>
      </c>
      <c r="E85" s="294" t="s">
        <v>3859</v>
      </c>
      <c r="F85" s="294" t="s">
        <v>3873</v>
      </c>
      <c r="G85" s="294" t="s">
        <v>3874</v>
      </c>
      <c r="H85" s="294">
        <v>410</v>
      </c>
      <c r="I85" s="337" t="s">
        <v>169</v>
      </c>
      <c r="J85" s="149">
        <v>0.92</v>
      </c>
      <c r="K85" s="149">
        <v>0.92</v>
      </c>
      <c r="L85" s="149"/>
      <c r="M85" s="149"/>
      <c r="N85" s="335">
        <v>1219</v>
      </c>
      <c r="O85" s="296">
        <v>2.0950000000000002</v>
      </c>
      <c r="P85" s="345">
        <v>2.15</v>
      </c>
      <c r="Q85" s="138" t="s">
        <v>3847</v>
      </c>
      <c r="R85" s="138">
        <v>2438</v>
      </c>
      <c r="S85" s="339">
        <v>98</v>
      </c>
      <c r="T85" s="299"/>
      <c r="U85" s="282"/>
      <c r="V85" s="282"/>
      <c r="W85" s="282"/>
      <c r="X85" s="340"/>
      <c r="Y85" s="340"/>
      <c r="Z85" s="340"/>
      <c r="AA85" s="340"/>
      <c r="AB85" s="340"/>
      <c r="AC85" s="341"/>
      <c r="AD85" s="342" t="s">
        <v>169</v>
      </c>
      <c r="AE85" s="342" t="s">
        <v>903</v>
      </c>
      <c r="AF85" s="284" t="s">
        <v>3862</v>
      </c>
      <c r="AG85" s="284">
        <v>44358</v>
      </c>
      <c r="AH85" s="284">
        <v>44378</v>
      </c>
      <c r="AI85" s="284"/>
      <c r="AJ85" s="334">
        <f t="shared" ca="1" si="14"/>
        <v>44963</v>
      </c>
      <c r="AK85" s="342">
        <f t="shared" ca="1" si="15"/>
        <v>585</v>
      </c>
      <c r="AL85" s="342"/>
      <c r="AM85" s="284" t="s">
        <v>3871</v>
      </c>
      <c r="AN85" s="284" t="s">
        <v>3875</v>
      </c>
      <c r="AO85" s="343">
        <v>2.0950000000000002</v>
      </c>
      <c r="AP85" s="343">
        <v>2.15</v>
      </c>
      <c r="AQ85" s="343">
        <v>2.0950000000000002</v>
      </c>
      <c r="AR85" s="343">
        <v>2.15</v>
      </c>
    </row>
    <row r="86" spans="1:57" s="331" customFormat="1" ht="18" customHeight="1" x14ac:dyDescent="0.35">
      <c r="A86" s="334"/>
      <c r="B86" s="335">
        <f ca="1">IF(A86="",(IF(ISNUMBER(SUBSTITUTE(LEFT(RIGHT(E86,LEN(E86)-MIN(SEARCH({1,2,3,4,5,6,7,8,9,0},E86&amp;"1234567890"))+1),10),".","/"))=TRUE,AJ86-(SUBSTITUTE(LEFT(RIGHT(E86,LEN(E86)-MIN(SEARCH({1,2,3,4,5,6,7,8,9,0},E86&amp;"1234567890"))+1),10),".","/")),IF((SUBSTITUTE(LEFT(RIGHT(E86,LEN(E86)-MIN(SEARCH({1,2,3,4,5,6,7,8,9,0},E86&amp;"1234567890"))+1),10),".","/"))="","",(AJ86)-(MID(RIGHT((SUBSTITUTE(LEFT(RIGHT(E86,LEN(E86)-MIN(SEARCH({1,2,3,4,5,6,7,8,9,0},E86&amp;"1234567890"))+1),10),".","/")),10),4,2)&amp;"/"&amp;LEFT((RIGHT((SUBSTITUTE(LEFT(RIGHT(E86,LEN(E86)-MIN(SEARCH({1,2,3,4,5,6,7,8,9,0},E86&amp;"1234567890"))+1),10),".","/")),10)),2)&amp;"/"&amp;RIGHT((SUBSTITUTE(LEFT(RIGHT(E86,LEN(E86)-MIN(SEARCH({1,2,3,4,5,6,7,8,9,0},E86&amp;"1234567890"))+1),10),".","/")),4))))),(AJ86-A86))</f>
        <v>760</v>
      </c>
      <c r="C86" s="334"/>
      <c r="D86" s="294" t="str">
        <f t="shared" si="16"/>
        <v>FGS-LM410472/410-001XX1,84</v>
      </c>
      <c r="E86" s="294" t="s">
        <v>3859</v>
      </c>
      <c r="F86" s="294" t="s">
        <v>3876</v>
      </c>
      <c r="G86" s="294" t="s">
        <v>3877</v>
      </c>
      <c r="H86" s="294">
        <v>410</v>
      </c>
      <c r="I86" s="337" t="s">
        <v>169</v>
      </c>
      <c r="J86" s="149">
        <v>0.92</v>
      </c>
      <c r="K86" s="149">
        <v>0.92</v>
      </c>
      <c r="L86" s="149"/>
      <c r="M86" s="149"/>
      <c r="N86" s="335">
        <v>1219</v>
      </c>
      <c r="O86" s="296">
        <v>1.84</v>
      </c>
      <c r="P86" s="345">
        <v>1.8959999999999999</v>
      </c>
      <c r="Q86" s="138" t="s">
        <v>3847</v>
      </c>
      <c r="R86" s="138">
        <v>2438</v>
      </c>
      <c r="S86" s="339">
        <v>86</v>
      </c>
      <c r="T86" s="299"/>
      <c r="U86" s="282"/>
      <c r="V86" s="282"/>
      <c r="W86" s="282"/>
      <c r="X86" s="340"/>
      <c r="Y86" s="340"/>
      <c r="Z86" s="340"/>
      <c r="AA86" s="340"/>
      <c r="AB86" s="340"/>
      <c r="AC86" s="341"/>
      <c r="AD86" s="342" t="s">
        <v>169</v>
      </c>
      <c r="AE86" s="342" t="s">
        <v>903</v>
      </c>
      <c r="AF86" s="284" t="s">
        <v>3862</v>
      </c>
      <c r="AG86" s="284">
        <v>44358</v>
      </c>
      <c r="AH86" s="284">
        <v>44378</v>
      </c>
      <c r="AI86" s="284"/>
      <c r="AJ86" s="334">
        <f t="shared" ca="1" si="14"/>
        <v>44963</v>
      </c>
      <c r="AK86" s="342">
        <f t="shared" ca="1" si="15"/>
        <v>585</v>
      </c>
      <c r="AL86" s="342"/>
      <c r="AM86" s="284" t="s">
        <v>3871</v>
      </c>
      <c r="AN86" s="284" t="s">
        <v>3878</v>
      </c>
      <c r="AO86" s="343">
        <v>1.84</v>
      </c>
      <c r="AP86" s="343">
        <v>1.8959999999999999</v>
      </c>
      <c r="AQ86" s="343">
        <v>1.84</v>
      </c>
      <c r="AR86" s="343">
        <v>1.8959999999999999</v>
      </c>
    </row>
    <row r="87" spans="1:57" s="331" customFormat="1" ht="18" customHeight="1" x14ac:dyDescent="0.35">
      <c r="A87" s="334"/>
      <c r="B87" s="335">
        <f ca="1">IF(A87="",(IF(ISNUMBER(SUBSTITUTE(LEFT(RIGHT(E87,LEN(E87)-MIN(SEARCH({1,2,3,4,5,6,7,8,9,0},E87&amp;"1234567890"))+1),10),".","/"))=TRUE,AJ87-(SUBSTITUTE(LEFT(RIGHT(E87,LEN(E87)-MIN(SEARCH({1,2,3,4,5,6,7,8,9,0},E87&amp;"1234567890"))+1),10),".","/")),IF((SUBSTITUTE(LEFT(RIGHT(E87,LEN(E87)-MIN(SEARCH({1,2,3,4,5,6,7,8,9,0},E87&amp;"1234567890"))+1),10),".","/"))="","",(AJ87)-(MID(RIGHT((SUBSTITUTE(LEFT(RIGHT(E87,LEN(E87)-MIN(SEARCH({1,2,3,4,5,6,7,8,9,0},E87&amp;"1234567890"))+1),10),".","/")),10),4,2)&amp;"/"&amp;LEFT((RIGHT((SUBSTITUTE(LEFT(RIGHT(E87,LEN(E87)-MIN(SEARCH({1,2,3,4,5,6,7,8,9,0},E87&amp;"1234567890"))+1),10),".","/")),10)),2)&amp;"/"&amp;RIGHT((SUBSTITUTE(LEFT(RIGHT(E87,LEN(E87)-MIN(SEARCH({1,2,3,4,5,6,7,8,9,0},E87&amp;"1234567890"))+1),10),".","/")),4))))),(AJ87-A87))</f>
        <v>760</v>
      </c>
      <c r="C87" s="334"/>
      <c r="D87" s="294" t="str">
        <f t="shared" si="16"/>
        <v>FGS-LM410478/410-001XX1,979</v>
      </c>
      <c r="E87" s="294" t="s">
        <v>3859</v>
      </c>
      <c r="F87" s="294" t="s">
        <v>3879</v>
      </c>
      <c r="G87" s="294" t="s">
        <v>3880</v>
      </c>
      <c r="H87" s="294">
        <v>410</v>
      </c>
      <c r="I87" s="337" t="s">
        <v>169</v>
      </c>
      <c r="J87" s="149">
        <v>0.83</v>
      </c>
      <c r="K87" s="149">
        <v>0.83</v>
      </c>
      <c r="L87" s="149"/>
      <c r="M87" s="149"/>
      <c r="N87" s="335">
        <v>1219</v>
      </c>
      <c r="O87" s="296">
        <v>1.9790000000000001</v>
      </c>
      <c r="P87" s="345">
        <v>2.024</v>
      </c>
      <c r="Q87" s="138" t="s">
        <v>3847</v>
      </c>
      <c r="R87" s="138">
        <v>2438</v>
      </c>
      <c r="S87" s="339">
        <v>102</v>
      </c>
      <c r="T87" s="299"/>
      <c r="U87" s="282"/>
      <c r="V87" s="282"/>
      <c r="W87" s="282"/>
      <c r="X87" s="340"/>
      <c r="Y87" s="340"/>
      <c r="Z87" s="340"/>
      <c r="AA87" s="340"/>
      <c r="AB87" s="340"/>
      <c r="AC87" s="341"/>
      <c r="AD87" s="342" t="s">
        <v>169</v>
      </c>
      <c r="AE87" s="342" t="s">
        <v>903</v>
      </c>
      <c r="AF87" s="284" t="s">
        <v>3862</v>
      </c>
      <c r="AG87" s="284">
        <v>44358</v>
      </c>
      <c r="AH87" s="284">
        <v>44378</v>
      </c>
      <c r="AI87" s="284"/>
      <c r="AJ87" s="334">
        <f t="shared" ca="1" si="14"/>
        <v>44963</v>
      </c>
      <c r="AK87" s="342">
        <f t="shared" ca="1" si="15"/>
        <v>585</v>
      </c>
      <c r="AL87" s="342"/>
      <c r="AM87" s="284" t="s">
        <v>3881</v>
      </c>
      <c r="AN87" s="284" t="s">
        <v>3882</v>
      </c>
      <c r="AO87" s="343">
        <v>1.9790000000000001</v>
      </c>
      <c r="AP87" s="343">
        <v>2.024</v>
      </c>
      <c r="AQ87" s="343">
        <v>1.9790000000000001</v>
      </c>
      <c r="AR87" s="343">
        <v>2.024</v>
      </c>
    </row>
    <row r="88" spans="1:57" s="331" customFormat="1" ht="18" customHeight="1" x14ac:dyDescent="0.35">
      <c r="A88" s="334"/>
      <c r="B88" s="335">
        <f ca="1">IF(A88="",(IF(ISNUMBER(SUBSTITUTE(LEFT(RIGHT(E88,LEN(E88)-MIN(SEARCH({1,2,3,4,5,6,7,8,9,0},E88&amp;"1234567890"))+1),10),".","/"))=TRUE,AJ88-(SUBSTITUTE(LEFT(RIGHT(E88,LEN(E88)-MIN(SEARCH({1,2,3,4,5,6,7,8,9,0},E88&amp;"1234567890"))+1),10),".","/")),IF((SUBSTITUTE(LEFT(RIGHT(E88,LEN(E88)-MIN(SEARCH({1,2,3,4,5,6,7,8,9,0},E88&amp;"1234567890"))+1),10),".","/"))="","",(AJ88)-(MID(RIGHT((SUBSTITUTE(LEFT(RIGHT(E88,LEN(E88)-MIN(SEARCH({1,2,3,4,5,6,7,8,9,0},E88&amp;"1234567890"))+1),10),".","/")),10),4,2)&amp;"/"&amp;LEFT((RIGHT((SUBSTITUTE(LEFT(RIGHT(E88,LEN(E88)-MIN(SEARCH({1,2,3,4,5,6,7,8,9,0},E88&amp;"1234567890"))+1),10),".","/")),10)),2)&amp;"/"&amp;RIGHT((SUBSTITUTE(LEFT(RIGHT(E88,LEN(E88)-MIN(SEARCH({1,2,3,4,5,6,7,8,9,0},E88&amp;"1234567890"))+1),10),".","/")),4))))),(AJ88-A88))</f>
        <v>760</v>
      </c>
      <c r="C88" s="334"/>
      <c r="D88" s="294" t="str">
        <f t="shared" si="16"/>
        <v>FGS-LM410479/410-001XX1,979</v>
      </c>
      <c r="E88" s="294" t="s">
        <v>3859</v>
      </c>
      <c r="F88" s="294" t="s">
        <v>3883</v>
      </c>
      <c r="G88" s="294" t="s">
        <v>3884</v>
      </c>
      <c r="H88" s="294">
        <v>410</v>
      </c>
      <c r="I88" s="337" t="s">
        <v>169</v>
      </c>
      <c r="J88" s="149">
        <v>0.83</v>
      </c>
      <c r="K88" s="149">
        <v>0.83</v>
      </c>
      <c r="L88" s="149"/>
      <c r="M88" s="149"/>
      <c r="N88" s="335">
        <v>1219</v>
      </c>
      <c r="O88" s="296">
        <v>1.9790000000000001</v>
      </c>
      <c r="P88" s="345">
        <v>2.024</v>
      </c>
      <c r="Q88" s="138" t="s">
        <v>3847</v>
      </c>
      <c r="R88" s="138">
        <v>2438</v>
      </c>
      <c r="S88" s="339">
        <v>102</v>
      </c>
      <c r="T88" s="299"/>
      <c r="U88" s="282"/>
      <c r="V88" s="282"/>
      <c r="W88" s="282"/>
      <c r="X88" s="340"/>
      <c r="Y88" s="340"/>
      <c r="Z88" s="340"/>
      <c r="AA88" s="340"/>
      <c r="AB88" s="340"/>
      <c r="AC88" s="341"/>
      <c r="AD88" s="342" t="s">
        <v>169</v>
      </c>
      <c r="AE88" s="342" t="s">
        <v>903</v>
      </c>
      <c r="AF88" s="284" t="s">
        <v>3862</v>
      </c>
      <c r="AG88" s="284">
        <v>44358</v>
      </c>
      <c r="AH88" s="284">
        <v>44378</v>
      </c>
      <c r="AI88" s="284"/>
      <c r="AJ88" s="334">
        <f t="shared" ca="1" si="14"/>
        <v>44963</v>
      </c>
      <c r="AK88" s="342">
        <f t="shared" ca="1" si="15"/>
        <v>585</v>
      </c>
      <c r="AL88" s="342"/>
      <c r="AM88" s="284" t="s">
        <v>3881</v>
      </c>
      <c r="AN88" s="284" t="s">
        <v>3885</v>
      </c>
      <c r="AO88" s="343">
        <v>1.9790000000000001</v>
      </c>
      <c r="AP88" s="343">
        <v>2.024</v>
      </c>
      <c r="AQ88" s="343">
        <v>1.9790000000000001</v>
      </c>
      <c r="AR88" s="343">
        <v>2.024</v>
      </c>
    </row>
    <row r="89" spans="1:57" s="331" customFormat="1" ht="18" customHeight="1" x14ac:dyDescent="0.35">
      <c r="A89" s="334"/>
      <c r="B89" s="335">
        <f ca="1">IF(A89="",(IF(ISNUMBER(SUBSTITUTE(LEFT(RIGHT(E89,LEN(E89)-MIN(SEARCH({1,2,3,4,5,6,7,8,9,0},E89&amp;"1234567890"))+1),10),".","/"))=TRUE,AJ89-(SUBSTITUTE(LEFT(RIGHT(E89,LEN(E89)-MIN(SEARCH({1,2,3,4,5,6,7,8,9,0},E89&amp;"1234567890"))+1),10),".","/")),IF((SUBSTITUTE(LEFT(RIGHT(E89,LEN(E89)-MIN(SEARCH({1,2,3,4,5,6,7,8,9,0},E89&amp;"1234567890"))+1),10),".","/"))="","",(AJ89)-(MID(RIGHT((SUBSTITUTE(LEFT(RIGHT(E89,LEN(E89)-MIN(SEARCH({1,2,3,4,5,6,7,8,9,0},E89&amp;"1234567890"))+1),10),".","/")),10),4,2)&amp;"/"&amp;LEFT((RIGHT((SUBSTITUTE(LEFT(RIGHT(E89,LEN(E89)-MIN(SEARCH({1,2,3,4,5,6,7,8,9,0},E89&amp;"1234567890"))+1),10),".","/")),10)),2)&amp;"/"&amp;RIGHT((SUBSTITUTE(LEFT(RIGHT(E89,LEN(E89)-MIN(SEARCH({1,2,3,4,5,6,7,8,9,0},E89&amp;"1234567890"))+1),10),".","/")),4))))),(AJ89-A89))</f>
        <v>760</v>
      </c>
      <c r="C89" s="334"/>
      <c r="D89" s="294" t="str">
        <f t="shared" si="16"/>
        <v>FGS-LM410480/410-001XX1,979</v>
      </c>
      <c r="E89" s="294" t="s">
        <v>3859</v>
      </c>
      <c r="F89" s="294" t="s">
        <v>3886</v>
      </c>
      <c r="G89" s="294" t="s">
        <v>3887</v>
      </c>
      <c r="H89" s="294">
        <v>410</v>
      </c>
      <c r="I89" s="337" t="s">
        <v>169</v>
      </c>
      <c r="J89" s="149">
        <v>0.83</v>
      </c>
      <c r="K89" s="149">
        <v>0.83</v>
      </c>
      <c r="L89" s="149"/>
      <c r="M89" s="149"/>
      <c r="N89" s="335">
        <v>1219</v>
      </c>
      <c r="O89" s="296">
        <v>1.9790000000000001</v>
      </c>
      <c r="P89" s="345">
        <v>2.0339999999999998</v>
      </c>
      <c r="Q89" s="138" t="s">
        <v>3847</v>
      </c>
      <c r="R89" s="138">
        <v>2438</v>
      </c>
      <c r="S89" s="339">
        <v>102</v>
      </c>
      <c r="T89" s="299"/>
      <c r="U89" s="282"/>
      <c r="V89" s="282"/>
      <c r="W89" s="282"/>
      <c r="X89" s="340"/>
      <c r="Y89" s="340"/>
      <c r="Z89" s="340"/>
      <c r="AA89" s="340"/>
      <c r="AB89" s="340"/>
      <c r="AC89" s="341"/>
      <c r="AD89" s="342" t="s">
        <v>169</v>
      </c>
      <c r="AE89" s="342" t="s">
        <v>903</v>
      </c>
      <c r="AF89" s="284" t="s">
        <v>3862</v>
      </c>
      <c r="AG89" s="284">
        <v>44358</v>
      </c>
      <c r="AH89" s="284">
        <v>44378</v>
      </c>
      <c r="AI89" s="284"/>
      <c r="AJ89" s="334">
        <f t="shared" ca="1" si="14"/>
        <v>44963</v>
      </c>
      <c r="AK89" s="342">
        <f t="shared" ca="1" si="15"/>
        <v>585</v>
      </c>
      <c r="AL89" s="342"/>
      <c r="AM89" s="284" t="s">
        <v>3881</v>
      </c>
      <c r="AN89" s="284" t="s">
        <v>3888</v>
      </c>
      <c r="AO89" s="343">
        <v>1.9790000000000001</v>
      </c>
      <c r="AP89" s="343">
        <v>2.0339999999999998</v>
      </c>
      <c r="AQ89" s="343">
        <v>1.9790000000000001</v>
      </c>
      <c r="AR89" s="343">
        <v>2.0339999999999998</v>
      </c>
    </row>
    <row r="90" spans="1:57" s="331" customFormat="1" ht="18" customHeight="1" x14ac:dyDescent="0.35">
      <c r="A90" s="334"/>
      <c r="B90" s="335">
        <f ca="1">IF(A90="",(IF(ISNUMBER(SUBSTITUTE(LEFT(RIGHT(E90,LEN(E90)-MIN(SEARCH({1,2,3,4,5,6,7,8,9,0},E90&amp;"1234567890"))+1),10),".","/"))=TRUE,AJ90-(SUBSTITUTE(LEFT(RIGHT(E90,LEN(E90)-MIN(SEARCH({1,2,3,4,5,6,7,8,9,0},E90&amp;"1234567890"))+1),10),".","/")),IF((SUBSTITUTE(LEFT(RIGHT(E90,LEN(E90)-MIN(SEARCH({1,2,3,4,5,6,7,8,9,0},E90&amp;"1234567890"))+1),10),".","/"))="","",(AJ90)-(MID(RIGHT((SUBSTITUTE(LEFT(RIGHT(E90,LEN(E90)-MIN(SEARCH({1,2,3,4,5,6,7,8,9,0},E90&amp;"1234567890"))+1),10),".","/")),10),4,2)&amp;"/"&amp;LEFT((RIGHT((SUBSTITUTE(LEFT(RIGHT(E90,LEN(E90)-MIN(SEARCH({1,2,3,4,5,6,7,8,9,0},E90&amp;"1234567890"))+1),10),".","/")),10)),2)&amp;"/"&amp;RIGHT((SUBSTITUTE(LEFT(RIGHT(E90,LEN(E90)-MIN(SEARCH({1,2,3,4,5,6,7,8,9,0},E90&amp;"1234567890"))+1),10),".","/")),4))))),(AJ90-A90))</f>
        <v>760</v>
      </c>
      <c r="C90" s="334"/>
      <c r="D90" s="294" t="str">
        <f t="shared" si="16"/>
        <v>FGS-LM410481/410-001XX1,979</v>
      </c>
      <c r="E90" s="294" t="s">
        <v>3859</v>
      </c>
      <c r="F90" s="294" t="s">
        <v>3889</v>
      </c>
      <c r="G90" s="294" t="s">
        <v>3890</v>
      </c>
      <c r="H90" s="294">
        <v>410</v>
      </c>
      <c r="I90" s="337" t="s">
        <v>169</v>
      </c>
      <c r="J90" s="149">
        <v>0.83</v>
      </c>
      <c r="K90" s="149">
        <v>0.83</v>
      </c>
      <c r="L90" s="149"/>
      <c r="M90" s="149"/>
      <c r="N90" s="335">
        <v>1219</v>
      </c>
      <c r="O90" s="296">
        <v>1.9790000000000001</v>
      </c>
      <c r="P90" s="345">
        <v>2.044</v>
      </c>
      <c r="Q90" s="138" t="s">
        <v>3847</v>
      </c>
      <c r="R90" s="138">
        <v>2438</v>
      </c>
      <c r="S90" s="339">
        <v>102</v>
      </c>
      <c r="T90" s="299"/>
      <c r="U90" s="282"/>
      <c r="V90" s="282"/>
      <c r="W90" s="282"/>
      <c r="X90" s="340"/>
      <c r="Y90" s="340"/>
      <c r="Z90" s="340"/>
      <c r="AA90" s="340"/>
      <c r="AB90" s="340"/>
      <c r="AC90" s="341"/>
      <c r="AD90" s="342" t="s">
        <v>169</v>
      </c>
      <c r="AE90" s="342" t="s">
        <v>903</v>
      </c>
      <c r="AF90" s="284" t="s">
        <v>3862</v>
      </c>
      <c r="AG90" s="284">
        <v>44358</v>
      </c>
      <c r="AH90" s="284">
        <v>44378</v>
      </c>
      <c r="AI90" s="284"/>
      <c r="AJ90" s="334">
        <f t="shared" ca="1" si="14"/>
        <v>44963</v>
      </c>
      <c r="AK90" s="342">
        <f t="shared" ca="1" si="15"/>
        <v>585</v>
      </c>
      <c r="AL90" s="342"/>
      <c r="AM90" s="284" t="s">
        <v>3863</v>
      </c>
      <c r="AN90" s="284" t="s">
        <v>3891</v>
      </c>
      <c r="AO90" s="343">
        <v>1.9790000000000001</v>
      </c>
      <c r="AP90" s="343">
        <v>2.044</v>
      </c>
      <c r="AQ90" s="343">
        <v>1.9790000000000001</v>
      </c>
      <c r="AR90" s="343">
        <v>2.044</v>
      </c>
    </row>
    <row r="91" spans="1:57" s="331" customFormat="1" ht="18" customHeight="1" x14ac:dyDescent="0.35">
      <c r="A91" s="334"/>
      <c r="B91" s="335">
        <f ca="1">IF(A91="",(IF(ISNUMBER(SUBSTITUTE(LEFT(RIGHT(E91,LEN(E91)-MIN(SEARCH({1,2,3,4,5,6,7,8,9,0},E91&amp;"1234567890"))+1),10),".","/"))=TRUE,AJ91-(SUBSTITUTE(LEFT(RIGHT(E91,LEN(E91)-MIN(SEARCH({1,2,3,4,5,6,7,8,9,0},E91&amp;"1234567890"))+1),10),".","/")),IF((SUBSTITUTE(LEFT(RIGHT(E91,LEN(E91)-MIN(SEARCH({1,2,3,4,5,6,7,8,9,0},E91&amp;"1234567890"))+1),10),".","/"))="","",(AJ91)-(MID(RIGHT((SUBSTITUTE(LEFT(RIGHT(E91,LEN(E91)-MIN(SEARCH({1,2,3,4,5,6,7,8,9,0},E91&amp;"1234567890"))+1),10),".","/")),10),4,2)&amp;"/"&amp;LEFT((RIGHT((SUBSTITUTE(LEFT(RIGHT(E91,LEN(E91)-MIN(SEARCH({1,2,3,4,5,6,7,8,9,0},E91&amp;"1234567890"))+1),10),".","/")),10)),2)&amp;"/"&amp;RIGHT((SUBSTITUTE(LEFT(RIGHT(E91,LEN(E91)-MIN(SEARCH({1,2,3,4,5,6,7,8,9,0},E91&amp;"1234567890"))+1),10),".","/")),4))))),(AJ91-A91))</f>
        <v>760</v>
      </c>
      <c r="C91" s="334"/>
      <c r="D91" s="294" t="str">
        <f t="shared" si="16"/>
        <v>FGS-LM410482/410-001XX1,841</v>
      </c>
      <c r="E91" s="294" t="s">
        <v>3859</v>
      </c>
      <c r="F91" s="294" t="s">
        <v>3892</v>
      </c>
      <c r="G91" s="294" t="s">
        <v>3893</v>
      </c>
      <c r="H91" s="294">
        <v>410</v>
      </c>
      <c r="I91" s="337" t="s">
        <v>169</v>
      </c>
      <c r="J91" s="149">
        <v>0.83</v>
      </c>
      <c r="K91" s="149">
        <v>0.83</v>
      </c>
      <c r="L91" s="149"/>
      <c r="M91" s="149"/>
      <c r="N91" s="335">
        <v>1219</v>
      </c>
      <c r="O91" s="296">
        <v>1.841</v>
      </c>
      <c r="P91" s="345">
        <v>1.9119999999999999</v>
      </c>
      <c r="Q91" s="138" t="s">
        <v>3847</v>
      </c>
      <c r="R91" s="138">
        <v>2438</v>
      </c>
      <c r="S91" s="339">
        <v>95</v>
      </c>
      <c r="T91" s="299"/>
      <c r="U91" s="282"/>
      <c r="V91" s="282"/>
      <c r="W91" s="282"/>
      <c r="X91" s="340"/>
      <c r="Y91" s="340"/>
      <c r="Z91" s="340"/>
      <c r="AA91" s="340"/>
      <c r="AB91" s="340"/>
      <c r="AC91" s="341"/>
      <c r="AD91" s="342" t="s">
        <v>169</v>
      </c>
      <c r="AE91" s="342" t="s">
        <v>903</v>
      </c>
      <c r="AF91" s="284" t="s">
        <v>3862</v>
      </c>
      <c r="AG91" s="284">
        <v>44358</v>
      </c>
      <c r="AH91" s="284">
        <v>44378</v>
      </c>
      <c r="AI91" s="284"/>
      <c r="AJ91" s="334">
        <f t="shared" ca="1" si="14"/>
        <v>44963</v>
      </c>
      <c r="AK91" s="342">
        <f t="shared" ca="1" si="15"/>
        <v>585</v>
      </c>
      <c r="AL91" s="342"/>
      <c r="AM91" s="284" t="s">
        <v>3863</v>
      </c>
      <c r="AN91" s="284" t="s">
        <v>3894</v>
      </c>
      <c r="AO91" s="343">
        <v>1.841</v>
      </c>
      <c r="AP91" s="343">
        <v>1.9119999999999999</v>
      </c>
      <c r="AQ91" s="343">
        <v>1.841</v>
      </c>
      <c r="AR91" s="343">
        <v>1.9119999999999999</v>
      </c>
    </row>
    <row r="92" spans="1:57" s="331" customFormat="1" ht="18" customHeight="1" x14ac:dyDescent="0.35">
      <c r="A92" s="334"/>
      <c r="B92" s="335">
        <f ca="1">IF(A92="",(IF(ISNUMBER(SUBSTITUTE(LEFT(RIGHT(E92,LEN(E92)-MIN(SEARCH({1,2,3,4,5,6,7,8,9,0},E92&amp;"1234567890"))+1),10),".","/"))=TRUE,AJ92-(SUBSTITUTE(LEFT(RIGHT(E92,LEN(E92)-MIN(SEARCH({1,2,3,4,5,6,7,8,9,0},E92&amp;"1234567890"))+1),10),".","/")),IF((SUBSTITUTE(LEFT(RIGHT(E92,LEN(E92)-MIN(SEARCH({1,2,3,4,5,6,7,8,9,0},E92&amp;"1234567890"))+1),10),".","/"))="","",(AJ92)-(MID(RIGHT((SUBSTITUTE(LEFT(RIGHT(E92,LEN(E92)-MIN(SEARCH({1,2,3,4,5,6,7,8,9,0},E92&amp;"1234567890"))+1),10),".","/")),10),4,2)&amp;"/"&amp;LEFT((RIGHT((SUBSTITUTE(LEFT(RIGHT(E92,LEN(E92)-MIN(SEARCH({1,2,3,4,5,6,7,8,9,0},E92&amp;"1234567890"))+1),10),".","/")),10)),2)&amp;"/"&amp;RIGHT((SUBSTITUTE(LEFT(RIGHT(E92,LEN(E92)-MIN(SEARCH({1,2,3,4,5,6,7,8,9,0},E92&amp;"1234567890"))+1),10),".","/")),4))))),(AJ92-A92))</f>
        <v>760</v>
      </c>
      <c r="C92" s="334"/>
      <c r="D92" s="294" t="str">
        <f t="shared" si="16"/>
        <v>FGS-LM410483/410-001XX1,881</v>
      </c>
      <c r="E92" s="294" t="s">
        <v>3859</v>
      </c>
      <c r="F92" s="294" t="s">
        <v>3895</v>
      </c>
      <c r="G92" s="294" t="s">
        <v>3896</v>
      </c>
      <c r="H92" s="294">
        <v>410</v>
      </c>
      <c r="I92" s="337" t="s">
        <v>169</v>
      </c>
      <c r="J92" s="149">
        <v>0.83</v>
      </c>
      <c r="K92" s="149">
        <v>0.83</v>
      </c>
      <c r="L92" s="149"/>
      <c r="M92" s="149"/>
      <c r="N92" s="335">
        <v>1219</v>
      </c>
      <c r="O92" s="296">
        <v>1.881</v>
      </c>
      <c r="P92" s="345">
        <v>1.9379999999999999</v>
      </c>
      <c r="Q92" s="138" t="s">
        <v>3847</v>
      </c>
      <c r="R92" s="138">
        <v>2438</v>
      </c>
      <c r="S92" s="339">
        <v>97</v>
      </c>
      <c r="T92" s="299"/>
      <c r="U92" s="282"/>
      <c r="V92" s="282"/>
      <c r="W92" s="282"/>
      <c r="X92" s="340"/>
      <c r="Y92" s="340"/>
      <c r="Z92" s="340"/>
      <c r="AA92" s="340"/>
      <c r="AB92" s="340"/>
      <c r="AC92" s="341"/>
      <c r="AD92" s="342" t="s">
        <v>169</v>
      </c>
      <c r="AE92" s="342" t="s">
        <v>903</v>
      </c>
      <c r="AF92" s="284" t="s">
        <v>3862</v>
      </c>
      <c r="AG92" s="284">
        <v>44358</v>
      </c>
      <c r="AH92" s="284">
        <v>44378</v>
      </c>
      <c r="AI92" s="284"/>
      <c r="AJ92" s="334">
        <f t="shared" ca="1" si="14"/>
        <v>44963</v>
      </c>
      <c r="AK92" s="342">
        <f t="shared" ca="1" si="15"/>
        <v>585</v>
      </c>
      <c r="AL92" s="342"/>
      <c r="AM92" s="284" t="s">
        <v>3881</v>
      </c>
      <c r="AN92" s="284" t="s">
        <v>3897</v>
      </c>
      <c r="AO92" s="343">
        <v>1.881</v>
      </c>
      <c r="AP92" s="343">
        <v>1.9379999999999999</v>
      </c>
      <c r="AQ92" s="343">
        <v>1.881</v>
      </c>
      <c r="AR92" s="343">
        <v>1.9379999999999999</v>
      </c>
    </row>
    <row r="93" spans="1:57" s="331" customFormat="1" ht="18" customHeight="1" x14ac:dyDescent="0.35">
      <c r="A93" s="334"/>
      <c r="B93" s="335">
        <f ca="1">IF(A93="",(IF(ISNUMBER(SUBSTITUTE(LEFT(RIGHT(E93,LEN(E93)-MIN(SEARCH({1,2,3,4,5,6,7,8,9,0},E93&amp;"1234567890"))+1),10),".","/"))=TRUE,AJ93-(SUBSTITUTE(LEFT(RIGHT(E93,LEN(E93)-MIN(SEARCH({1,2,3,4,5,6,7,8,9,0},E93&amp;"1234567890"))+1),10),".","/")),IF((SUBSTITUTE(LEFT(RIGHT(E93,LEN(E93)-MIN(SEARCH({1,2,3,4,5,6,7,8,9,0},E93&amp;"1234567890"))+1),10),".","/"))="","",(AJ93)-(MID(RIGHT((SUBSTITUTE(LEFT(RIGHT(E93,LEN(E93)-MIN(SEARCH({1,2,3,4,5,6,7,8,9,0},E93&amp;"1234567890"))+1),10),".","/")),10),4,2)&amp;"/"&amp;LEFT((RIGHT((SUBSTITUTE(LEFT(RIGHT(E93,LEN(E93)-MIN(SEARCH({1,2,3,4,5,6,7,8,9,0},E93&amp;"1234567890"))+1),10),".","/")),10)),2)&amp;"/"&amp;RIGHT((SUBSTITUTE(LEFT(RIGHT(E93,LEN(E93)-MIN(SEARCH({1,2,3,4,5,6,7,8,9,0},E93&amp;"1234567890"))+1),10),".","/")),4))))),(AJ93-A93))</f>
        <v>760</v>
      </c>
      <c r="C93" s="334"/>
      <c r="D93" s="294" t="str">
        <f t="shared" si="16"/>
        <v>FGS-LM410484/410-001XX1,881</v>
      </c>
      <c r="E93" s="294" t="s">
        <v>3859</v>
      </c>
      <c r="F93" s="294" t="s">
        <v>3898</v>
      </c>
      <c r="G93" s="294" t="s">
        <v>3899</v>
      </c>
      <c r="H93" s="294">
        <v>410</v>
      </c>
      <c r="I93" s="337" t="s">
        <v>169</v>
      </c>
      <c r="J93" s="149">
        <v>0.83</v>
      </c>
      <c r="K93" s="149">
        <v>0.83</v>
      </c>
      <c r="L93" s="149"/>
      <c r="M93" s="149"/>
      <c r="N93" s="335">
        <v>1219</v>
      </c>
      <c r="O93" s="296">
        <v>1.881</v>
      </c>
      <c r="P93" s="345">
        <v>1.9379999999999999</v>
      </c>
      <c r="Q93" s="138" t="s">
        <v>3847</v>
      </c>
      <c r="R93" s="138">
        <v>2438</v>
      </c>
      <c r="S93" s="339">
        <v>97</v>
      </c>
      <c r="T93" s="299"/>
      <c r="U93" s="282"/>
      <c r="V93" s="282"/>
      <c r="W93" s="282"/>
      <c r="X93" s="340"/>
      <c r="Y93" s="340"/>
      <c r="Z93" s="340"/>
      <c r="AA93" s="340"/>
      <c r="AB93" s="340"/>
      <c r="AC93" s="341"/>
      <c r="AD93" s="342" t="s">
        <v>169</v>
      </c>
      <c r="AE93" s="342" t="s">
        <v>903</v>
      </c>
      <c r="AF93" s="284" t="s">
        <v>3862</v>
      </c>
      <c r="AG93" s="284">
        <v>44358</v>
      </c>
      <c r="AH93" s="284">
        <v>44378</v>
      </c>
      <c r="AI93" s="284"/>
      <c r="AJ93" s="334">
        <f t="shared" ca="1" si="14"/>
        <v>44963</v>
      </c>
      <c r="AK93" s="342">
        <f t="shared" ca="1" si="15"/>
        <v>585</v>
      </c>
      <c r="AL93" s="342"/>
      <c r="AM93" s="284" t="s">
        <v>3881</v>
      </c>
      <c r="AN93" s="284" t="s">
        <v>3900</v>
      </c>
      <c r="AO93" s="343">
        <v>1.881</v>
      </c>
      <c r="AP93" s="343">
        <v>1.9379999999999999</v>
      </c>
      <c r="AQ93" s="343">
        <v>1.881</v>
      </c>
      <c r="AR93" s="343">
        <v>1.9379999999999999</v>
      </c>
    </row>
    <row r="94" spans="1:57" s="331" customFormat="1" ht="18" customHeight="1" x14ac:dyDescent="0.35">
      <c r="A94" s="334"/>
      <c r="B94" s="335">
        <f ca="1">IF(A94="",(IF(ISNUMBER(SUBSTITUTE(LEFT(RIGHT(E94,LEN(E94)-MIN(SEARCH({1,2,3,4,5,6,7,8,9,0},E94&amp;"1234567890"))+1),10),".","/"))=TRUE,AJ94-(SUBSTITUTE(LEFT(RIGHT(E94,LEN(E94)-MIN(SEARCH({1,2,3,4,5,6,7,8,9,0},E94&amp;"1234567890"))+1),10),".","/")),IF((SUBSTITUTE(LEFT(RIGHT(E94,LEN(E94)-MIN(SEARCH({1,2,3,4,5,6,7,8,9,0},E94&amp;"1234567890"))+1),10),".","/"))="","",(AJ94)-(MID(RIGHT((SUBSTITUTE(LEFT(RIGHT(E94,LEN(E94)-MIN(SEARCH({1,2,3,4,5,6,7,8,9,0},E94&amp;"1234567890"))+1),10),".","/")),10),4,2)&amp;"/"&amp;LEFT((RIGHT((SUBSTITUTE(LEFT(RIGHT(E94,LEN(E94)-MIN(SEARCH({1,2,3,4,5,6,7,8,9,0},E94&amp;"1234567890"))+1),10),".","/")),10)),2)&amp;"/"&amp;RIGHT((SUBSTITUTE(LEFT(RIGHT(E94,LEN(E94)-MIN(SEARCH({1,2,3,4,5,6,7,8,9,0},E94&amp;"1234567890"))+1),10),".","/")),4))))),(AJ94-A94))</f>
        <v>760</v>
      </c>
      <c r="C94" s="334"/>
      <c r="D94" s="294" t="str">
        <f t="shared" si="16"/>
        <v>FGS-LM410485/410-001XX1,881</v>
      </c>
      <c r="E94" s="294" t="s">
        <v>3859</v>
      </c>
      <c r="F94" s="294" t="s">
        <v>3901</v>
      </c>
      <c r="G94" s="294" t="s">
        <v>3902</v>
      </c>
      <c r="H94" s="294">
        <v>410</v>
      </c>
      <c r="I94" s="337" t="s">
        <v>169</v>
      </c>
      <c r="J94" s="149">
        <v>0.83</v>
      </c>
      <c r="K94" s="149">
        <v>0.83</v>
      </c>
      <c r="L94" s="149"/>
      <c r="M94" s="149"/>
      <c r="N94" s="335">
        <v>1219</v>
      </c>
      <c r="O94" s="296">
        <v>1.881</v>
      </c>
      <c r="P94" s="345">
        <v>1.9339999999999999</v>
      </c>
      <c r="Q94" s="138" t="s">
        <v>3847</v>
      </c>
      <c r="R94" s="138">
        <v>2438</v>
      </c>
      <c r="S94" s="339">
        <v>97</v>
      </c>
      <c r="T94" s="299"/>
      <c r="U94" s="282"/>
      <c r="V94" s="282"/>
      <c r="W94" s="282"/>
      <c r="X94" s="340"/>
      <c r="Y94" s="340"/>
      <c r="Z94" s="340"/>
      <c r="AA94" s="340"/>
      <c r="AB94" s="340"/>
      <c r="AC94" s="341"/>
      <c r="AD94" s="342" t="s">
        <v>169</v>
      </c>
      <c r="AE94" s="342" t="s">
        <v>903</v>
      </c>
      <c r="AF94" s="284" t="s">
        <v>3862</v>
      </c>
      <c r="AG94" s="284">
        <v>44358</v>
      </c>
      <c r="AH94" s="284">
        <v>44378</v>
      </c>
      <c r="AI94" s="284"/>
      <c r="AJ94" s="334">
        <f t="shared" ca="1" si="14"/>
        <v>44963</v>
      </c>
      <c r="AK94" s="342">
        <f t="shared" ca="1" si="15"/>
        <v>585</v>
      </c>
      <c r="AL94" s="342"/>
      <c r="AM94" s="284" t="s">
        <v>3881</v>
      </c>
      <c r="AN94" s="284" t="s">
        <v>3903</v>
      </c>
      <c r="AO94" s="343">
        <v>1.881</v>
      </c>
      <c r="AP94" s="343">
        <v>1.9339999999999999</v>
      </c>
      <c r="AQ94" s="343">
        <v>1.881</v>
      </c>
      <c r="AR94" s="343">
        <v>1.9339999999999999</v>
      </c>
    </row>
    <row r="95" spans="1:57" s="331" customFormat="1" ht="18" customHeight="1" x14ac:dyDescent="0.35">
      <c r="A95" s="334"/>
      <c r="B95" s="335">
        <f ca="1">IF(A95="",(IF(ISNUMBER(SUBSTITUTE(LEFT(RIGHT(E95,LEN(E95)-MIN(SEARCH({1,2,3,4,5,6,7,8,9,0},E95&amp;"1234567890"))+1),10),".","/"))=TRUE,AJ95-(SUBSTITUTE(LEFT(RIGHT(E95,LEN(E95)-MIN(SEARCH({1,2,3,4,5,6,7,8,9,0},E95&amp;"1234567890"))+1),10),".","/")),IF((SUBSTITUTE(LEFT(RIGHT(E95,LEN(E95)-MIN(SEARCH({1,2,3,4,5,6,7,8,9,0},E95&amp;"1234567890"))+1),10),".","/"))="","",(AJ95)-(MID(RIGHT((SUBSTITUTE(LEFT(RIGHT(E95,LEN(E95)-MIN(SEARCH({1,2,3,4,5,6,7,8,9,0},E95&amp;"1234567890"))+1),10),".","/")),10),4,2)&amp;"/"&amp;LEFT((RIGHT((SUBSTITUTE(LEFT(RIGHT(E95,LEN(E95)-MIN(SEARCH({1,2,3,4,5,6,7,8,9,0},E95&amp;"1234567890"))+1),10),".","/")),10)),2)&amp;"/"&amp;RIGHT((SUBSTITUTE(LEFT(RIGHT(E95,LEN(E95)-MIN(SEARCH({1,2,3,4,5,6,7,8,9,0},E95&amp;"1234567890"))+1),10),".","/")),4))))),(AJ95-A95))</f>
        <v>760</v>
      </c>
      <c r="C95" s="334"/>
      <c r="D95" s="294" t="str">
        <f t="shared" si="16"/>
        <v>FGS-LM410486/410-001XX1,881</v>
      </c>
      <c r="E95" s="294" t="s">
        <v>3859</v>
      </c>
      <c r="F95" s="294" t="s">
        <v>3904</v>
      </c>
      <c r="G95" s="294" t="s">
        <v>3905</v>
      </c>
      <c r="H95" s="294">
        <v>410</v>
      </c>
      <c r="I95" s="337" t="s">
        <v>169</v>
      </c>
      <c r="J95" s="149">
        <v>0.83</v>
      </c>
      <c r="K95" s="149">
        <v>0.83</v>
      </c>
      <c r="L95" s="149"/>
      <c r="M95" s="149"/>
      <c r="N95" s="335">
        <v>1219</v>
      </c>
      <c r="O95" s="296">
        <v>1.881</v>
      </c>
      <c r="P95" s="345">
        <v>1.9339999999999999</v>
      </c>
      <c r="Q95" s="138" t="s">
        <v>3847</v>
      </c>
      <c r="R95" s="138">
        <v>2438</v>
      </c>
      <c r="S95" s="339">
        <v>97</v>
      </c>
      <c r="T95" s="299"/>
      <c r="U95" s="282"/>
      <c r="V95" s="282"/>
      <c r="W95" s="282"/>
      <c r="X95" s="340"/>
      <c r="Y95" s="340"/>
      <c r="Z95" s="340"/>
      <c r="AA95" s="340"/>
      <c r="AB95" s="340"/>
      <c r="AC95" s="341"/>
      <c r="AD95" s="342" t="s">
        <v>169</v>
      </c>
      <c r="AE95" s="342" t="s">
        <v>903</v>
      </c>
      <c r="AF95" s="284" t="s">
        <v>3862</v>
      </c>
      <c r="AG95" s="284">
        <v>44358</v>
      </c>
      <c r="AH95" s="284">
        <v>44378</v>
      </c>
      <c r="AI95" s="284"/>
      <c r="AJ95" s="334">
        <f t="shared" ca="1" si="14"/>
        <v>44963</v>
      </c>
      <c r="AK95" s="342">
        <f t="shared" ca="1" si="15"/>
        <v>585</v>
      </c>
      <c r="AL95" s="342"/>
      <c r="AM95" s="284" t="s">
        <v>3881</v>
      </c>
      <c r="AN95" s="284" t="s">
        <v>3906</v>
      </c>
      <c r="AO95" s="343">
        <v>1.881</v>
      </c>
      <c r="AP95" s="343">
        <v>1.9339999999999999</v>
      </c>
      <c r="AQ95" s="343">
        <v>1.881</v>
      </c>
      <c r="AR95" s="343">
        <v>1.9339999999999999</v>
      </c>
    </row>
    <row r="96" spans="1:57" s="331" customFormat="1" ht="18" customHeight="1" x14ac:dyDescent="0.35">
      <c r="A96" s="334"/>
      <c r="B96" s="335">
        <f ca="1">IF(A96="",(IF(ISNUMBER(SUBSTITUTE(LEFT(RIGHT(E96,LEN(E96)-MIN(SEARCH({1,2,3,4,5,6,7,8,9,0},E96&amp;"1234567890"))+1),10),".","/"))=TRUE,AJ96-(SUBSTITUTE(LEFT(RIGHT(E96,LEN(E96)-MIN(SEARCH({1,2,3,4,5,6,7,8,9,0},E96&amp;"1234567890"))+1),10),".","/")),IF((SUBSTITUTE(LEFT(RIGHT(E96,LEN(E96)-MIN(SEARCH({1,2,3,4,5,6,7,8,9,0},E96&amp;"1234567890"))+1),10),".","/"))="","",(AJ96)-(MID(RIGHT((SUBSTITUTE(LEFT(RIGHT(E96,LEN(E96)-MIN(SEARCH({1,2,3,4,5,6,7,8,9,0},E96&amp;"1234567890"))+1),10),".","/")),10),4,2)&amp;"/"&amp;LEFT((RIGHT((SUBSTITUTE(LEFT(RIGHT(E96,LEN(E96)-MIN(SEARCH({1,2,3,4,5,6,7,8,9,0},E96&amp;"1234567890"))+1),10),".","/")),10)),2)&amp;"/"&amp;RIGHT((SUBSTITUTE(LEFT(RIGHT(E96,LEN(E96)-MIN(SEARCH({1,2,3,4,5,6,7,8,9,0},E96&amp;"1234567890"))+1),10),".","/")),4))))),(AJ96-A96))</f>
        <v>760</v>
      </c>
      <c r="C96" s="334"/>
      <c r="D96" s="294" t="str">
        <f t="shared" si="16"/>
        <v>FGS-LM410487/410-001XX1,785</v>
      </c>
      <c r="E96" s="294" t="s">
        <v>3859</v>
      </c>
      <c r="F96" s="294" t="s">
        <v>3907</v>
      </c>
      <c r="G96" s="294" t="s">
        <v>3908</v>
      </c>
      <c r="H96" s="294">
        <v>410</v>
      </c>
      <c r="I96" s="337" t="s">
        <v>169</v>
      </c>
      <c r="J96" s="149">
        <v>0.83</v>
      </c>
      <c r="K96" s="149">
        <v>0.83</v>
      </c>
      <c r="L96" s="149"/>
      <c r="M96" s="149"/>
      <c r="N96" s="335">
        <v>1219</v>
      </c>
      <c r="O96" s="296">
        <v>1.7849999999999999</v>
      </c>
      <c r="P96" s="345">
        <v>1.84</v>
      </c>
      <c r="Q96" s="138" t="s">
        <v>3847</v>
      </c>
      <c r="R96" s="138">
        <v>2438</v>
      </c>
      <c r="S96" s="339">
        <v>92</v>
      </c>
      <c r="T96" s="299"/>
      <c r="U96" s="282"/>
      <c r="V96" s="282"/>
      <c r="W96" s="282"/>
      <c r="X96" s="340"/>
      <c r="Y96" s="340"/>
      <c r="Z96" s="340"/>
      <c r="AA96" s="340"/>
      <c r="AB96" s="340"/>
      <c r="AC96" s="341"/>
      <c r="AD96" s="342" t="s">
        <v>169</v>
      </c>
      <c r="AE96" s="342" t="s">
        <v>903</v>
      </c>
      <c r="AF96" s="284" t="s">
        <v>3862</v>
      </c>
      <c r="AG96" s="284">
        <v>44358</v>
      </c>
      <c r="AH96" s="284">
        <v>44378</v>
      </c>
      <c r="AI96" s="284"/>
      <c r="AJ96" s="334">
        <f t="shared" ca="1" si="14"/>
        <v>44963</v>
      </c>
      <c r="AK96" s="342">
        <f t="shared" ca="1" si="15"/>
        <v>585</v>
      </c>
      <c r="AL96" s="342"/>
      <c r="AM96" s="284" t="s">
        <v>3881</v>
      </c>
      <c r="AN96" s="284" t="s">
        <v>3909</v>
      </c>
      <c r="AO96" s="343">
        <v>1.7849999999999999</v>
      </c>
      <c r="AP96" s="343">
        <v>1.84</v>
      </c>
      <c r="AQ96" s="343">
        <v>1.7849999999999999</v>
      </c>
      <c r="AR96" s="343">
        <v>1.84</v>
      </c>
    </row>
    <row r="97" spans="1:44" s="331" customFormat="1" ht="18" customHeight="1" x14ac:dyDescent="0.35">
      <c r="A97" s="334"/>
      <c r="B97" s="335">
        <f ca="1">IF(A97="",(IF(ISNUMBER(SUBSTITUTE(LEFT(RIGHT(E97,LEN(E97)-MIN(SEARCH({1,2,3,4,5,6,7,8,9,0},E97&amp;"1234567890"))+1),10),".","/"))=TRUE,AJ97-(SUBSTITUTE(LEFT(RIGHT(E97,LEN(E97)-MIN(SEARCH({1,2,3,4,5,6,7,8,9,0},E97&amp;"1234567890"))+1),10),".","/")),IF((SUBSTITUTE(LEFT(RIGHT(E97,LEN(E97)-MIN(SEARCH({1,2,3,4,5,6,7,8,9,0},E97&amp;"1234567890"))+1),10),".","/"))="","",(AJ97)-(MID(RIGHT((SUBSTITUTE(LEFT(RIGHT(E97,LEN(E97)-MIN(SEARCH({1,2,3,4,5,6,7,8,9,0},E97&amp;"1234567890"))+1),10),".","/")),10),4,2)&amp;"/"&amp;LEFT((RIGHT((SUBSTITUTE(LEFT(RIGHT(E97,LEN(E97)-MIN(SEARCH({1,2,3,4,5,6,7,8,9,0},E97&amp;"1234567890"))+1),10),".","/")),10)),2)&amp;"/"&amp;RIGHT((SUBSTITUTE(LEFT(RIGHT(E97,LEN(E97)-MIN(SEARCH({1,2,3,4,5,6,7,8,9,0},E97&amp;"1234567890"))+1),10),".","/")),4))))),(AJ97-A97))</f>
        <v>760</v>
      </c>
      <c r="C97" s="334"/>
      <c r="D97" s="294" t="str">
        <f t="shared" si="16"/>
        <v>FGS-LM410488/410-001XX1,905</v>
      </c>
      <c r="E97" s="294" t="s">
        <v>3859</v>
      </c>
      <c r="F97" s="294" t="s">
        <v>3910</v>
      </c>
      <c r="G97" s="294" t="s">
        <v>3911</v>
      </c>
      <c r="H97" s="294">
        <v>410</v>
      </c>
      <c r="I97" s="337" t="s">
        <v>169</v>
      </c>
      <c r="J97" s="149">
        <v>0.92</v>
      </c>
      <c r="K97" s="149">
        <v>0.92</v>
      </c>
      <c r="L97" s="149"/>
      <c r="M97" s="149"/>
      <c r="N97" s="335">
        <v>1219</v>
      </c>
      <c r="O97" s="296">
        <v>1.905</v>
      </c>
      <c r="P97" s="345">
        <v>1.954</v>
      </c>
      <c r="Q97" s="138" t="s">
        <v>3847</v>
      </c>
      <c r="R97" s="138">
        <v>2438</v>
      </c>
      <c r="S97" s="339">
        <v>89</v>
      </c>
      <c r="T97" s="299"/>
      <c r="U97" s="282"/>
      <c r="V97" s="282"/>
      <c r="W97" s="282"/>
      <c r="X97" s="340"/>
      <c r="Y97" s="340"/>
      <c r="Z97" s="340"/>
      <c r="AA97" s="340"/>
      <c r="AB97" s="340"/>
      <c r="AC97" s="341"/>
      <c r="AD97" s="342" t="s">
        <v>169</v>
      </c>
      <c r="AE97" s="342" t="s">
        <v>903</v>
      </c>
      <c r="AF97" s="284" t="s">
        <v>3862</v>
      </c>
      <c r="AG97" s="284">
        <v>44358</v>
      </c>
      <c r="AH97" s="284">
        <v>44378</v>
      </c>
      <c r="AI97" s="284"/>
      <c r="AJ97" s="334">
        <f t="shared" ca="1" si="14"/>
        <v>44963</v>
      </c>
      <c r="AK97" s="342">
        <f t="shared" ca="1" si="15"/>
        <v>585</v>
      </c>
      <c r="AL97" s="342"/>
      <c r="AM97" s="284" t="s">
        <v>3871</v>
      </c>
      <c r="AN97" s="284" t="s">
        <v>3912</v>
      </c>
      <c r="AO97" s="343">
        <v>1.905</v>
      </c>
      <c r="AP97" s="343">
        <v>1.954</v>
      </c>
      <c r="AQ97" s="343">
        <v>1.905</v>
      </c>
      <c r="AR97" s="343">
        <v>1.954</v>
      </c>
    </row>
    <row r="98" spans="1:44" s="331" customFormat="1" ht="18" customHeight="1" x14ac:dyDescent="0.35">
      <c r="A98" s="334"/>
      <c r="B98" s="335">
        <f ca="1">IF(A98="",(IF(ISNUMBER(SUBSTITUTE(LEFT(RIGHT(E98,LEN(E98)-MIN(SEARCH({1,2,3,4,5,6,7,8,9,0},E98&amp;"1234567890"))+1),10),".","/"))=TRUE,AJ98-(SUBSTITUTE(LEFT(RIGHT(E98,LEN(E98)-MIN(SEARCH({1,2,3,4,5,6,7,8,9,0},E98&amp;"1234567890"))+1),10),".","/")),IF((SUBSTITUTE(LEFT(RIGHT(E98,LEN(E98)-MIN(SEARCH({1,2,3,4,5,6,7,8,9,0},E98&amp;"1234567890"))+1),10),".","/"))="","",(AJ98)-(MID(RIGHT((SUBSTITUTE(LEFT(RIGHT(E98,LEN(E98)-MIN(SEARCH({1,2,3,4,5,6,7,8,9,0},E98&amp;"1234567890"))+1),10),".","/")),10),4,2)&amp;"/"&amp;LEFT((RIGHT((SUBSTITUTE(LEFT(RIGHT(E98,LEN(E98)-MIN(SEARCH({1,2,3,4,5,6,7,8,9,0},E98&amp;"1234567890"))+1),10),".","/")),10)),2)&amp;"/"&amp;RIGHT((SUBSTITUTE(LEFT(RIGHT(E98,LEN(E98)-MIN(SEARCH({1,2,3,4,5,6,7,8,9,0},E98&amp;"1234567890"))+1),10),".","/")),4))))),(AJ98-A98))</f>
        <v>760</v>
      </c>
      <c r="C98" s="334"/>
      <c r="D98" s="294" t="str">
        <f t="shared" si="16"/>
        <v>FGS-LM410489/410-001XX1,905</v>
      </c>
      <c r="E98" s="294" t="s">
        <v>3859</v>
      </c>
      <c r="F98" s="294" t="s">
        <v>3913</v>
      </c>
      <c r="G98" s="294" t="s">
        <v>3914</v>
      </c>
      <c r="H98" s="294">
        <v>410</v>
      </c>
      <c r="I98" s="337" t="s">
        <v>169</v>
      </c>
      <c r="J98" s="149">
        <v>0.92</v>
      </c>
      <c r="K98" s="149">
        <v>0.92</v>
      </c>
      <c r="L98" s="149"/>
      <c r="M98" s="149"/>
      <c r="N98" s="335">
        <v>1219</v>
      </c>
      <c r="O98" s="296">
        <v>1.905</v>
      </c>
      <c r="P98" s="345">
        <v>1.954</v>
      </c>
      <c r="Q98" s="138" t="s">
        <v>3847</v>
      </c>
      <c r="R98" s="138">
        <v>2438</v>
      </c>
      <c r="S98" s="339">
        <v>89</v>
      </c>
      <c r="T98" s="299"/>
      <c r="U98" s="282"/>
      <c r="V98" s="282"/>
      <c r="W98" s="282"/>
      <c r="X98" s="340"/>
      <c r="Y98" s="340"/>
      <c r="Z98" s="340"/>
      <c r="AA98" s="340"/>
      <c r="AB98" s="340"/>
      <c r="AC98" s="341"/>
      <c r="AD98" s="342" t="s">
        <v>169</v>
      </c>
      <c r="AE98" s="342" t="s">
        <v>903</v>
      </c>
      <c r="AF98" s="284" t="s">
        <v>3862</v>
      </c>
      <c r="AG98" s="284">
        <v>44358</v>
      </c>
      <c r="AH98" s="284">
        <v>44378</v>
      </c>
      <c r="AI98" s="284"/>
      <c r="AJ98" s="334">
        <f t="shared" ca="1" si="14"/>
        <v>44963</v>
      </c>
      <c r="AK98" s="342">
        <f t="shared" ca="1" si="15"/>
        <v>585</v>
      </c>
      <c r="AL98" s="342"/>
      <c r="AM98" s="284" t="s">
        <v>3871</v>
      </c>
      <c r="AN98" s="284" t="s">
        <v>3915</v>
      </c>
      <c r="AO98" s="343">
        <v>1.905</v>
      </c>
      <c r="AP98" s="343">
        <v>1.954</v>
      </c>
      <c r="AQ98" s="343">
        <v>1.905</v>
      </c>
      <c r="AR98" s="343">
        <v>1.954</v>
      </c>
    </row>
    <row r="99" spans="1:44" s="331" customFormat="1" ht="18" customHeight="1" x14ac:dyDescent="0.35">
      <c r="A99" s="334"/>
      <c r="B99" s="335">
        <f ca="1">IF(A99="",(IF(ISNUMBER(SUBSTITUTE(LEFT(RIGHT(E99,LEN(E99)-MIN(SEARCH({1,2,3,4,5,6,7,8,9,0},E99&amp;"1234567890"))+1),10),".","/"))=TRUE,AJ99-(SUBSTITUTE(LEFT(RIGHT(E99,LEN(E99)-MIN(SEARCH({1,2,3,4,5,6,7,8,9,0},E99&amp;"1234567890"))+1),10),".","/")),IF((SUBSTITUTE(LEFT(RIGHT(E99,LEN(E99)-MIN(SEARCH({1,2,3,4,5,6,7,8,9,0},E99&amp;"1234567890"))+1),10),".","/"))="","",(AJ99)-(MID(RIGHT((SUBSTITUTE(LEFT(RIGHT(E99,LEN(E99)-MIN(SEARCH({1,2,3,4,5,6,7,8,9,0},E99&amp;"1234567890"))+1),10),".","/")),10),4,2)&amp;"/"&amp;LEFT((RIGHT((SUBSTITUTE(LEFT(RIGHT(E99,LEN(E99)-MIN(SEARCH({1,2,3,4,5,6,7,8,9,0},E99&amp;"1234567890"))+1),10),".","/")),10)),2)&amp;"/"&amp;RIGHT((SUBSTITUTE(LEFT(RIGHT(E99,LEN(E99)-MIN(SEARCH({1,2,3,4,5,6,7,8,9,0},E99&amp;"1234567890"))+1),10),".","/")),4))))),(AJ99-A99))</f>
        <v>760</v>
      </c>
      <c r="C99" s="334"/>
      <c r="D99" s="294" t="str">
        <f t="shared" si="16"/>
        <v>FGS-LM410490/410-001XX1,905</v>
      </c>
      <c r="E99" s="294" t="s">
        <v>3859</v>
      </c>
      <c r="F99" s="294" t="s">
        <v>3916</v>
      </c>
      <c r="G99" s="294" t="s">
        <v>3917</v>
      </c>
      <c r="H99" s="294">
        <v>410</v>
      </c>
      <c r="I99" s="337" t="s">
        <v>169</v>
      </c>
      <c r="J99" s="149">
        <v>0.92</v>
      </c>
      <c r="K99" s="149">
        <v>0.92</v>
      </c>
      <c r="L99" s="149"/>
      <c r="M99" s="149"/>
      <c r="N99" s="335">
        <v>1219</v>
      </c>
      <c r="O99" s="296">
        <v>1.905</v>
      </c>
      <c r="P99" s="345">
        <v>1.954</v>
      </c>
      <c r="Q99" s="138" t="s">
        <v>3847</v>
      </c>
      <c r="R99" s="138">
        <v>2438</v>
      </c>
      <c r="S99" s="339">
        <v>89</v>
      </c>
      <c r="T99" s="299"/>
      <c r="U99" s="282"/>
      <c r="V99" s="282"/>
      <c r="W99" s="282"/>
      <c r="X99" s="340"/>
      <c r="Y99" s="340"/>
      <c r="Z99" s="340"/>
      <c r="AA99" s="340"/>
      <c r="AB99" s="340"/>
      <c r="AC99" s="341"/>
      <c r="AD99" s="342" t="s">
        <v>169</v>
      </c>
      <c r="AE99" s="342" t="s">
        <v>903</v>
      </c>
      <c r="AF99" s="284" t="s">
        <v>3862</v>
      </c>
      <c r="AG99" s="284">
        <v>44358</v>
      </c>
      <c r="AH99" s="284">
        <v>44378</v>
      </c>
      <c r="AI99" s="284"/>
      <c r="AJ99" s="334">
        <f t="shared" ca="1" si="14"/>
        <v>44963</v>
      </c>
      <c r="AK99" s="342">
        <f t="shared" ca="1" si="15"/>
        <v>585</v>
      </c>
      <c r="AL99" s="342"/>
      <c r="AM99" s="284" t="s">
        <v>3871</v>
      </c>
      <c r="AN99" s="284" t="s">
        <v>3918</v>
      </c>
      <c r="AO99" s="343">
        <v>1.905</v>
      </c>
      <c r="AP99" s="343">
        <v>1.954</v>
      </c>
      <c r="AQ99" s="343">
        <v>1.905</v>
      </c>
      <c r="AR99" s="343">
        <v>1.954</v>
      </c>
    </row>
    <row r="100" spans="1:44" s="331" customFormat="1" ht="18" customHeight="1" x14ac:dyDescent="0.35">
      <c r="A100" s="334"/>
      <c r="B100" s="335">
        <f ca="1">IF(A100="",(IF(ISNUMBER(SUBSTITUTE(LEFT(RIGHT(E100,LEN(E100)-MIN(SEARCH({1,2,3,4,5,6,7,8,9,0},E100&amp;"1234567890"))+1),10),".","/"))=TRUE,AJ100-(SUBSTITUTE(LEFT(RIGHT(E100,LEN(E100)-MIN(SEARCH({1,2,3,4,5,6,7,8,9,0},E100&amp;"1234567890"))+1),10),".","/")),IF((SUBSTITUTE(LEFT(RIGHT(E100,LEN(E100)-MIN(SEARCH({1,2,3,4,5,6,7,8,9,0},E100&amp;"1234567890"))+1),10),".","/"))="","",(AJ100)-(MID(RIGHT((SUBSTITUTE(LEFT(RIGHT(E100,LEN(E100)-MIN(SEARCH({1,2,3,4,5,6,7,8,9,0},E100&amp;"1234567890"))+1),10),".","/")),10),4,2)&amp;"/"&amp;LEFT((RIGHT((SUBSTITUTE(LEFT(RIGHT(E100,LEN(E100)-MIN(SEARCH({1,2,3,4,5,6,7,8,9,0},E100&amp;"1234567890"))+1),10),".","/")),10)),2)&amp;"/"&amp;RIGHT((SUBSTITUTE(LEFT(RIGHT(E100,LEN(E100)-MIN(SEARCH({1,2,3,4,5,6,7,8,9,0},E100&amp;"1234567890"))+1),10),".","/")),4))))),(AJ100-A100))</f>
        <v>760</v>
      </c>
      <c r="C100" s="334"/>
      <c r="D100" s="294" t="str">
        <f t="shared" si="16"/>
        <v>FGS-LM410491/410-001XX1,905</v>
      </c>
      <c r="E100" s="294" t="s">
        <v>3859</v>
      </c>
      <c r="F100" s="294" t="s">
        <v>3919</v>
      </c>
      <c r="G100" s="294" t="s">
        <v>3920</v>
      </c>
      <c r="H100" s="294">
        <v>410</v>
      </c>
      <c r="I100" s="337" t="s">
        <v>169</v>
      </c>
      <c r="J100" s="149">
        <v>0.92</v>
      </c>
      <c r="K100" s="149">
        <v>0.92</v>
      </c>
      <c r="L100" s="149"/>
      <c r="M100" s="149"/>
      <c r="N100" s="335">
        <v>1219</v>
      </c>
      <c r="O100" s="296">
        <v>1.905</v>
      </c>
      <c r="P100" s="345">
        <v>1.95</v>
      </c>
      <c r="Q100" s="138" t="s">
        <v>3847</v>
      </c>
      <c r="R100" s="138">
        <v>2438</v>
      </c>
      <c r="S100" s="339">
        <v>89</v>
      </c>
      <c r="T100" s="299"/>
      <c r="U100" s="282"/>
      <c r="V100" s="282"/>
      <c r="W100" s="282"/>
      <c r="X100" s="340"/>
      <c r="Y100" s="340"/>
      <c r="Z100" s="340"/>
      <c r="AA100" s="340"/>
      <c r="AB100" s="340"/>
      <c r="AC100" s="341"/>
      <c r="AD100" s="342" t="s">
        <v>169</v>
      </c>
      <c r="AE100" s="342" t="s">
        <v>903</v>
      </c>
      <c r="AF100" s="284" t="s">
        <v>3862</v>
      </c>
      <c r="AG100" s="284">
        <v>44358</v>
      </c>
      <c r="AH100" s="284">
        <v>44378</v>
      </c>
      <c r="AI100" s="284"/>
      <c r="AJ100" s="334">
        <f t="shared" ca="1" si="14"/>
        <v>44963</v>
      </c>
      <c r="AK100" s="342">
        <f t="shared" ca="1" si="15"/>
        <v>585</v>
      </c>
      <c r="AL100" s="342"/>
      <c r="AM100" s="284" t="s">
        <v>3871</v>
      </c>
      <c r="AN100" s="284" t="s">
        <v>3921</v>
      </c>
      <c r="AO100" s="343">
        <v>1.905</v>
      </c>
      <c r="AP100" s="343">
        <v>1.95</v>
      </c>
      <c r="AQ100" s="343">
        <v>1.905</v>
      </c>
      <c r="AR100" s="343">
        <v>1.95</v>
      </c>
    </row>
    <row r="101" spans="1:44" s="331" customFormat="1" ht="18" customHeight="1" x14ac:dyDescent="0.35">
      <c r="A101" s="334"/>
      <c r="B101" s="335">
        <f ca="1">IF(A101="",(IF(ISNUMBER(SUBSTITUTE(LEFT(RIGHT(E101,LEN(E101)-MIN(SEARCH({1,2,3,4,5,6,7,8,9,0},E101&amp;"1234567890"))+1),10),".","/"))=TRUE,AJ101-(SUBSTITUTE(LEFT(RIGHT(E101,LEN(E101)-MIN(SEARCH({1,2,3,4,5,6,7,8,9,0},E101&amp;"1234567890"))+1),10),".","/")),IF((SUBSTITUTE(LEFT(RIGHT(E101,LEN(E101)-MIN(SEARCH({1,2,3,4,5,6,7,8,9,0},E101&amp;"1234567890"))+1),10),".","/"))="","",(AJ101)-(MID(RIGHT((SUBSTITUTE(LEFT(RIGHT(E101,LEN(E101)-MIN(SEARCH({1,2,3,4,5,6,7,8,9,0},E101&amp;"1234567890"))+1),10),".","/")),10),4,2)&amp;"/"&amp;LEFT((RIGHT((SUBSTITUTE(LEFT(RIGHT(E101,LEN(E101)-MIN(SEARCH({1,2,3,4,5,6,7,8,9,0},E101&amp;"1234567890"))+1),10),".","/")),10)),2)&amp;"/"&amp;RIGHT((SUBSTITUTE(LEFT(RIGHT(E101,LEN(E101)-MIN(SEARCH({1,2,3,4,5,6,7,8,9,0},E101&amp;"1234567890"))+1),10),".","/")),4))))),(AJ101-A101))</f>
        <v>760</v>
      </c>
      <c r="C101" s="334"/>
      <c r="D101" s="294" t="str">
        <f t="shared" si="16"/>
        <v>FGS-LM410493/410-001XX2,014</v>
      </c>
      <c r="E101" s="294" t="s">
        <v>3859</v>
      </c>
      <c r="F101" s="294" t="s">
        <v>3922</v>
      </c>
      <c r="G101" s="294" t="s">
        <v>3923</v>
      </c>
      <c r="H101" s="294">
        <v>410</v>
      </c>
      <c r="I101" s="337" t="s">
        <v>169</v>
      </c>
      <c r="J101" s="149">
        <v>0.73</v>
      </c>
      <c r="K101" s="149">
        <v>0.73</v>
      </c>
      <c r="L101" s="149"/>
      <c r="M101" s="149"/>
      <c r="N101" s="335">
        <v>1219</v>
      </c>
      <c r="O101" s="296">
        <v>2.0139999999999998</v>
      </c>
      <c r="P101" s="345">
        <v>2.0760000000000001</v>
      </c>
      <c r="Q101" s="138" t="s">
        <v>3847</v>
      </c>
      <c r="R101" s="138">
        <v>2438</v>
      </c>
      <c r="S101" s="339">
        <v>118</v>
      </c>
      <c r="T101" s="299"/>
      <c r="U101" s="282"/>
      <c r="V101" s="282"/>
      <c r="W101" s="282"/>
      <c r="X101" s="340"/>
      <c r="Y101" s="340"/>
      <c r="Z101" s="340"/>
      <c r="AA101" s="340"/>
      <c r="AB101" s="340"/>
      <c r="AC101" s="341"/>
      <c r="AD101" s="342" t="s">
        <v>169</v>
      </c>
      <c r="AE101" s="342" t="s">
        <v>903</v>
      </c>
      <c r="AF101" s="284" t="s">
        <v>3862</v>
      </c>
      <c r="AG101" s="284">
        <v>44358</v>
      </c>
      <c r="AH101" s="284">
        <v>44378</v>
      </c>
      <c r="AI101" s="284"/>
      <c r="AJ101" s="334">
        <f t="shared" ca="1" si="14"/>
        <v>44963</v>
      </c>
      <c r="AK101" s="342">
        <f t="shared" ca="1" si="15"/>
        <v>585</v>
      </c>
      <c r="AL101" s="342"/>
      <c r="AM101" s="284" t="s">
        <v>3867</v>
      </c>
      <c r="AN101" s="284" t="s">
        <v>3924</v>
      </c>
      <c r="AO101" s="343">
        <v>2.0139999999999998</v>
      </c>
      <c r="AP101" s="343">
        <v>2.0760000000000001</v>
      </c>
      <c r="AQ101" s="343">
        <v>2.0139999999999998</v>
      </c>
      <c r="AR101" s="343">
        <v>2.0760000000000001</v>
      </c>
    </row>
    <row r="102" spans="1:44" s="331" customFormat="1" ht="18" customHeight="1" x14ac:dyDescent="0.35">
      <c r="A102" s="334"/>
      <c r="B102" s="335">
        <f ca="1">IF(A102="",(IF(ISNUMBER(SUBSTITUTE(LEFT(RIGHT(E102,LEN(E102)-MIN(SEARCH({1,2,3,4,5,6,7,8,9,0},E102&amp;"1234567890"))+1),10),".","/"))=TRUE,AJ102-(SUBSTITUTE(LEFT(RIGHT(E102,LEN(E102)-MIN(SEARCH({1,2,3,4,5,6,7,8,9,0},E102&amp;"1234567890"))+1),10),".","/")),IF((SUBSTITUTE(LEFT(RIGHT(E102,LEN(E102)-MIN(SEARCH({1,2,3,4,5,6,7,8,9,0},E102&amp;"1234567890"))+1),10),".","/"))="","",(AJ102)-(MID(RIGHT((SUBSTITUTE(LEFT(RIGHT(E102,LEN(E102)-MIN(SEARCH({1,2,3,4,5,6,7,8,9,0},E102&amp;"1234567890"))+1),10),".","/")),10),4,2)&amp;"/"&amp;LEFT((RIGHT((SUBSTITUTE(LEFT(RIGHT(E102,LEN(E102)-MIN(SEARCH({1,2,3,4,5,6,7,8,9,0},E102&amp;"1234567890"))+1),10),".","/")),10)),2)&amp;"/"&amp;RIGHT((SUBSTITUTE(LEFT(RIGHT(E102,LEN(E102)-MIN(SEARCH({1,2,3,4,5,6,7,8,9,0},E102&amp;"1234567890"))+1),10),".","/")),4))))),(AJ102-A102))</f>
        <v>760</v>
      </c>
      <c r="C102" s="334"/>
      <c r="D102" s="294" t="str">
        <f t="shared" si="16"/>
        <v>FGS-LM410494/410-001XX2,014</v>
      </c>
      <c r="E102" s="294" t="s">
        <v>3859</v>
      </c>
      <c r="F102" s="294" t="s">
        <v>3925</v>
      </c>
      <c r="G102" s="294" t="s">
        <v>3926</v>
      </c>
      <c r="H102" s="294">
        <v>410</v>
      </c>
      <c r="I102" s="337" t="s">
        <v>169</v>
      </c>
      <c r="J102" s="149">
        <v>0.73</v>
      </c>
      <c r="K102" s="149">
        <v>0.73</v>
      </c>
      <c r="L102" s="149"/>
      <c r="M102" s="149"/>
      <c r="N102" s="335">
        <v>1219</v>
      </c>
      <c r="O102" s="296">
        <v>2.0139999999999998</v>
      </c>
      <c r="P102" s="345">
        <v>2.0760000000000001</v>
      </c>
      <c r="Q102" s="138" t="s">
        <v>3847</v>
      </c>
      <c r="R102" s="138">
        <v>2438</v>
      </c>
      <c r="S102" s="339">
        <v>118</v>
      </c>
      <c r="T102" s="299"/>
      <c r="U102" s="282"/>
      <c r="V102" s="282"/>
      <c r="W102" s="282"/>
      <c r="X102" s="340"/>
      <c r="Y102" s="340"/>
      <c r="Z102" s="340"/>
      <c r="AA102" s="340"/>
      <c r="AB102" s="340"/>
      <c r="AC102" s="341"/>
      <c r="AD102" s="342" t="s">
        <v>169</v>
      </c>
      <c r="AE102" s="342" t="s">
        <v>903</v>
      </c>
      <c r="AF102" s="284" t="s">
        <v>3862</v>
      </c>
      <c r="AG102" s="284">
        <v>44358</v>
      </c>
      <c r="AH102" s="284">
        <v>44378</v>
      </c>
      <c r="AI102" s="284"/>
      <c r="AJ102" s="334">
        <f t="shared" ca="1" si="14"/>
        <v>44963</v>
      </c>
      <c r="AK102" s="342">
        <f t="shared" ca="1" si="15"/>
        <v>585</v>
      </c>
      <c r="AL102" s="342"/>
      <c r="AM102" s="284" t="s">
        <v>3867</v>
      </c>
      <c r="AN102" s="284" t="s">
        <v>3927</v>
      </c>
      <c r="AO102" s="343">
        <v>2.0139999999999998</v>
      </c>
      <c r="AP102" s="343">
        <v>2.0760000000000001</v>
      </c>
      <c r="AQ102" s="343">
        <v>2.0139999999999998</v>
      </c>
      <c r="AR102" s="343">
        <v>2.0760000000000001</v>
      </c>
    </row>
    <row r="103" spans="1:44" s="331" customFormat="1" ht="18" customHeight="1" x14ac:dyDescent="0.35">
      <c r="A103" s="334"/>
      <c r="B103" s="335">
        <f ca="1">IF(A103="",(IF(ISNUMBER(SUBSTITUTE(LEFT(RIGHT(E103,LEN(E103)-MIN(SEARCH({1,2,3,4,5,6,7,8,9,0},E103&amp;"1234567890"))+1),10),".","/"))=TRUE,AJ103-(SUBSTITUTE(LEFT(RIGHT(E103,LEN(E103)-MIN(SEARCH({1,2,3,4,5,6,7,8,9,0},E103&amp;"1234567890"))+1),10),".","/")),IF((SUBSTITUTE(LEFT(RIGHT(E103,LEN(E103)-MIN(SEARCH({1,2,3,4,5,6,7,8,9,0},E103&amp;"1234567890"))+1),10),".","/"))="","",(AJ103)-(MID(RIGHT((SUBSTITUTE(LEFT(RIGHT(E103,LEN(E103)-MIN(SEARCH({1,2,3,4,5,6,7,8,9,0},E103&amp;"1234567890"))+1),10),".","/")),10),4,2)&amp;"/"&amp;LEFT((RIGHT((SUBSTITUTE(LEFT(RIGHT(E103,LEN(E103)-MIN(SEARCH({1,2,3,4,5,6,7,8,9,0},E103&amp;"1234567890"))+1),10),".","/")),10)),2)&amp;"/"&amp;RIGHT((SUBSTITUTE(LEFT(RIGHT(E103,LEN(E103)-MIN(SEARCH({1,2,3,4,5,6,7,8,9,0},E103&amp;"1234567890"))+1),10),".","/")),4))))),(AJ103-A103))</f>
        <v>760</v>
      </c>
      <c r="C103" s="334"/>
      <c r="D103" s="294" t="str">
        <f t="shared" si="16"/>
        <v>FGS-LM410495/410-001XX2,014</v>
      </c>
      <c r="E103" s="294" t="s">
        <v>3859</v>
      </c>
      <c r="F103" s="294" t="s">
        <v>3928</v>
      </c>
      <c r="G103" s="294" t="s">
        <v>3929</v>
      </c>
      <c r="H103" s="294">
        <v>410</v>
      </c>
      <c r="I103" s="337" t="s">
        <v>169</v>
      </c>
      <c r="J103" s="149">
        <v>0.73</v>
      </c>
      <c r="K103" s="149">
        <v>0.73</v>
      </c>
      <c r="L103" s="149"/>
      <c r="M103" s="149"/>
      <c r="N103" s="335">
        <v>1219</v>
      </c>
      <c r="O103" s="296">
        <v>2.0139999999999998</v>
      </c>
      <c r="P103" s="345">
        <v>2.0720000000000001</v>
      </c>
      <c r="Q103" s="138" t="s">
        <v>3847</v>
      </c>
      <c r="R103" s="138">
        <v>2438</v>
      </c>
      <c r="S103" s="339">
        <v>118</v>
      </c>
      <c r="T103" s="299"/>
      <c r="U103" s="282"/>
      <c r="V103" s="282"/>
      <c r="W103" s="282"/>
      <c r="X103" s="340"/>
      <c r="Y103" s="340"/>
      <c r="Z103" s="340"/>
      <c r="AA103" s="340"/>
      <c r="AB103" s="340"/>
      <c r="AC103" s="341"/>
      <c r="AD103" s="342" t="s">
        <v>169</v>
      </c>
      <c r="AE103" s="342" t="s">
        <v>903</v>
      </c>
      <c r="AF103" s="284" t="s">
        <v>3862</v>
      </c>
      <c r="AG103" s="284">
        <v>44358</v>
      </c>
      <c r="AH103" s="284">
        <v>44378</v>
      </c>
      <c r="AI103" s="284"/>
      <c r="AJ103" s="334">
        <f t="shared" ca="1" si="14"/>
        <v>44963</v>
      </c>
      <c r="AK103" s="342">
        <f t="shared" ca="1" si="15"/>
        <v>585</v>
      </c>
      <c r="AL103" s="342"/>
      <c r="AM103" s="284" t="s">
        <v>3867</v>
      </c>
      <c r="AN103" s="284" t="s">
        <v>3930</v>
      </c>
      <c r="AO103" s="343">
        <v>2.0139999999999998</v>
      </c>
      <c r="AP103" s="343">
        <v>2.0720000000000001</v>
      </c>
      <c r="AQ103" s="343">
        <v>2.0139999999999998</v>
      </c>
      <c r="AR103" s="343">
        <v>2.0720000000000001</v>
      </c>
    </row>
    <row r="104" spans="1:44" s="331" customFormat="1" ht="18" customHeight="1" x14ac:dyDescent="0.35">
      <c r="A104" s="334"/>
      <c r="B104" s="335">
        <f ca="1">IF(A104="",(IF(ISNUMBER(SUBSTITUTE(LEFT(RIGHT(E104,LEN(E104)-MIN(SEARCH({1,2,3,4,5,6,7,8,9,0},E104&amp;"1234567890"))+1),10),".","/"))=TRUE,AJ104-(SUBSTITUTE(LEFT(RIGHT(E104,LEN(E104)-MIN(SEARCH({1,2,3,4,5,6,7,8,9,0},E104&amp;"1234567890"))+1),10),".","/")),IF((SUBSTITUTE(LEFT(RIGHT(E104,LEN(E104)-MIN(SEARCH({1,2,3,4,5,6,7,8,9,0},E104&amp;"1234567890"))+1),10),".","/"))="","",(AJ104)-(MID(RIGHT((SUBSTITUTE(LEFT(RIGHT(E104,LEN(E104)-MIN(SEARCH({1,2,3,4,5,6,7,8,9,0},E104&amp;"1234567890"))+1),10),".","/")),10),4,2)&amp;"/"&amp;LEFT((RIGHT((SUBSTITUTE(LEFT(RIGHT(E104,LEN(E104)-MIN(SEARCH({1,2,3,4,5,6,7,8,9,0},E104&amp;"1234567890"))+1),10),".","/")),10)),2)&amp;"/"&amp;RIGHT((SUBSTITUTE(LEFT(RIGHT(E104,LEN(E104)-MIN(SEARCH({1,2,3,4,5,6,7,8,9,0},E104&amp;"1234567890"))+1),10),".","/")),4))))),(AJ104-A104))</f>
        <v>760</v>
      </c>
      <c r="C104" s="334"/>
      <c r="D104" s="294" t="str">
        <f t="shared" si="16"/>
        <v>FGS-LM410496/410-001XX2,014</v>
      </c>
      <c r="E104" s="294" t="s">
        <v>3859</v>
      </c>
      <c r="F104" s="294" t="s">
        <v>3931</v>
      </c>
      <c r="G104" s="294" t="s">
        <v>3932</v>
      </c>
      <c r="H104" s="294">
        <v>410</v>
      </c>
      <c r="I104" s="337" t="s">
        <v>169</v>
      </c>
      <c r="J104" s="149">
        <v>0.73</v>
      </c>
      <c r="K104" s="149">
        <v>0.73</v>
      </c>
      <c r="L104" s="149"/>
      <c r="M104" s="149"/>
      <c r="N104" s="335">
        <v>1219</v>
      </c>
      <c r="O104" s="296">
        <v>2.0139999999999998</v>
      </c>
      <c r="P104" s="345">
        <v>2.0720000000000001</v>
      </c>
      <c r="Q104" s="138" t="s">
        <v>3847</v>
      </c>
      <c r="R104" s="138">
        <v>2438</v>
      </c>
      <c r="S104" s="339">
        <v>118</v>
      </c>
      <c r="T104" s="299"/>
      <c r="U104" s="282"/>
      <c r="V104" s="282"/>
      <c r="W104" s="282"/>
      <c r="X104" s="340"/>
      <c r="Y104" s="340"/>
      <c r="Z104" s="340"/>
      <c r="AA104" s="340"/>
      <c r="AB104" s="340"/>
      <c r="AC104" s="341"/>
      <c r="AD104" s="342" t="s">
        <v>169</v>
      </c>
      <c r="AE104" s="342" t="s">
        <v>903</v>
      </c>
      <c r="AF104" s="284" t="s">
        <v>3862</v>
      </c>
      <c r="AG104" s="284">
        <v>44358</v>
      </c>
      <c r="AH104" s="284">
        <v>44378</v>
      </c>
      <c r="AI104" s="284"/>
      <c r="AJ104" s="334">
        <f t="shared" ca="1" si="14"/>
        <v>44963</v>
      </c>
      <c r="AK104" s="342">
        <f t="shared" ca="1" si="15"/>
        <v>585</v>
      </c>
      <c r="AL104" s="342"/>
      <c r="AM104" s="284" t="s">
        <v>3867</v>
      </c>
      <c r="AN104" s="284" t="s">
        <v>3933</v>
      </c>
      <c r="AO104" s="343">
        <v>2.0139999999999998</v>
      </c>
      <c r="AP104" s="343">
        <v>2.0720000000000001</v>
      </c>
      <c r="AQ104" s="343">
        <v>2.0139999999999998</v>
      </c>
      <c r="AR104" s="343">
        <v>2.0720000000000001</v>
      </c>
    </row>
    <row r="105" spans="1:44" s="331" customFormat="1" ht="18" customHeight="1" x14ac:dyDescent="0.35">
      <c r="A105" s="334"/>
      <c r="B105" s="335">
        <f ca="1">IF(A105="",(IF(ISNUMBER(SUBSTITUTE(LEFT(RIGHT(E105,LEN(E105)-MIN(SEARCH({1,2,3,4,5,6,7,8,9,0},E105&amp;"1234567890"))+1),10),".","/"))=TRUE,AJ105-(SUBSTITUTE(LEFT(RIGHT(E105,LEN(E105)-MIN(SEARCH({1,2,3,4,5,6,7,8,9,0},E105&amp;"1234567890"))+1),10),".","/")),IF((SUBSTITUTE(LEFT(RIGHT(E105,LEN(E105)-MIN(SEARCH({1,2,3,4,5,6,7,8,9,0},E105&amp;"1234567890"))+1),10),".","/"))="","",(AJ105)-(MID(RIGHT((SUBSTITUTE(LEFT(RIGHT(E105,LEN(E105)-MIN(SEARCH({1,2,3,4,5,6,7,8,9,0},E105&amp;"1234567890"))+1),10),".","/")),10),4,2)&amp;"/"&amp;LEFT((RIGHT((SUBSTITUTE(LEFT(RIGHT(E105,LEN(E105)-MIN(SEARCH({1,2,3,4,5,6,7,8,9,0},E105&amp;"1234567890"))+1),10),".","/")),10)),2)&amp;"/"&amp;RIGHT((SUBSTITUTE(LEFT(RIGHT(E105,LEN(E105)-MIN(SEARCH({1,2,3,4,5,6,7,8,9,0},E105&amp;"1234567890"))+1),10),".","/")),4))))),(AJ105-A105))</f>
        <v>760</v>
      </c>
      <c r="C105" s="334"/>
      <c r="D105" s="294" t="str">
        <f t="shared" si="16"/>
        <v>FGS-LM410497/410-001XX1,945</v>
      </c>
      <c r="E105" s="294" t="s">
        <v>3859</v>
      </c>
      <c r="F105" s="294" t="s">
        <v>3934</v>
      </c>
      <c r="G105" s="294" t="s">
        <v>3935</v>
      </c>
      <c r="H105" s="294">
        <v>410</v>
      </c>
      <c r="I105" s="337" t="s">
        <v>169</v>
      </c>
      <c r="J105" s="149">
        <v>0.73</v>
      </c>
      <c r="K105" s="149">
        <v>0.73</v>
      </c>
      <c r="L105" s="149"/>
      <c r="M105" s="149"/>
      <c r="N105" s="335">
        <v>1219</v>
      </c>
      <c r="O105" s="296">
        <v>1.9450000000000001</v>
      </c>
      <c r="P105" s="345">
        <v>2.0059999999999998</v>
      </c>
      <c r="Q105" s="138" t="s">
        <v>3847</v>
      </c>
      <c r="R105" s="138">
        <v>2438</v>
      </c>
      <c r="S105" s="339">
        <v>114</v>
      </c>
      <c r="T105" s="299"/>
      <c r="U105" s="282"/>
      <c r="V105" s="282"/>
      <c r="W105" s="282"/>
      <c r="X105" s="340"/>
      <c r="Y105" s="340"/>
      <c r="Z105" s="340"/>
      <c r="AA105" s="340"/>
      <c r="AB105" s="340"/>
      <c r="AC105" s="341"/>
      <c r="AD105" s="342" t="s">
        <v>169</v>
      </c>
      <c r="AE105" s="342" t="s">
        <v>903</v>
      </c>
      <c r="AF105" s="284" t="s">
        <v>3862</v>
      </c>
      <c r="AG105" s="284">
        <v>44358</v>
      </c>
      <c r="AH105" s="284">
        <v>44378</v>
      </c>
      <c r="AI105" s="284"/>
      <c r="AJ105" s="334">
        <f t="shared" ca="1" si="14"/>
        <v>44963</v>
      </c>
      <c r="AK105" s="342">
        <f t="shared" ca="1" si="15"/>
        <v>585</v>
      </c>
      <c r="AL105" s="342"/>
      <c r="AM105" s="284" t="s">
        <v>3867</v>
      </c>
      <c r="AN105" s="284" t="s">
        <v>3936</v>
      </c>
      <c r="AO105" s="343">
        <v>1.9450000000000001</v>
      </c>
      <c r="AP105" s="343">
        <v>2.0059999999999998</v>
      </c>
      <c r="AQ105" s="343">
        <v>1.9450000000000001</v>
      </c>
      <c r="AR105" s="343">
        <v>2.0059999999999998</v>
      </c>
    </row>
    <row r="106" spans="1:44" s="331" customFormat="1" ht="18" customHeight="1" x14ac:dyDescent="0.35">
      <c r="A106" s="334"/>
      <c r="B106" s="335" t="e">
        <f ca="1">IF(A106="",(IF(ISNUMBER(SUBSTITUTE(LEFT(RIGHT(E106,LEN(E106)-MIN(SEARCH({1,2,3,4,5,6,7,8,9,0},E106&amp;"1234567890"))+1),10),".","/"))=TRUE,AJ106-(SUBSTITUTE(LEFT(RIGHT(E106,LEN(E106)-MIN(SEARCH({1,2,3,4,5,6,7,8,9,0},E106&amp;"1234567890"))+1),10),".","/")),IF((SUBSTITUTE(LEFT(RIGHT(E106,LEN(E106)-MIN(SEARCH({1,2,3,4,5,6,7,8,9,0},E106&amp;"1234567890"))+1),10),".","/"))="","",(AJ106)-(MID(RIGHT((SUBSTITUTE(LEFT(RIGHT(E106,LEN(E106)-MIN(SEARCH({1,2,3,4,5,6,7,8,9,0},E106&amp;"1234567890"))+1),10),".","/")),10),4,2)&amp;"/"&amp;LEFT((RIGHT((SUBSTITUTE(LEFT(RIGHT(E106,LEN(E106)-MIN(SEARCH({1,2,3,4,5,6,7,8,9,0},E106&amp;"1234567890"))+1),10),".","/")),10)),2)&amp;"/"&amp;RIGHT((SUBSTITUTE(LEFT(RIGHT(E106,LEN(E106)-MIN(SEARCH({1,2,3,4,5,6,7,8,9,0},E106&amp;"1234567890"))+1),10),".","/")),4))))),(AJ106-A106))</f>
        <v>#VALUE!</v>
      </c>
      <c r="C106" s="334"/>
      <c r="D106" s="294" t="str">
        <f t="shared" si="16"/>
        <v>FGS-LM410547/410-000XX2,206</v>
      </c>
      <c r="E106" s="294" t="s">
        <v>3937</v>
      </c>
      <c r="F106" s="294" t="s">
        <v>3938</v>
      </c>
      <c r="G106" s="294" t="s">
        <v>3939</v>
      </c>
      <c r="H106" s="294">
        <v>410</v>
      </c>
      <c r="I106" s="337" t="s">
        <v>169</v>
      </c>
      <c r="J106" s="149">
        <v>0.36</v>
      </c>
      <c r="K106" s="149">
        <v>0.36</v>
      </c>
      <c r="L106" s="149"/>
      <c r="M106" s="149"/>
      <c r="N106" s="335">
        <v>1000</v>
      </c>
      <c r="O106" s="296">
        <v>2.206</v>
      </c>
      <c r="P106" s="345">
        <v>2.246</v>
      </c>
      <c r="Q106" s="138" t="s">
        <v>3847</v>
      </c>
      <c r="R106" s="366">
        <v>2000</v>
      </c>
      <c r="S106" s="339">
        <v>375</v>
      </c>
      <c r="T106" s="299"/>
      <c r="U106" s="282"/>
      <c r="V106" s="282"/>
      <c r="W106" s="282"/>
      <c r="X106" s="340"/>
      <c r="Y106" s="340"/>
      <c r="Z106" s="340"/>
      <c r="AA106" s="340"/>
      <c r="AB106" s="340"/>
      <c r="AC106" s="341"/>
      <c r="AD106" s="342" t="s">
        <v>169</v>
      </c>
      <c r="AE106" s="342" t="s">
        <v>903</v>
      </c>
      <c r="AF106" s="284" t="s">
        <v>3940</v>
      </c>
      <c r="AG106" s="284">
        <v>44366</v>
      </c>
      <c r="AH106" s="284">
        <v>44393</v>
      </c>
      <c r="AI106" s="284"/>
      <c r="AJ106" s="334">
        <f t="shared" ca="1" si="14"/>
        <v>44963</v>
      </c>
      <c r="AK106" s="342">
        <f t="shared" ca="1" si="15"/>
        <v>570</v>
      </c>
      <c r="AL106" s="342"/>
      <c r="AM106" s="284" t="s">
        <v>3941</v>
      </c>
      <c r="AN106" s="284" t="s">
        <v>3903</v>
      </c>
      <c r="AO106" s="343">
        <v>2.206</v>
      </c>
      <c r="AP106" s="343">
        <v>2.246</v>
      </c>
      <c r="AQ106" s="343">
        <v>2.206</v>
      </c>
      <c r="AR106" s="343">
        <v>2.246</v>
      </c>
    </row>
    <row r="107" spans="1:44" s="331" customFormat="1" ht="18" customHeight="1" x14ac:dyDescent="0.35">
      <c r="A107" s="334"/>
      <c r="B107" s="335" t="e">
        <f ca="1">IF(A107="",(IF(ISNUMBER(SUBSTITUTE(LEFT(RIGHT(E107,LEN(E107)-MIN(SEARCH({1,2,3,4,5,6,7,8,9,0},E107&amp;"1234567890"))+1),10),".","/"))=TRUE,AJ107-(SUBSTITUTE(LEFT(RIGHT(E107,LEN(E107)-MIN(SEARCH({1,2,3,4,5,6,7,8,9,0},E107&amp;"1234567890"))+1),10),".","/")),IF((SUBSTITUTE(LEFT(RIGHT(E107,LEN(E107)-MIN(SEARCH({1,2,3,4,5,6,7,8,9,0},E107&amp;"1234567890"))+1),10),".","/"))="","",(AJ107)-(MID(RIGHT((SUBSTITUTE(LEFT(RIGHT(E107,LEN(E107)-MIN(SEARCH({1,2,3,4,5,6,7,8,9,0},E107&amp;"1234567890"))+1),10),".","/")),10),4,2)&amp;"/"&amp;LEFT((RIGHT((SUBSTITUTE(LEFT(RIGHT(E107,LEN(E107)-MIN(SEARCH({1,2,3,4,5,6,7,8,9,0},E107&amp;"1234567890"))+1),10),".","/")),10)),2)&amp;"/"&amp;RIGHT((SUBSTITUTE(LEFT(RIGHT(E107,LEN(E107)-MIN(SEARCH({1,2,3,4,5,6,7,8,9,0},E107&amp;"1234567890"))+1),10),".","/")),4))))),(AJ107-A107))</f>
        <v>#VALUE!</v>
      </c>
      <c r="C107" s="334"/>
      <c r="D107" s="294" t="str">
        <f t="shared" si="16"/>
        <v>FGS-LM410548/410-000XX2,212</v>
      </c>
      <c r="E107" s="294" t="s">
        <v>3937</v>
      </c>
      <c r="F107" s="294" t="s">
        <v>3942</v>
      </c>
      <c r="G107" s="294" t="s">
        <v>3943</v>
      </c>
      <c r="H107" s="294">
        <v>410</v>
      </c>
      <c r="I107" s="337" t="s">
        <v>169</v>
      </c>
      <c r="J107" s="149">
        <v>0.36</v>
      </c>
      <c r="K107" s="149">
        <v>0.36</v>
      </c>
      <c r="L107" s="149"/>
      <c r="M107" s="149"/>
      <c r="N107" s="335">
        <v>1000</v>
      </c>
      <c r="O107" s="296">
        <v>2.2120000000000002</v>
      </c>
      <c r="P107" s="345">
        <v>2.2519999999999998</v>
      </c>
      <c r="Q107" s="138" t="s">
        <v>3847</v>
      </c>
      <c r="R107" s="366">
        <v>2000</v>
      </c>
      <c r="S107" s="339">
        <v>375</v>
      </c>
      <c r="T107" s="299"/>
      <c r="U107" s="282"/>
      <c r="V107" s="282"/>
      <c r="W107" s="282"/>
      <c r="X107" s="340"/>
      <c r="Y107" s="340"/>
      <c r="Z107" s="340"/>
      <c r="AA107" s="340"/>
      <c r="AB107" s="340"/>
      <c r="AC107" s="341"/>
      <c r="AD107" s="342" t="s">
        <v>169</v>
      </c>
      <c r="AE107" s="342" t="s">
        <v>903</v>
      </c>
      <c r="AF107" s="284" t="s">
        <v>3940</v>
      </c>
      <c r="AG107" s="284">
        <v>44366</v>
      </c>
      <c r="AH107" s="284">
        <v>44393</v>
      </c>
      <c r="AI107" s="284"/>
      <c r="AJ107" s="334">
        <f t="shared" ca="1" si="14"/>
        <v>44963</v>
      </c>
      <c r="AK107" s="342">
        <f t="shared" ca="1" si="15"/>
        <v>570</v>
      </c>
      <c r="AL107" s="342"/>
      <c r="AM107" s="284" t="s">
        <v>3941</v>
      </c>
      <c r="AN107" s="284" t="s">
        <v>3906</v>
      </c>
      <c r="AO107" s="343">
        <v>2.2120000000000002</v>
      </c>
      <c r="AP107" s="343">
        <v>2.2519999999999998</v>
      </c>
      <c r="AQ107" s="343">
        <v>2.2120000000000002</v>
      </c>
      <c r="AR107" s="343">
        <v>2.2519999999999998</v>
      </c>
    </row>
    <row r="108" spans="1:44" s="331" customFormat="1" ht="18" customHeight="1" x14ac:dyDescent="0.35">
      <c r="A108" s="334"/>
      <c r="B108" s="335" t="e">
        <f ca="1">IF(A108="",(IF(ISNUMBER(SUBSTITUTE(LEFT(RIGHT(E108,LEN(E108)-MIN(SEARCH({1,2,3,4,5,6,7,8,9,0},E108&amp;"1234567890"))+1),10),".","/"))=TRUE,AJ108-(SUBSTITUTE(LEFT(RIGHT(E108,LEN(E108)-MIN(SEARCH({1,2,3,4,5,6,7,8,9,0},E108&amp;"1234567890"))+1),10),".","/")),IF((SUBSTITUTE(LEFT(RIGHT(E108,LEN(E108)-MIN(SEARCH({1,2,3,4,5,6,7,8,9,0},E108&amp;"1234567890"))+1),10),".","/"))="","",(AJ108)-(MID(RIGHT((SUBSTITUTE(LEFT(RIGHT(E108,LEN(E108)-MIN(SEARCH({1,2,3,4,5,6,7,8,9,0},E108&amp;"1234567890"))+1),10),".","/")),10),4,2)&amp;"/"&amp;LEFT((RIGHT((SUBSTITUTE(LEFT(RIGHT(E108,LEN(E108)-MIN(SEARCH({1,2,3,4,5,6,7,8,9,0},E108&amp;"1234567890"))+1),10),".","/")),10)),2)&amp;"/"&amp;RIGHT((SUBSTITUTE(LEFT(RIGHT(E108,LEN(E108)-MIN(SEARCH({1,2,3,4,5,6,7,8,9,0},E108&amp;"1234567890"))+1),10),".","/")),4))))),(AJ108-A108))</f>
        <v>#VALUE!</v>
      </c>
      <c r="C108" s="334"/>
      <c r="D108" s="294" t="str">
        <f t="shared" si="16"/>
        <v>FGS-LM410549/410-000XX2,212</v>
      </c>
      <c r="E108" s="294" t="s">
        <v>3937</v>
      </c>
      <c r="F108" s="294" t="s">
        <v>3944</v>
      </c>
      <c r="G108" s="294" t="s">
        <v>3945</v>
      </c>
      <c r="H108" s="294">
        <v>410</v>
      </c>
      <c r="I108" s="337" t="s">
        <v>169</v>
      </c>
      <c r="J108" s="149">
        <v>0.36</v>
      </c>
      <c r="K108" s="149">
        <v>0.36</v>
      </c>
      <c r="L108" s="149"/>
      <c r="M108" s="149"/>
      <c r="N108" s="335">
        <v>1000</v>
      </c>
      <c r="O108" s="296">
        <v>2.2120000000000002</v>
      </c>
      <c r="P108" s="345">
        <v>2.2519999999999998</v>
      </c>
      <c r="Q108" s="138" t="s">
        <v>3847</v>
      </c>
      <c r="R108" s="366">
        <v>2000</v>
      </c>
      <c r="S108" s="339">
        <v>375</v>
      </c>
      <c r="T108" s="299"/>
      <c r="U108" s="282"/>
      <c r="V108" s="282"/>
      <c r="W108" s="282"/>
      <c r="X108" s="340"/>
      <c r="Y108" s="340"/>
      <c r="Z108" s="340"/>
      <c r="AA108" s="340"/>
      <c r="AB108" s="340"/>
      <c r="AC108" s="341"/>
      <c r="AD108" s="342" t="s">
        <v>169</v>
      </c>
      <c r="AE108" s="342" t="s">
        <v>903</v>
      </c>
      <c r="AF108" s="284" t="s">
        <v>3940</v>
      </c>
      <c r="AG108" s="284">
        <v>44366</v>
      </c>
      <c r="AH108" s="284">
        <v>44393</v>
      </c>
      <c r="AI108" s="284"/>
      <c r="AJ108" s="334">
        <f t="shared" ca="1" si="14"/>
        <v>44963</v>
      </c>
      <c r="AK108" s="342">
        <f t="shared" ca="1" si="15"/>
        <v>570</v>
      </c>
      <c r="AL108" s="342"/>
      <c r="AM108" s="284" t="s">
        <v>3941</v>
      </c>
      <c r="AN108" s="284" t="s">
        <v>3909</v>
      </c>
      <c r="AO108" s="343">
        <v>2.2120000000000002</v>
      </c>
      <c r="AP108" s="343">
        <v>2.2519999999999998</v>
      </c>
      <c r="AQ108" s="343">
        <v>2.2120000000000002</v>
      </c>
      <c r="AR108" s="343">
        <v>2.2519999999999998</v>
      </c>
    </row>
    <row r="109" spans="1:44" s="331" customFormat="1" ht="18" customHeight="1" x14ac:dyDescent="0.35">
      <c r="A109" s="334"/>
      <c r="B109" s="335" t="e">
        <f ca="1">IF(A109="",(IF(ISNUMBER(SUBSTITUTE(LEFT(RIGHT(E109,LEN(E109)-MIN(SEARCH({1,2,3,4,5,6,7,8,9,0},E109&amp;"1234567890"))+1),10),".","/"))=TRUE,AJ109-(SUBSTITUTE(LEFT(RIGHT(E109,LEN(E109)-MIN(SEARCH({1,2,3,4,5,6,7,8,9,0},E109&amp;"1234567890"))+1),10),".","/")),IF((SUBSTITUTE(LEFT(RIGHT(E109,LEN(E109)-MIN(SEARCH({1,2,3,4,5,6,7,8,9,0},E109&amp;"1234567890"))+1),10),".","/"))="","",(AJ109)-(MID(RIGHT((SUBSTITUTE(LEFT(RIGHT(E109,LEN(E109)-MIN(SEARCH({1,2,3,4,5,6,7,8,9,0},E109&amp;"1234567890"))+1),10),".","/")),10),4,2)&amp;"/"&amp;LEFT((RIGHT((SUBSTITUTE(LEFT(RIGHT(E109,LEN(E109)-MIN(SEARCH({1,2,3,4,5,6,7,8,9,0},E109&amp;"1234567890"))+1),10),".","/")),10)),2)&amp;"/"&amp;RIGHT((SUBSTITUTE(LEFT(RIGHT(E109,LEN(E109)-MIN(SEARCH({1,2,3,4,5,6,7,8,9,0},E109&amp;"1234567890"))+1),10),".","/")),4))))),(AJ109-A109))</f>
        <v>#VALUE!</v>
      </c>
      <c r="C109" s="334"/>
      <c r="D109" s="294" t="str">
        <f t="shared" si="16"/>
        <v>FGS-LM410550/410-000XX2,212</v>
      </c>
      <c r="E109" s="294" t="s">
        <v>3937</v>
      </c>
      <c r="F109" s="294" t="s">
        <v>3946</v>
      </c>
      <c r="G109" s="294" t="s">
        <v>3947</v>
      </c>
      <c r="H109" s="294">
        <v>410</v>
      </c>
      <c r="I109" s="337" t="s">
        <v>169</v>
      </c>
      <c r="J109" s="149">
        <v>0.36</v>
      </c>
      <c r="K109" s="149">
        <v>0.36</v>
      </c>
      <c r="L109" s="149"/>
      <c r="M109" s="149"/>
      <c r="N109" s="335">
        <v>1000</v>
      </c>
      <c r="O109" s="296">
        <v>2.2120000000000002</v>
      </c>
      <c r="P109" s="345">
        <v>2.2519999999999998</v>
      </c>
      <c r="Q109" s="138" t="s">
        <v>3847</v>
      </c>
      <c r="R109" s="366">
        <v>2000</v>
      </c>
      <c r="S109" s="339">
        <v>375</v>
      </c>
      <c r="T109" s="299"/>
      <c r="U109" s="282"/>
      <c r="V109" s="282"/>
      <c r="W109" s="282"/>
      <c r="X109" s="340"/>
      <c r="Y109" s="340"/>
      <c r="Z109" s="340"/>
      <c r="AA109" s="340"/>
      <c r="AB109" s="340"/>
      <c r="AC109" s="341"/>
      <c r="AD109" s="342" t="s">
        <v>169</v>
      </c>
      <c r="AE109" s="342" t="s">
        <v>903</v>
      </c>
      <c r="AF109" s="284" t="s">
        <v>3940</v>
      </c>
      <c r="AG109" s="284">
        <v>44366</v>
      </c>
      <c r="AH109" s="284">
        <v>44393</v>
      </c>
      <c r="AI109" s="284"/>
      <c r="AJ109" s="334">
        <f t="shared" ca="1" si="14"/>
        <v>44963</v>
      </c>
      <c r="AK109" s="342">
        <f t="shared" ca="1" si="15"/>
        <v>570</v>
      </c>
      <c r="AL109" s="342"/>
      <c r="AM109" s="284" t="s">
        <v>3941</v>
      </c>
      <c r="AN109" s="284" t="s">
        <v>3912</v>
      </c>
      <c r="AO109" s="343">
        <v>2.2120000000000002</v>
      </c>
      <c r="AP109" s="343">
        <v>2.2519999999999998</v>
      </c>
      <c r="AQ109" s="343">
        <v>2.2120000000000002</v>
      </c>
      <c r="AR109" s="343">
        <v>2.2519999999999998</v>
      </c>
    </row>
    <row r="110" spans="1:44" s="331" customFormat="1" ht="18" customHeight="1" x14ac:dyDescent="0.35">
      <c r="A110" s="334"/>
      <c r="B110" s="335" t="e">
        <f ca="1">IF(A110="",(IF(ISNUMBER(SUBSTITUTE(LEFT(RIGHT(E110,LEN(E110)-MIN(SEARCH({1,2,3,4,5,6,7,8,9,0},E110&amp;"1234567890"))+1),10),".","/"))=TRUE,AJ110-(SUBSTITUTE(LEFT(RIGHT(E110,LEN(E110)-MIN(SEARCH({1,2,3,4,5,6,7,8,9,0},E110&amp;"1234567890"))+1),10),".","/")),IF((SUBSTITUTE(LEFT(RIGHT(E110,LEN(E110)-MIN(SEARCH({1,2,3,4,5,6,7,8,9,0},E110&amp;"1234567890"))+1),10),".","/"))="","",(AJ110)-(MID(RIGHT((SUBSTITUTE(LEFT(RIGHT(E110,LEN(E110)-MIN(SEARCH({1,2,3,4,5,6,7,8,9,0},E110&amp;"1234567890"))+1),10),".","/")),10),4,2)&amp;"/"&amp;LEFT((RIGHT((SUBSTITUTE(LEFT(RIGHT(E110,LEN(E110)-MIN(SEARCH({1,2,3,4,5,6,7,8,9,0},E110&amp;"1234567890"))+1),10),".","/")),10)),2)&amp;"/"&amp;RIGHT((SUBSTITUTE(LEFT(RIGHT(E110,LEN(E110)-MIN(SEARCH({1,2,3,4,5,6,7,8,9,0},E110&amp;"1234567890"))+1),10),".","/")),4))))),(AJ110-A110))</f>
        <v>#VALUE!</v>
      </c>
      <c r="C110" s="334"/>
      <c r="D110" s="294" t="str">
        <f t="shared" si="16"/>
        <v>FGS-LM410551/410-000XX2,21</v>
      </c>
      <c r="E110" s="294" t="s">
        <v>3937</v>
      </c>
      <c r="F110" s="294" t="s">
        <v>3948</v>
      </c>
      <c r="G110" s="294" t="s">
        <v>3949</v>
      </c>
      <c r="H110" s="294">
        <v>410</v>
      </c>
      <c r="I110" s="337" t="s">
        <v>169</v>
      </c>
      <c r="J110" s="149">
        <v>0.36</v>
      </c>
      <c r="K110" s="149">
        <v>0.36</v>
      </c>
      <c r="L110" s="149"/>
      <c r="M110" s="149"/>
      <c r="N110" s="335">
        <v>1000</v>
      </c>
      <c r="O110" s="296">
        <v>2.21</v>
      </c>
      <c r="P110" s="345">
        <v>2.25</v>
      </c>
      <c r="Q110" s="138" t="s">
        <v>3847</v>
      </c>
      <c r="R110" s="366">
        <v>2000</v>
      </c>
      <c r="S110" s="339">
        <v>375</v>
      </c>
      <c r="T110" s="299"/>
      <c r="U110" s="282"/>
      <c r="V110" s="282"/>
      <c r="W110" s="282"/>
      <c r="X110" s="340"/>
      <c r="Y110" s="340"/>
      <c r="Z110" s="340"/>
      <c r="AA110" s="340"/>
      <c r="AB110" s="340"/>
      <c r="AC110" s="341"/>
      <c r="AD110" s="342" t="s">
        <v>169</v>
      </c>
      <c r="AE110" s="342" t="s">
        <v>903</v>
      </c>
      <c r="AF110" s="284" t="s">
        <v>3940</v>
      </c>
      <c r="AG110" s="284">
        <v>44366</v>
      </c>
      <c r="AH110" s="284">
        <v>44393</v>
      </c>
      <c r="AI110" s="284"/>
      <c r="AJ110" s="334">
        <f t="shared" ca="1" si="14"/>
        <v>44963</v>
      </c>
      <c r="AK110" s="342">
        <f t="shared" ca="1" si="15"/>
        <v>570</v>
      </c>
      <c r="AL110" s="342"/>
      <c r="AM110" s="284" t="s">
        <v>3941</v>
      </c>
      <c r="AN110" s="284" t="s">
        <v>3915</v>
      </c>
      <c r="AO110" s="343">
        <v>2.21</v>
      </c>
      <c r="AP110" s="343">
        <v>2.25</v>
      </c>
      <c r="AQ110" s="343">
        <v>2.21</v>
      </c>
      <c r="AR110" s="343">
        <v>2.25</v>
      </c>
    </row>
    <row r="111" spans="1:44" s="331" customFormat="1" ht="18" customHeight="1" x14ac:dyDescent="0.35">
      <c r="A111" s="334"/>
      <c r="B111" s="335"/>
      <c r="C111" s="334"/>
      <c r="D111" s="294" t="str">
        <f t="shared" si="16"/>
        <v>FGS-LM410601/410-000XX2,216</v>
      </c>
      <c r="E111" s="294" t="s">
        <v>3950</v>
      </c>
      <c r="F111" s="294" t="s">
        <v>3951</v>
      </c>
      <c r="G111" s="294" t="s">
        <v>3952</v>
      </c>
      <c r="H111" s="294">
        <v>410</v>
      </c>
      <c r="I111" s="337" t="s">
        <v>169</v>
      </c>
      <c r="J111" s="149">
        <v>0.36</v>
      </c>
      <c r="K111" s="149">
        <v>0.36</v>
      </c>
      <c r="L111" s="149"/>
      <c r="M111" s="149"/>
      <c r="N111" s="335">
        <v>1000</v>
      </c>
      <c r="O111" s="296">
        <v>2.2160000000000002</v>
      </c>
      <c r="P111" s="345">
        <v>2.2559999999999998</v>
      </c>
      <c r="Q111" s="138" t="s">
        <v>3847</v>
      </c>
      <c r="R111" s="366">
        <v>2000</v>
      </c>
      <c r="S111" s="339">
        <v>375</v>
      </c>
      <c r="T111" s="299"/>
      <c r="U111" s="282"/>
      <c r="V111" s="282"/>
      <c r="W111" s="282"/>
      <c r="X111" s="340"/>
      <c r="Y111" s="340"/>
      <c r="Z111" s="340"/>
      <c r="AA111" s="340"/>
      <c r="AB111" s="340"/>
      <c r="AC111" s="341"/>
      <c r="AD111" s="342" t="s">
        <v>169</v>
      </c>
      <c r="AE111" s="342" t="s">
        <v>903</v>
      </c>
      <c r="AF111" s="284" t="s">
        <v>3953</v>
      </c>
      <c r="AG111" s="284">
        <v>44383</v>
      </c>
      <c r="AH111" s="284">
        <v>44411</v>
      </c>
      <c r="AI111" s="284"/>
      <c r="AJ111" s="334">
        <f t="shared" ca="1" si="14"/>
        <v>44963</v>
      </c>
      <c r="AK111" s="342">
        <f t="shared" ca="1" si="15"/>
        <v>552</v>
      </c>
      <c r="AL111" s="342"/>
      <c r="AM111" s="284" t="s">
        <v>3954</v>
      </c>
      <c r="AN111" s="284" t="s">
        <v>3955</v>
      </c>
      <c r="AO111" s="343">
        <v>2.2160000000000002</v>
      </c>
      <c r="AP111" s="343">
        <v>2.2559999999999998</v>
      </c>
      <c r="AQ111" s="343">
        <v>2.2160000000000002</v>
      </c>
      <c r="AR111" s="343">
        <v>2.2559999999999998</v>
      </c>
    </row>
    <row r="112" spans="1:44" s="331" customFormat="1" ht="18" customHeight="1" x14ac:dyDescent="0.35">
      <c r="A112" s="334"/>
      <c r="B112" s="335"/>
      <c r="C112" s="334"/>
      <c r="D112" s="294" t="str">
        <f t="shared" si="16"/>
        <v>FGS-LM410602/410-000XX1,778</v>
      </c>
      <c r="E112" s="294" t="s">
        <v>3950</v>
      </c>
      <c r="F112" s="294" t="s">
        <v>3956</v>
      </c>
      <c r="G112" s="294" t="s">
        <v>3957</v>
      </c>
      <c r="H112" s="294">
        <v>410</v>
      </c>
      <c r="I112" s="337" t="s">
        <v>169</v>
      </c>
      <c r="J112" s="149">
        <v>0.36</v>
      </c>
      <c r="K112" s="149">
        <v>0.36</v>
      </c>
      <c r="L112" s="149"/>
      <c r="M112" s="149"/>
      <c r="N112" s="335">
        <v>1000</v>
      </c>
      <c r="O112" s="296">
        <v>1.778</v>
      </c>
      <c r="P112" s="345">
        <v>1.8180000000000001</v>
      </c>
      <c r="Q112" s="138" t="s">
        <v>3847</v>
      </c>
      <c r="R112" s="366">
        <v>2000</v>
      </c>
      <c r="S112" s="339">
        <v>302</v>
      </c>
      <c r="T112" s="299"/>
      <c r="U112" s="282"/>
      <c r="V112" s="282"/>
      <c r="W112" s="282"/>
      <c r="X112" s="340"/>
      <c r="Y112" s="340"/>
      <c r="Z112" s="340"/>
      <c r="AA112" s="340"/>
      <c r="AB112" s="340"/>
      <c r="AC112" s="341"/>
      <c r="AD112" s="342" t="s">
        <v>169</v>
      </c>
      <c r="AE112" s="342" t="s">
        <v>903</v>
      </c>
      <c r="AF112" s="284" t="s">
        <v>3953</v>
      </c>
      <c r="AG112" s="284">
        <v>44383</v>
      </c>
      <c r="AH112" s="284">
        <v>44411</v>
      </c>
      <c r="AI112" s="284"/>
      <c r="AJ112" s="334">
        <f t="shared" ca="1" si="14"/>
        <v>44963</v>
      </c>
      <c r="AK112" s="342">
        <f t="shared" ca="1" si="15"/>
        <v>552</v>
      </c>
      <c r="AL112" s="342"/>
      <c r="AM112" s="284" t="s">
        <v>3954</v>
      </c>
      <c r="AN112" s="284" t="s">
        <v>3958</v>
      </c>
      <c r="AO112" s="343">
        <v>1.778</v>
      </c>
      <c r="AP112" s="343">
        <v>1.8180000000000001</v>
      </c>
      <c r="AQ112" s="343">
        <v>1.778</v>
      </c>
      <c r="AR112" s="343">
        <v>1.8180000000000001</v>
      </c>
    </row>
    <row r="113" spans="1:48" s="331" customFormat="1" ht="18" customHeight="1" x14ac:dyDescent="0.35">
      <c r="A113" s="334"/>
      <c r="B113" s="335"/>
      <c r="C113" s="334"/>
      <c r="D113" s="294" t="str">
        <f t="shared" si="16"/>
        <v>FGS-LM410603/410-000XX1,996</v>
      </c>
      <c r="E113" s="294" t="s">
        <v>3950</v>
      </c>
      <c r="F113" s="294" t="s">
        <v>3959</v>
      </c>
      <c r="G113" s="294" t="s">
        <v>3960</v>
      </c>
      <c r="H113" s="294">
        <v>410</v>
      </c>
      <c r="I113" s="337" t="s">
        <v>169</v>
      </c>
      <c r="J113" s="149">
        <v>0.36</v>
      </c>
      <c r="K113" s="149">
        <v>0.36</v>
      </c>
      <c r="L113" s="149"/>
      <c r="M113" s="149"/>
      <c r="N113" s="335">
        <v>1000</v>
      </c>
      <c r="O113" s="296">
        <v>1.996</v>
      </c>
      <c r="P113" s="345">
        <v>2.028</v>
      </c>
      <c r="Q113" s="138" t="s">
        <v>3847</v>
      </c>
      <c r="R113" s="366">
        <v>2000</v>
      </c>
      <c r="S113" s="339">
        <v>350</v>
      </c>
      <c r="T113" s="299"/>
      <c r="U113" s="282"/>
      <c r="V113" s="282"/>
      <c r="W113" s="282"/>
      <c r="X113" s="340"/>
      <c r="Y113" s="340"/>
      <c r="Z113" s="340"/>
      <c r="AA113" s="340"/>
      <c r="AB113" s="340"/>
      <c r="AC113" s="341"/>
      <c r="AD113" s="342" t="s">
        <v>169</v>
      </c>
      <c r="AE113" s="342" t="s">
        <v>903</v>
      </c>
      <c r="AF113" s="284" t="s">
        <v>3953</v>
      </c>
      <c r="AG113" s="284">
        <v>44383</v>
      </c>
      <c r="AH113" s="284">
        <v>44411</v>
      </c>
      <c r="AI113" s="284"/>
      <c r="AJ113" s="334">
        <f t="shared" ca="1" si="14"/>
        <v>44963</v>
      </c>
      <c r="AK113" s="342">
        <f t="shared" ca="1" si="15"/>
        <v>552</v>
      </c>
      <c r="AL113" s="342"/>
      <c r="AM113" s="284" t="s">
        <v>3954</v>
      </c>
      <c r="AN113" s="284" t="s">
        <v>3961</v>
      </c>
      <c r="AO113" s="343">
        <v>1.996</v>
      </c>
      <c r="AP113" s="343">
        <v>2.028</v>
      </c>
      <c r="AQ113" s="343">
        <v>1.996</v>
      </c>
      <c r="AR113" s="343">
        <v>2.028</v>
      </c>
    </row>
    <row r="114" spans="1:48" s="331" customFormat="1" ht="18" customHeight="1" x14ac:dyDescent="0.35">
      <c r="A114" s="334"/>
      <c r="B114" s="335"/>
      <c r="C114" s="334"/>
      <c r="D114" s="294" t="str">
        <f t="shared" si="16"/>
        <v>FGS-LM410604/410-000XX1,994</v>
      </c>
      <c r="E114" s="294" t="s">
        <v>3950</v>
      </c>
      <c r="F114" s="294" t="s">
        <v>3962</v>
      </c>
      <c r="G114" s="294" t="s">
        <v>3963</v>
      </c>
      <c r="H114" s="294">
        <v>410</v>
      </c>
      <c r="I114" s="337" t="s">
        <v>169</v>
      </c>
      <c r="J114" s="149">
        <v>0.36</v>
      </c>
      <c r="K114" s="149">
        <v>0.36</v>
      </c>
      <c r="L114" s="149"/>
      <c r="M114" s="149"/>
      <c r="N114" s="335">
        <v>1000</v>
      </c>
      <c r="O114" s="296">
        <v>1.994</v>
      </c>
      <c r="P114" s="345">
        <v>2.0259999999999998</v>
      </c>
      <c r="Q114" s="138" t="s">
        <v>3847</v>
      </c>
      <c r="R114" s="366">
        <v>2000</v>
      </c>
      <c r="S114" s="339">
        <v>350</v>
      </c>
      <c r="T114" s="299"/>
      <c r="U114" s="282"/>
      <c r="V114" s="282"/>
      <c r="W114" s="282"/>
      <c r="X114" s="340"/>
      <c r="Y114" s="340"/>
      <c r="Z114" s="340"/>
      <c r="AA114" s="340"/>
      <c r="AB114" s="340"/>
      <c r="AC114" s="341"/>
      <c r="AD114" s="342" t="s">
        <v>169</v>
      </c>
      <c r="AE114" s="342" t="s">
        <v>903</v>
      </c>
      <c r="AF114" s="284" t="s">
        <v>3953</v>
      </c>
      <c r="AG114" s="284">
        <v>44383</v>
      </c>
      <c r="AH114" s="284">
        <v>44411</v>
      </c>
      <c r="AI114" s="284"/>
      <c r="AJ114" s="334">
        <f t="shared" ca="1" si="14"/>
        <v>44963</v>
      </c>
      <c r="AK114" s="342">
        <f t="shared" ca="1" si="15"/>
        <v>552</v>
      </c>
      <c r="AL114" s="342"/>
      <c r="AM114" s="284" t="s">
        <v>3954</v>
      </c>
      <c r="AN114" s="284" t="s">
        <v>3964</v>
      </c>
      <c r="AO114" s="343">
        <v>1.994</v>
      </c>
      <c r="AP114" s="343">
        <v>2.0259999999999998</v>
      </c>
      <c r="AQ114" s="343">
        <v>1.994</v>
      </c>
      <c r="AR114" s="343">
        <v>2.0259999999999998</v>
      </c>
    </row>
    <row r="115" spans="1:48" s="331" customFormat="1" ht="18" customHeight="1" x14ac:dyDescent="0.35">
      <c r="A115" s="334"/>
      <c r="B115" s="335"/>
      <c r="C115" s="334"/>
      <c r="D115" s="294" t="str">
        <f t="shared" si="16"/>
        <v>FGS-LM410605/410-000XX1,994</v>
      </c>
      <c r="E115" s="294" t="s">
        <v>3950</v>
      </c>
      <c r="F115" s="294" t="s">
        <v>3860</v>
      </c>
      <c r="G115" s="294" t="s">
        <v>3965</v>
      </c>
      <c r="H115" s="294">
        <v>410</v>
      </c>
      <c r="I115" s="337" t="s">
        <v>169</v>
      </c>
      <c r="J115" s="149">
        <v>0.36</v>
      </c>
      <c r="K115" s="149">
        <v>0.36</v>
      </c>
      <c r="L115" s="149"/>
      <c r="M115" s="149"/>
      <c r="N115" s="335">
        <v>1000</v>
      </c>
      <c r="O115" s="296">
        <v>1.994</v>
      </c>
      <c r="P115" s="345">
        <v>2.0259999999999998</v>
      </c>
      <c r="Q115" s="138" t="s">
        <v>3847</v>
      </c>
      <c r="R115" s="366">
        <v>2000</v>
      </c>
      <c r="S115" s="339">
        <v>350</v>
      </c>
      <c r="T115" s="299"/>
      <c r="U115" s="282"/>
      <c r="V115" s="282"/>
      <c r="W115" s="282"/>
      <c r="X115" s="340"/>
      <c r="Y115" s="340"/>
      <c r="Z115" s="340"/>
      <c r="AA115" s="340"/>
      <c r="AB115" s="340"/>
      <c r="AC115" s="341"/>
      <c r="AD115" s="342" t="s">
        <v>169</v>
      </c>
      <c r="AE115" s="342" t="s">
        <v>903</v>
      </c>
      <c r="AF115" s="284" t="s">
        <v>3953</v>
      </c>
      <c r="AG115" s="284">
        <v>44383</v>
      </c>
      <c r="AH115" s="284">
        <v>44411</v>
      </c>
      <c r="AI115" s="284"/>
      <c r="AJ115" s="334">
        <f t="shared" ca="1" si="14"/>
        <v>44963</v>
      </c>
      <c r="AK115" s="342">
        <f t="shared" ca="1" si="15"/>
        <v>552</v>
      </c>
      <c r="AL115" s="342"/>
      <c r="AM115" s="284" t="s">
        <v>3954</v>
      </c>
      <c r="AN115" s="284" t="s">
        <v>3966</v>
      </c>
      <c r="AO115" s="343">
        <v>1.994</v>
      </c>
      <c r="AP115" s="343">
        <v>2.0259999999999998</v>
      </c>
      <c r="AQ115" s="343">
        <v>1.994</v>
      </c>
      <c r="AR115" s="343">
        <v>2.0259999999999998</v>
      </c>
    </row>
    <row r="116" spans="1:48" s="331" customFormat="1" ht="18" customHeight="1" x14ac:dyDescent="0.35">
      <c r="A116" s="334"/>
      <c r="B116" s="335"/>
      <c r="C116" s="334"/>
      <c r="D116" s="294" t="str">
        <f t="shared" si="16"/>
        <v>FGS-LM410606/410-000XX2,012</v>
      </c>
      <c r="E116" s="294" t="s">
        <v>3950</v>
      </c>
      <c r="F116" s="294" t="s">
        <v>3967</v>
      </c>
      <c r="G116" s="294" t="s">
        <v>3968</v>
      </c>
      <c r="H116" s="294">
        <v>410</v>
      </c>
      <c r="I116" s="337" t="s">
        <v>169</v>
      </c>
      <c r="J116" s="149">
        <v>0.36</v>
      </c>
      <c r="K116" s="149">
        <v>0.36</v>
      </c>
      <c r="L116" s="149"/>
      <c r="M116" s="149"/>
      <c r="N116" s="335">
        <v>1000</v>
      </c>
      <c r="O116" s="296">
        <v>2.012</v>
      </c>
      <c r="P116" s="345">
        <v>2.044</v>
      </c>
      <c r="Q116" s="138" t="s">
        <v>3847</v>
      </c>
      <c r="R116" s="366">
        <v>2000</v>
      </c>
      <c r="S116" s="339">
        <v>352</v>
      </c>
      <c r="T116" s="299"/>
      <c r="U116" s="282"/>
      <c r="V116" s="282"/>
      <c r="W116" s="282"/>
      <c r="X116" s="340"/>
      <c r="Y116" s="340"/>
      <c r="Z116" s="340"/>
      <c r="AA116" s="340"/>
      <c r="AB116" s="340"/>
      <c r="AC116" s="341"/>
      <c r="AD116" s="342" t="s">
        <v>169</v>
      </c>
      <c r="AE116" s="342" t="s">
        <v>903</v>
      </c>
      <c r="AF116" s="284" t="s">
        <v>3953</v>
      </c>
      <c r="AG116" s="284">
        <v>44383</v>
      </c>
      <c r="AH116" s="284">
        <v>44411</v>
      </c>
      <c r="AI116" s="284"/>
      <c r="AJ116" s="334">
        <f t="shared" ca="1" si="14"/>
        <v>44963</v>
      </c>
      <c r="AK116" s="342">
        <f t="shared" ca="1" si="15"/>
        <v>552</v>
      </c>
      <c r="AL116" s="342"/>
      <c r="AM116" s="284" t="s">
        <v>3954</v>
      </c>
      <c r="AN116" s="284" t="s">
        <v>3969</v>
      </c>
      <c r="AO116" s="343">
        <v>2.012</v>
      </c>
      <c r="AP116" s="343">
        <v>2.044</v>
      </c>
      <c r="AQ116" s="343">
        <v>2.012</v>
      </c>
      <c r="AR116" s="343">
        <v>2.044</v>
      </c>
    </row>
    <row r="117" spans="1:48" s="331" customFormat="1" ht="18" customHeight="1" x14ac:dyDescent="0.35">
      <c r="A117" s="334"/>
      <c r="B117" s="335"/>
      <c r="C117" s="334"/>
      <c r="D117" s="294" t="str">
        <f t="shared" si="16"/>
        <v>FGS-LM410607/410-000XX2,01</v>
      </c>
      <c r="E117" s="294" t="s">
        <v>3950</v>
      </c>
      <c r="F117" s="294" t="s">
        <v>3865</v>
      </c>
      <c r="G117" s="294" t="s">
        <v>3970</v>
      </c>
      <c r="H117" s="294">
        <v>410</v>
      </c>
      <c r="I117" s="337" t="s">
        <v>169</v>
      </c>
      <c r="J117" s="149">
        <v>0.36</v>
      </c>
      <c r="K117" s="149">
        <v>0.36</v>
      </c>
      <c r="L117" s="149"/>
      <c r="M117" s="149"/>
      <c r="N117" s="335">
        <v>1000</v>
      </c>
      <c r="O117" s="296">
        <v>2.0099999999999998</v>
      </c>
      <c r="P117" s="345">
        <v>2.0419999999999998</v>
      </c>
      <c r="Q117" s="138" t="s">
        <v>3847</v>
      </c>
      <c r="R117" s="366">
        <v>2000</v>
      </c>
      <c r="S117" s="339">
        <v>352</v>
      </c>
      <c r="T117" s="299"/>
      <c r="U117" s="282"/>
      <c r="V117" s="282"/>
      <c r="W117" s="282"/>
      <c r="X117" s="340"/>
      <c r="Y117" s="340"/>
      <c r="Z117" s="340"/>
      <c r="AA117" s="340"/>
      <c r="AB117" s="340"/>
      <c r="AC117" s="341"/>
      <c r="AD117" s="342" t="s">
        <v>169</v>
      </c>
      <c r="AE117" s="342" t="s">
        <v>903</v>
      </c>
      <c r="AF117" s="284" t="s">
        <v>3953</v>
      </c>
      <c r="AG117" s="284">
        <v>44383</v>
      </c>
      <c r="AH117" s="284">
        <v>44411</v>
      </c>
      <c r="AI117" s="284"/>
      <c r="AJ117" s="334">
        <f t="shared" ca="1" si="14"/>
        <v>44963</v>
      </c>
      <c r="AK117" s="342">
        <f t="shared" ca="1" si="15"/>
        <v>552</v>
      </c>
      <c r="AL117" s="342"/>
      <c r="AM117" s="284" t="s">
        <v>3954</v>
      </c>
      <c r="AN117" s="284" t="s">
        <v>3971</v>
      </c>
      <c r="AO117" s="343">
        <v>2.0099999999999998</v>
      </c>
      <c r="AP117" s="343">
        <v>2.0419999999999998</v>
      </c>
      <c r="AQ117" s="343">
        <v>2.0099999999999998</v>
      </c>
      <c r="AR117" s="343">
        <v>2.0419999999999998</v>
      </c>
    </row>
    <row r="118" spans="1:48" s="331" customFormat="1" ht="18" customHeight="1" x14ac:dyDescent="0.35">
      <c r="A118" s="334"/>
      <c r="B118" s="335"/>
      <c r="C118" s="334"/>
      <c r="D118" s="294" t="str">
        <f t="shared" si="16"/>
        <v>FGS-LM410608/410-000XX2,006</v>
      </c>
      <c r="E118" s="294" t="s">
        <v>3950</v>
      </c>
      <c r="F118" s="294" t="s">
        <v>3869</v>
      </c>
      <c r="G118" s="294" t="s">
        <v>3972</v>
      </c>
      <c r="H118" s="294">
        <v>410</v>
      </c>
      <c r="I118" s="337" t="s">
        <v>169</v>
      </c>
      <c r="J118" s="149">
        <v>0.36</v>
      </c>
      <c r="K118" s="149">
        <v>0.36</v>
      </c>
      <c r="L118" s="149"/>
      <c r="M118" s="149"/>
      <c r="N118" s="335">
        <v>1000</v>
      </c>
      <c r="O118" s="296">
        <v>2.0059999999999998</v>
      </c>
      <c r="P118" s="345">
        <v>2.0379999999999998</v>
      </c>
      <c r="Q118" s="138" t="s">
        <v>3847</v>
      </c>
      <c r="R118" s="366">
        <v>2000</v>
      </c>
      <c r="S118" s="339">
        <v>352</v>
      </c>
      <c r="T118" s="299"/>
      <c r="U118" s="282"/>
      <c r="V118" s="282"/>
      <c r="W118" s="282"/>
      <c r="X118" s="340"/>
      <c r="Y118" s="340"/>
      <c r="Z118" s="340"/>
      <c r="AA118" s="340"/>
      <c r="AB118" s="340"/>
      <c r="AC118" s="341"/>
      <c r="AD118" s="342" t="s">
        <v>169</v>
      </c>
      <c r="AE118" s="342" t="s">
        <v>903</v>
      </c>
      <c r="AF118" s="284" t="s">
        <v>3953</v>
      </c>
      <c r="AG118" s="284">
        <v>44383</v>
      </c>
      <c r="AH118" s="284">
        <v>44411</v>
      </c>
      <c r="AI118" s="284"/>
      <c r="AJ118" s="334">
        <f t="shared" ca="1" si="14"/>
        <v>44963</v>
      </c>
      <c r="AK118" s="342">
        <f t="shared" ca="1" si="15"/>
        <v>552</v>
      </c>
      <c r="AL118" s="342"/>
      <c r="AM118" s="284" t="s">
        <v>3954</v>
      </c>
      <c r="AN118" s="284" t="s">
        <v>3973</v>
      </c>
      <c r="AO118" s="343">
        <v>2.0059999999999998</v>
      </c>
      <c r="AP118" s="343">
        <v>2.0379999999999998</v>
      </c>
      <c r="AQ118" s="343">
        <v>2.0059999999999998</v>
      </c>
      <c r="AR118" s="343">
        <v>2.0379999999999998</v>
      </c>
    </row>
    <row r="119" spans="1:48" s="331" customFormat="1" ht="18" customHeight="1" x14ac:dyDescent="0.35">
      <c r="A119" s="334"/>
      <c r="B119" s="335"/>
      <c r="C119" s="334"/>
      <c r="D119" s="294" t="str">
        <f t="shared" si="16"/>
        <v>FGS-LM410609/410-000XX2,006</v>
      </c>
      <c r="E119" s="294" t="s">
        <v>3950</v>
      </c>
      <c r="F119" s="294" t="s">
        <v>3873</v>
      </c>
      <c r="G119" s="294" t="s">
        <v>3974</v>
      </c>
      <c r="H119" s="294">
        <v>410</v>
      </c>
      <c r="I119" s="337" t="s">
        <v>169</v>
      </c>
      <c r="J119" s="149">
        <v>0.36</v>
      </c>
      <c r="K119" s="149">
        <v>0.36</v>
      </c>
      <c r="L119" s="149"/>
      <c r="M119" s="149"/>
      <c r="N119" s="335">
        <v>1000</v>
      </c>
      <c r="O119" s="296">
        <v>2.0059999999999998</v>
      </c>
      <c r="P119" s="345">
        <v>2.0379999999999998</v>
      </c>
      <c r="Q119" s="138" t="s">
        <v>3847</v>
      </c>
      <c r="R119" s="366">
        <v>2000</v>
      </c>
      <c r="S119" s="339">
        <v>352</v>
      </c>
      <c r="T119" s="299"/>
      <c r="U119" s="282"/>
      <c r="V119" s="282"/>
      <c r="W119" s="282"/>
      <c r="X119" s="340"/>
      <c r="Y119" s="340"/>
      <c r="Z119" s="340"/>
      <c r="AA119" s="340"/>
      <c r="AB119" s="340"/>
      <c r="AC119" s="341"/>
      <c r="AD119" s="342" t="s">
        <v>169</v>
      </c>
      <c r="AE119" s="342" t="s">
        <v>903</v>
      </c>
      <c r="AF119" s="284" t="s">
        <v>3953</v>
      </c>
      <c r="AG119" s="284">
        <v>44383</v>
      </c>
      <c r="AH119" s="284">
        <v>44411</v>
      </c>
      <c r="AI119" s="284"/>
      <c r="AJ119" s="334">
        <f t="shared" ca="1" si="14"/>
        <v>44963</v>
      </c>
      <c r="AK119" s="342">
        <f t="shared" ca="1" si="15"/>
        <v>552</v>
      </c>
      <c r="AL119" s="342"/>
      <c r="AM119" s="284" t="s">
        <v>3954</v>
      </c>
      <c r="AN119" s="284" t="s">
        <v>3975</v>
      </c>
      <c r="AO119" s="343">
        <v>2.0059999999999998</v>
      </c>
      <c r="AP119" s="343">
        <v>2.0379999999999998</v>
      </c>
      <c r="AQ119" s="343">
        <v>2.0059999999999998</v>
      </c>
      <c r="AR119" s="343">
        <v>2.0379999999999998</v>
      </c>
    </row>
    <row r="120" spans="1:48" s="331" customFormat="1" ht="18" customHeight="1" x14ac:dyDescent="0.35">
      <c r="A120" s="334"/>
      <c r="B120" s="335"/>
      <c r="C120" s="334"/>
      <c r="D120" s="294" t="str">
        <f t="shared" si="16"/>
        <v>FGS-LM410610/410-000XX2,006</v>
      </c>
      <c r="E120" s="294" t="s">
        <v>3950</v>
      </c>
      <c r="F120" s="294" t="s">
        <v>3876</v>
      </c>
      <c r="G120" s="294" t="s">
        <v>3976</v>
      </c>
      <c r="H120" s="294">
        <v>410</v>
      </c>
      <c r="I120" s="337" t="s">
        <v>169</v>
      </c>
      <c r="J120" s="149">
        <v>0.36</v>
      </c>
      <c r="K120" s="149">
        <v>0.36</v>
      </c>
      <c r="L120" s="149"/>
      <c r="M120" s="149"/>
      <c r="N120" s="335">
        <v>1000</v>
      </c>
      <c r="O120" s="296">
        <v>2.0059999999999998</v>
      </c>
      <c r="P120" s="345">
        <v>2.0379999999999998</v>
      </c>
      <c r="Q120" s="138" t="s">
        <v>3847</v>
      </c>
      <c r="R120" s="366">
        <v>2000</v>
      </c>
      <c r="S120" s="339">
        <v>352</v>
      </c>
      <c r="T120" s="299"/>
      <c r="U120" s="282"/>
      <c r="V120" s="282"/>
      <c r="W120" s="282"/>
      <c r="X120" s="340"/>
      <c r="Y120" s="340"/>
      <c r="Z120" s="340"/>
      <c r="AA120" s="340"/>
      <c r="AB120" s="340"/>
      <c r="AC120" s="341"/>
      <c r="AD120" s="342" t="s">
        <v>169</v>
      </c>
      <c r="AE120" s="342" t="s">
        <v>903</v>
      </c>
      <c r="AF120" s="284" t="s">
        <v>3953</v>
      </c>
      <c r="AG120" s="284">
        <v>44383</v>
      </c>
      <c r="AH120" s="284">
        <v>44411</v>
      </c>
      <c r="AI120" s="284"/>
      <c r="AJ120" s="334">
        <f t="shared" ca="1" si="14"/>
        <v>44963</v>
      </c>
      <c r="AK120" s="342">
        <f t="shared" ca="1" si="15"/>
        <v>552</v>
      </c>
      <c r="AL120" s="342"/>
      <c r="AM120" s="284" t="s">
        <v>3954</v>
      </c>
      <c r="AN120" s="284" t="s">
        <v>3977</v>
      </c>
      <c r="AO120" s="343">
        <v>2.0059999999999998</v>
      </c>
      <c r="AP120" s="343">
        <v>2.0379999999999998</v>
      </c>
      <c r="AQ120" s="343">
        <v>2.0059999999999998</v>
      </c>
      <c r="AR120" s="343">
        <v>2.0379999999999998</v>
      </c>
    </row>
    <row r="121" spans="1:48" s="331" customFormat="1" ht="18" customHeight="1" x14ac:dyDescent="0.35">
      <c r="A121" s="334"/>
      <c r="B121" s="335">
        <f ca="1">IF(A121="",(IF(ISNUMBER(SUBSTITUTE(LEFT(RIGHT(E121,LEN(E121)-MIN(SEARCH({1,2,3,4,5,6,7,8,9,0},E121&amp;"1234567890"))+1),10),".","/"))=TRUE,AJ121-(SUBSTITUTE(LEFT(RIGHT(E121,LEN(E121)-MIN(SEARCH({1,2,3,4,5,6,7,8,9,0},E121&amp;"1234567890"))+1),10),".","/")),IF((SUBSTITUTE(LEFT(RIGHT(E121,LEN(E121)-MIN(SEARCH({1,2,3,4,5,6,7,8,9,0},E121&amp;"1234567890"))+1),10),".","/"))="","",(AJ121)-(MID(RIGHT((SUBSTITUTE(LEFT(RIGHT(E121,LEN(E121)-MIN(SEARCH({1,2,3,4,5,6,7,8,9,0},E121&amp;"1234567890"))+1),10),".","/")),10),4,2)&amp;"/"&amp;LEFT((RIGHT((SUBSTITUTE(LEFT(RIGHT(E121,LEN(E121)-MIN(SEARCH({1,2,3,4,5,6,7,8,9,0},E121&amp;"1234567890"))+1),10),".","/")),10)),2)&amp;"/"&amp;RIGHT((SUBSTITUTE(LEFT(RIGHT(E121,LEN(E121)-MIN(SEARCH({1,2,3,4,5,6,7,8,9,0},E121&amp;"1234567890"))+1),10),".","/")),4))))),(AJ121-A121))</f>
        <v>516</v>
      </c>
      <c r="C121" s="334"/>
      <c r="D121" s="294" t="str">
        <f t="shared" si="16"/>
        <v>FGS-LM410646/410-000XX1,928</v>
      </c>
      <c r="E121" s="294" t="s">
        <v>3978</v>
      </c>
      <c r="F121" s="294" t="s">
        <v>3979</v>
      </c>
      <c r="G121" s="294" t="s">
        <v>3980</v>
      </c>
      <c r="H121" s="294">
        <v>410</v>
      </c>
      <c r="I121" s="337" t="s">
        <v>169</v>
      </c>
      <c r="J121" s="149">
        <v>0.26</v>
      </c>
      <c r="K121" s="149">
        <v>0.26</v>
      </c>
      <c r="L121" s="149"/>
      <c r="M121" s="149"/>
      <c r="N121" s="335">
        <v>1000</v>
      </c>
      <c r="O121" s="296">
        <v>1.9279999999999999</v>
      </c>
      <c r="P121" s="345">
        <v>1.964</v>
      </c>
      <c r="Q121" s="138" t="s">
        <v>3847</v>
      </c>
      <c r="R121" s="138">
        <v>2000</v>
      </c>
      <c r="S121" s="339">
        <v>480</v>
      </c>
      <c r="T121" s="299"/>
      <c r="U121" s="282"/>
      <c r="V121" s="282"/>
      <c r="W121" s="282"/>
      <c r="X121" s="340"/>
      <c r="Y121" s="340"/>
      <c r="Z121" s="340"/>
      <c r="AA121" s="340"/>
      <c r="AB121" s="340"/>
      <c r="AC121" s="341"/>
      <c r="AD121" s="342" t="s">
        <v>169</v>
      </c>
      <c r="AE121" s="342" t="s">
        <v>903</v>
      </c>
      <c r="AF121" s="284" t="s">
        <v>3981</v>
      </c>
      <c r="AG121" s="284">
        <v>44392</v>
      </c>
      <c r="AH121" s="284">
        <v>44417</v>
      </c>
      <c r="AI121" s="284"/>
      <c r="AJ121" s="334">
        <f t="shared" ca="1" si="14"/>
        <v>44963</v>
      </c>
      <c r="AK121" s="342">
        <f t="shared" ca="1" si="15"/>
        <v>546</v>
      </c>
      <c r="AL121" s="342"/>
      <c r="AM121" s="284" t="s">
        <v>3982</v>
      </c>
      <c r="AN121" s="284" t="s">
        <v>3983</v>
      </c>
      <c r="AO121" s="343">
        <v>1.9279999999999999</v>
      </c>
      <c r="AP121" s="343">
        <v>1.964</v>
      </c>
      <c r="AQ121" s="343">
        <v>1.9279999999999999</v>
      </c>
      <c r="AR121" s="343">
        <v>1.964</v>
      </c>
    </row>
    <row r="122" spans="1:48" s="331" customFormat="1" ht="20.25" customHeight="1" x14ac:dyDescent="0.35">
      <c r="A122" s="320"/>
      <c r="B122" s="319"/>
      <c r="C122" s="320"/>
      <c r="D122" s="302"/>
      <c r="E122" s="302"/>
      <c r="F122" s="302"/>
      <c r="G122" s="302"/>
      <c r="H122" s="302"/>
      <c r="I122" s="260"/>
      <c r="J122" s="321"/>
      <c r="K122" s="321"/>
      <c r="L122" s="321"/>
      <c r="M122" s="321"/>
      <c r="N122" s="319"/>
      <c r="O122" s="322">
        <f>SUM(O80:O121)</f>
        <v>82.601190000000031</v>
      </c>
      <c r="P122" s="323"/>
      <c r="Q122" s="324"/>
      <c r="R122" s="325"/>
      <c r="S122" s="326"/>
      <c r="T122" s="327"/>
      <c r="U122" s="328"/>
      <c r="V122" s="328"/>
      <c r="W122" s="328"/>
      <c r="X122" s="329"/>
      <c r="Y122" s="329"/>
      <c r="Z122" s="329"/>
      <c r="AA122" s="329"/>
      <c r="AB122" s="329"/>
      <c r="AC122" s="330"/>
      <c r="AF122" s="332"/>
      <c r="AG122" s="332"/>
      <c r="AH122" s="332"/>
      <c r="AI122" s="332"/>
      <c r="AJ122" s="320"/>
      <c r="AM122" s="332"/>
      <c r="AN122" s="332"/>
      <c r="AO122" s="333"/>
      <c r="AP122" s="333"/>
      <c r="AQ122" s="333"/>
      <c r="AR122" s="333"/>
    </row>
    <row r="123" spans="1:48" s="331" customFormat="1" ht="20.25" customHeight="1" x14ac:dyDescent="0.35">
      <c r="A123" s="320"/>
      <c r="B123" s="319"/>
      <c r="C123" s="320"/>
      <c r="D123" s="302"/>
      <c r="E123" s="302"/>
      <c r="F123" s="302"/>
      <c r="G123" s="302"/>
      <c r="H123" s="302"/>
      <c r="I123" s="260"/>
      <c r="J123" s="321"/>
      <c r="K123" s="321"/>
      <c r="L123" s="321"/>
      <c r="M123" s="321"/>
      <c r="N123" s="319"/>
      <c r="O123" s="322"/>
      <c r="P123" s="323"/>
      <c r="Q123" s="324"/>
      <c r="R123" s="325"/>
      <c r="S123" s="326"/>
      <c r="T123" s="327"/>
      <c r="U123" s="328"/>
      <c r="V123" s="328"/>
      <c r="W123" s="328"/>
      <c r="X123" s="329"/>
      <c r="Y123" s="329"/>
      <c r="Z123" s="329"/>
      <c r="AA123" s="329"/>
      <c r="AB123" s="329"/>
      <c r="AC123" s="330"/>
      <c r="AF123" s="332"/>
      <c r="AG123" s="332"/>
      <c r="AH123" s="332"/>
      <c r="AI123" s="332"/>
      <c r="AJ123" s="320"/>
      <c r="AM123" s="332"/>
      <c r="AN123" s="332"/>
      <c r="AO123" s="333"/>
      <c r="AP123" s="333"/>
      <c r="AQ123" s="333"/>
      <c r="AR123" s="333"/>
    </row>
    <row r="124" spans="1:48" s="331" customFormat="1" ht="18" customHeight="1" x14ac:dyDescent="0.35">
      <c r="A124" s="320"/>
      <c r="B124" s="319"/>
      <c r="C124" s="320"/>
      <c r="D124" s="302"/>
      <c r="E124" s="302"/>
      <c r="F124" s="302"/>
      <c r="G124" s="302"/>
      <c r="H124" s="302"/>
      <c r="I124" s="260"/>
      <c r="J124" s="321"/>
      <c r="K124" s="321"/>
      <c r="L124" s="321"/>
      <c r="M124" s="321"/>
      <c r="N124" s="319"/>
      <c r="O124" s="353"/>
      <c r="P124" s="323"/>
      <c r="Q124" s="301"/>
      <c r="R124" s="301"/>
      <c r="S124" s="326"/>
      <c r="T124" s="327"/>
      <c r="U124" s="328"/>
      <c r="V124" s="328"/>
      <c r="W124" s="328"/>
      <c r="X124" s="329"/>
      <c r="Y124" s="329"/>
      <c r="Z124" s="329"/>
      <c r="AA124" s="329"/>
      <c r="AB124" s="329"/>
      <c r="AC124" s="330"/>
      <c r="AF124" s="332"/>
      <c r="AG124" s="332"/>
      <c r="AH124" s="332"/>
      <c r="AI124" s="332"/>
      <c r="AJ124" s="320"/>
      <c r="AM124" s="332"/>
      <c r="AN124" s="332"/>
      <c r="AO124" s="333"/>
      <c r="AP124" s="333"/>
      <c r="AQ124" s="333"/>
      <c r="AR124" s="333"/>
    </row>
    <row r="125" spans="1:48" s="331" customFormat="1" ht="18" customHeight="1" x14ac:dyDescent="0.35">
      <c r="A125" s="334"/>
      <c r="B125" s="335"/>
      <c r="C125" s="334"/>
      <c r="D125" s="294" t="str">
        <f t="shared" ref="D125:D133" si="17">IF(Q125="MULTI","FGM","FGC")&amp;"-"&amp;H125&amp;"/"&amp;I125&amp;"-"&amp;TEXT(K125,"0.00")&amp;"X"&amp;IF(Q125="MULTI",N125,Q125)</f>
        <v>FGC-304/304L/2B-002X1250</v>
      </c>
      <c r="E125" s="294" t="s">
        <v>3984</v>
      </c>
      <c r="F125" s="126" t="s">
        <v>3985</v>
      </c>
      <c r="G125" s="294" t="s">
        <v>3986</v>
      </c>
      <c r="H125" s="294" t="s">
        <v>377</v>
      </c>
      <c r="I125" s="337" t="s">
        <v>116</v>
      </c>
      <c r="J125" s="149">
        <v>2</v>
      </c>
      <c r="K125" s="149">
        <v>2</v>
      </c>
      <c r="L125" s="149"/>
      <c r="M125" s="149"/>
      <c r="N125" s="335">
        <v>1250</v>
      </c>
      <c r="O125" s="296">
        <v>10.615</v>
      </c>
      <c r="P125" s="345"/>
      <c r="Q125" s="138">
        <v>1250</v>
      </c>
      <c r="R125" s="138"/>
      <c r="S125" s="339"/>
      <c r="T125" s="299"/>
      <c r="U125" s="282"/>
      <c r="V125" s="282"/>
      <c r="W125" s="282"/>
      <c r="X125" s="340"/>
      <c r="Y125" s="340"/>
      <c r="Z125" s="340"/>
      <c r="AA125" s="340"/>
      <c r="AB125" s="340"/>
      <c r="AC125" s="341"/>
      <c r="AD125" s="342" t="s">
        <v>116</v>
      </c>
      <c r="AE125" s="126" t="s">
        <v>3987</v>
      </c>
      <c r="AF125" s="284" t="s">
        <v>3988</v>
      </c>
      <c r="AG125" s="284"/>
      <c r="AH125" s="284">
        <v>44431</v>
      </c>
      <c r="AI125" s="284"/>
      <c r="AJ125" s="334"/>
      <c r="AK125" s="342"/>
      <c r="AL125" s="342"/>
      <c r="AM125" s="284"/>
      <c r="AN125" s="284" t="s">
        <v>3989</v>
      </c>
      <c r="AO125" s="343">
        <v>10.615</v>
      </c>
      <c r="AP125" s="343">
        <v>10.672000000000001</v>
      </c>
      <c r="AQ125" s="343">
        <v>10.696999999999999</v>
      </c>
      <c r="AR125" s="343">
        <v>10.702</v>
      </c>
      <c r="AV125" s="331" t="s">
        <v>136</v>
      </c>
    </row>
    <row r="126" spans="1:48" s="331" customFormat="1" ht="18" customHeight="1" x14ac:dyDescent="0.35">
      <c r="A126" s="334"/>
      <c r="B126" s="335"/>
      <c r="C126" s="334"/>
      <c r="D126" s="294" t="str">
        <f t="shared" si="17"/>
        <v>FGC-304/304L/2B-002X1250</v>
      </c>
      <c r="E126" s="294" t="s">
        <v>3984</v>
      </c>
      <c r="F126" s="126" t="s">
        <v>3990</v>
      </c>
      <c r="G126" s="294" t="s">
        <v>3991</v>
      </c>
      <c r="H126" s="294" t="s">
        <v>377</v>
      </c>
      <c r="I126" s="337" t="s">
        <v>116</v>
      </c>
      <c r="J126" s="149">
        <v>2</v>
      </c>
      <c r="K126" s="149">
        <v>2</v>
      </c>
      <c r="L126" s="149"/>
      <c r="M126" s="149"/>
      <c r="N126" s="335">
        <v>1250</v>
      </c>
      <c r="O126" s="296">
        <v>10.49</v>
      </c>
      <c r="P126" s="345"/>
      <c r="Q126" s="138">
        <v>1250</v>
      </c>
      <c r="R126" s="138"/>
      <c r="S126" s="339"/>
      <c r="T126" s="299"/>
      <c r="U126" s="282"/>
      <c r="V126" s="282"/>
      <c r="W126" s="282"/>
      <c r="X126" s="340"/>
      <c r="Y126" s="340"/>
      <c r="Z126" s="340"/>
      <c r="AA126" s="340"/>
      <c r="AB126" s="340"/>
      <c r="AC126" s="341"/>
      <c r="AD126" s="342" t="s">
        <v>116</v>
      </c>
      <c r="AE126" s="126" t="s">
        <v>3987</v>
      </c>
      <c r="AF126" s="284" t="s">
        <v>3988</v>
      </c>
      <c r="AG126" s="284"/>
      <c r="AH126" s="284">
        <v>44431</v>
      </c>
      <c r="AI126" s="284"/>
      <c r="AJ126" s="334"/>
      <c r="AK126" s="342"/>
      <c r="AL126" s="342"/>
      <c r="AM126" s="284"/>
      <c r="AN126" s="284" t="s">
        <v>3992</v>
      </c>
      <c r="AO126" s="343">
        <v>10.49</v>
      </c>
      <c r="AP126" s="343">
        <v>10.548</v>
      </c>
      <c r="AQ126" s="343">
        <v>10.572999999999999</v>
      </c>
      <c r="AR126" s="343">
        <v>10.577999999999999</v>
      </c>
      <c r="AV126" s="331" t="s">
        <v>136</v>
      </c>
    </row>
    <row r="127" spans="1:48" s="331" customFormat="1" ht="18" customHeight="1" x14ac:dyDescent="0.35">
      <c r="A127" s="334"/>
      <c r="B127" s="335"/>
      <c r="C127" s="334"/>
      <c r="D127" s="294" t="str">
        <f t="shared" si="17"/>
        <v>FGC-304/304L/2B-002X1250</v>
      </c>
      <c r="E127" s="294" t="s">
        <v>3984</v>
      </c>
      <c r="F127" s="126" t="s">
        <v>3993</v>
      </c>
      <c r="G127" s="294" t="s">
        <v>3994</v>
      </c>
      <c r="H127" s="294" t="s">
        <v>377</v>
      </c>
      <c r="I127" s="337" t="s">
        <v>116</v>
      </c>
      <c r="J127" s="149">
        <v>2</v>
      </c>
      <c r="K127" s="149">
        <v>2</v>
      </c>
      <c r="L127" s="149"/>
      <c r="M127" s="149"/>
      <c r="N127" s="335">
        <v>1250</v>
      </c>
      <c r="O127" s="296">
        <v>10.555999999999999</v>
      </c>
      <c r="P127" s="345"/>
      <c r="Q127" s="138">
        <v>1250</v>
      </c>
      <c r="R127" s="138"/>
      <c r="S127" s="339"/>
      <c r="T127" s="299"/>
      <c r="U127" s="282"/>
      <c r="V127" s="282"/>
      <c r="W127" s="282"/>
      <c r="X127" s="340"/>
      <c r="Y127" s="340"/>
      <c r="Z127" s="340"/>
      <c r="AA127" s="340"/>
      <c r="AB127" s="340"/>
      <c r="AC127" s="341"/>
      <c r="AD127" s="342" t="s">
        <v>116</v>
      </c>
      <c r="AE127" s="126" t="s">
        <v>3987</v>
      </c>
      <c r="AF127" s="284" t="s">
        <v>3988</v>
      </c>
      <c r="AG127" s="284"/>
      <c r="AH127" s="284">
        <v>44431</v>
      </c>
      <c r="AI127" s="284"/>
      <c r="AJ127" s="334"/>
      <c r="AK127" s="342"/>
      <c r="AL127" s="342"/>
      <c r="AM127" s="284"/>
      <c r="AN127" s="284" t="s">
        <v>3992</v>
      </c>
      <c r="AO127" s="343">
        <v>10.555999999999999</v>
      </c>
      <c r="AP127" s="343">
        <v>10.614000000000001</v>
      </c>
      <c r="AQ127" s="343">
        <v>10.638999999999999</v>
      </c>
      <c r="AR127" s="343">
        <v>10.644</v>
      </c>
      <c r="AV127" s="331" t="s">
        <v>136</v>
      </c>
    </row>
    <row r="128" spans="1:48" s="331" customFormat="1" ht="18" customHeight="1" x14ac:dyDescent="0.35">
      <c r="A128" s="334"/>
      <c r="B128" s="335"/>
      <c r="C128" s="334"/>
      <c r="D128" s="294" t="str">
        <f t="shared" si="17"/>
        <v>FGC-304/304L/2B-002X1250</v>
      </c>
      <c r="E128" s="294" t="s">
        <v>3984</v>
      </c>
      <c r="F128" s="126" t="s">
        <v>3995</v>
      </c>
      <c r="G128" s="294" t="s">
        <v>3996</v>
      </c>
      <c r="H128" s="294" t="s">
        <v>377</v>
      </c>
      <c r="I128" s="337" t="s">
        <v>116</v>
      </c>
      <c r="J128" s="149">
        <v>2</v>
      </c>
      <c r="K128" s="149">
        <v>2</v>
      </c>
      <c r="L128" s="149"/>
      <c r="M128" s="149"/>
      <c r="N128" s="335">
        <v>1250</v>
      </c>
      <c r="O128" s="296">
        <v>10.49</v>
      </c>
      <c r="P128" s="345"/>
      <c r="Q128" s="138">
        <v>1250</v>
      </c>
      <c r="R128" s="138"/>
      <c r="S128" s="339"/>
      <c r="T128" s="299"/>
      <c r="U128" s="282"/>
      <c r="V128" s="282"/>
      <c r="W128" s="282"/>
      <c r="X128" s="340"/>
      <c r="Y128" s="340"/>
      <c r="Z128" s="340"/>
      <c r="AA128" s="340"/>
      <c r="AB128" s="340"/>
      <c r="AC128" s="341"/>
      <c r="AD128" s="342" t="s">
        <v>116</v>
      </c>
      <c r="AE128" s="126" t="s">
        <v>3987</v>
      </c>
      <c r="AF128" s="284" t="s">
        <v>3988</v>
      </c>
      <c r="AG128" s="284"/>
      <c r="AH128" s="284">
        <v>44431</v>
      </c>
      <c r="AI128" s="284"/>
      <c r="AJ128" s="334"/>
      <c r="AK128" s="342"/>
      <c r="AL128" s="342"/>
      <c r="AM128" s="284"/>
      <c r="AN128" s="284" t="s">
        <v>3997</v>
      </c>
      <c r="AO128" s="343">
        <v>10.49</v>
      </c>
      <c r="AP128" s="343">
        <v>10.541</v>
      </c>
      <c r="AQ128" s="343">
        <v>10.565999999999999</v>
      </c>
      <c r="AR128" s="343">
        <v>10.571</v>
      </c>
      <c r="AV128" s="331" t="s">
        <v>136</v>
      </c>
    </row>
    <row r="129" spans="1:61" s="331" customFormat="1" ht="18" customHeight="1" x14ac:dyDescent="0.35">
      <c r="A129" s="334"/>
      <c r="B129" s="335"/>
      <c r="C129" s="334"/>
      <c r="D129" s="294" t="str">
        <f t="shared" si="17"/>
        <v>FGC-304/304L/2B-002X1250</v>
      </c>
      <c r="E129" s="294" t="s">
        <v>3984</v>
      </c>
      <c r="F129" s="126" t="s">
        <v>3998</v>
      </c>
      <c r="G129" s="294" t="s">
        <v>3999</v>
      </c>
      <c r="H129" s="294" t="s">
        <v>377</v>
      </c>
      <c r="I129" s="337" t="s">
        <v>116</v>
      </c>
      <c r="J129" s="149">
        <v>2</v>
      </c>
      <c r="K129" s="149">
        <v>2</v>
      </c>
      <c r="L129" s="149"/>
      <c r="M129" s="149"/>
      <c r="N129" s="335">
        <v>1250</v>
      </c>
      <c r="O129" s="296">
        <v>10.417999999999999</v>
      </c>
      <c r="P129" s="345"/>
      <c r="Q129" s="138">
        <v>1250</v>
      </c>
      <c r="R129" s="138"/>
      <c r="S129" s="339"/>
      <c r="T129" s="299"/>
      <c r="U129" s="282"/>
      <c r="V129" s="282"/>
      <c r="W129" s="282"/>
      <c r="X129" s="340"/>
      <c r="Y129" s="340"/>
      <c r="Z129" s="340"/>
      <c r="AA129" s="340"/>
      <c r="AB129" s="340"/>
      <c r="AC129" s="341"/>
      <c r="AD129" s="342" t="s">
        <v>116</v>
      </c>
      <c r="AE129" s="126" t="s">
        <v>3987</v>
      </c>
      <c r="AF129" s="284" t="s">
        <v>3988</v>
      </c>
      <c r="AG129" s="284"/>
      <c r="AH129" s="284">
        <v>44431</v>
      </c>
      <c r="AI129" s="284"/>
      <c r="AJ129" s="334"/>
      <c r="AK129" s="342"/>
      <c r="AL129" s="342"/>
      <c r="AM129" s="284"/>
      <c r="AN129" s="284" t="s">
        <v>3997</v>
      </c>
      <c r="AO129" s="343">
        <v>10.417999999999999</v>
      </c>
      <c r="AP129" s="343">
        <v>10.471</v>
      </c>
      <c r="AQ129" s="343">
        <v>10.495999999999999</v>
      </c>
      <c r="AR129" s="343">
        <v>10.500999999999999</v>
      </c>
      <c r="AV129" s="331" t="s">
        <v>136</v>
      </c>
    </row>
    <row r="130" spans="1:61" s="331" customFormat="1" ht="18" customHeight="1" x14ac:dyDescent="0.35">
      <c r="A130" s="334"/>
      <c r="B130" s="335"/>
      <c r="C130" s="334"/>
      <c r="D130" s="294" t="str">
        <f t="shared" si="17"/>
        <v>FGC-304/304L/2B-002X1250</v>
      </c>
      <c r="E130" s="294" t="s">
        <v>3984</v>
      </c>
      <c r="F130" s="126" t="s">
        <v>4000</v>
      </c>
      <c r="G130" s="294" t="s">
        <v>4001</v>
      </c>
      <c r="H130" s="294" t="s">
        <v>377</v>
      </c>
      <c r="I130" s="337" t="s">
        <v>116</v>
      </c>
      <c r="J130" s="149">
        <v>2</v>
      </c>
      <c r="K130" s="149">
        <v>2</v>
      </c>
      <c r="L130" s="149"/>
      <c r="M130" s="149"/>
      <c r="N130" s="335">
        <v>1250</v>
      </c>
      <c r="O130" s="296">
        <v>10.503</v>
      </c>
      <c r="P130" s="345"/>
      <c r="Q130" s="138">
        <v>1250</v>
      </c>
      <c r="R130" s="138"/>
      <c r="S130" s="339"/>
      <c r="T130" s="299"/>
      <c r="U130" s="282"/>
      <c r="V130" s="282"/>
      <c r="W130" s="282"/>
      <c r="X130" s="340"/>
      <c r="Y130" s="340"/>
      <c r="Z130" s="340"/>
      <c r="AA130" s="340"/>
      <c r="AB130" s="340"/>
      <c r="AC130" s="341"/>
      <c r="AD130" s="342" t="s">
        <v>116</v>
      </c>
      <c r="AE130" s="126" t="s">
        <v>3987</v>
      </c>
      <c r="AF130" s="284" t="s">
        <v>3988</v>
      </c>
      <c r="AG130" s="284"/>
      <c r="AH130" s="284">
        <v>44431</v>
      </c>
      <c r="AI130" s="284"/>
      <c r="AJ130" s="334"/>
      <c r="AK130" s="342"/>
      <c r="AL130" s="342"/>
      <c r="AM130" s="284"/>
      <c r="AN130" s="284" t="s">
        <v>4002</v>
      </c>
      <c r="AO130" s="343">
        <v>10.503</v>
      </c>
      <c r="AP130" s="343">
        <v>10.558</v>
      </c>
      <c r="AQ130" s="343">
        <v>10.582999999999998</v>
      </c>
      <c r="AR130" s="343">
        <v>10.587999999999999</v>
      </c>
      <c r="AV130" s="331" t="s">
        <v>136</v>
      </c>
    </row>
    <row r="131" spans="1:61" s="331" customFormat="1" ht="18" customHeight="1" x14ac:dyDescent="0.35">
      <c r="A131" s="334"/>
      <c r="B131" s="335"/>
      <c r="C131" s="334"/>
      <c r="D131" s="294" t="str">
        <f t="shared" si="17"/>
        <v>FGC-304L/2B-002X1250</v>
      </c>
      <c r="E131" s="294" t="s">
        <v>4003</v>
      </c>
      <c r="F131" s="294" t="s">
        <v>4004</v>
      </c>
      <c r="G131" s="294" t="s">
        <v>4005</v>
      </c>
      <c r="H131" s="294" t="s">
        <v>230</v>
      </c>
      <c r="I131" s="337" t="s">
        <v>116</v>
      </c>
      <c r="J131" s="149">
        <v>2</v>
      </c>
      <c r="K131" s="149">
        <v>2</v>
      </c>
      <c r="L131" s="149"/>
      <c r="M131" s="149"/>
      <c r="N131" s="335">
        <v>1250</v>
      </c>
      <c r="O131" s="296">
        <v>10.47</v>
      </c>
      <c r="P131" s="345"/>
      <c r="Q131" s="138">
        <v>1250</v>
      </c>
      <c r="R131" s="138"/>
      <c r="S131" s="339"/>
      <c r="T131" s="299"/>
      <c r="U131" s="282"/>
      <c r="V131" s="282"/>
      <c r="W131" s="282"/>
      <c r="X131" s="340"/>
      <c r="Y131" s="340"/>
      <c r="Z131" s="340"/>
      <c r="AA131" s="340"/>
      <c r="AB131" s="340"/>
      <c r="AC131" s="341"/>
      <c r="AD131" s="342" t="s">
        <v>116</v>
      </c>
      <c r="AE131" s="342" t="s">
        <v>3987</v>
      </c>
      <c r="AF131" s="284" t="s">
        <v>3988</v>
      </c>
      <c r="AG131" s="284"/>
      <c r="AH131" s="284">
        <v>44466</v>
      </c>
      <c r="AI131" s="284"/>
      <c r="AJ131" s="334">
        <f ca="1">TODAY()</f>
        <v>44963</v>
      </c>
      <c r="AK131" s="342">
        <f ca="1">IF(AH131&lt;&gt;0,AJ131-AH131,0)</f>
        <v>497</v>
      </c>
      <c r="AL131" s="342"/>
      <c r="AM131" s="284"/>
      <c r="AN131" s="284" t="s">
        <v>4006</v>
      </c>
      <c r="AO131" s="343">
        <v>10.47</v>
      </c>
      <c r="AP131" s="343">
        <v>10.525</v>
      </c>
      <c r="AQ131" s="343">
        <v>10.549999999999999</v>
      </c>
      <c r="AR131" s="343">
        <v>10.555</v>
      </c>
      <c r="AV131" s="331" t="s">
        <v>136</v>
      </c>
    </row>
    <row r="132" spans="1:61" s="331" customFormat="1" ht="18" customHeight="1" x14ac:dyDescent="0.35">
      <c r="A132" s="334"/>
      <c r="B132" s="335"/>
      <c r="C132" s="334"/>
      <c r="D132" s="294" t="str">
        <f t="shared" si="17"/>
        <v>FGC-304L/2B-002X1250</v>
      </c>
      <c r="E132" s="294" t="s">
        <v>4003</v>
      </c>
      <c r="F132" s="294" t="s">
        <v>4007</v>
      </c>
      <c r="G132" s="294" t="s">
        <v>4008</v>
      </c>
      <c r="H132" s="294" t="s">
        <v>230</v>
      </c>
      <c r="I132" s="337" t="s">
        <v>116</v>
      </c>
      <c r="J132" s="149">
        <v>2</v>
      </c>
      <c r="K132" s="149">
        <v>2</v>
      </c>
      <c r="L132" s="149"/>
      <c r="M132" s="149"/>
      <c r="N132" s="335">
        <v>1250</v>
      </c>
      <c r="O132" s="296">
        <v>10.513999999999999</v>
      </c>
      <c r="P132" s="345"/>
      <c r="Q132" s="138">
        <v>1250</v>
      </c>
      <c r="R132" s="138"/>
      <c r="S132" s="339"/>
      <c r="T132" s="299"/>
      <c r="U132" s="282"/>
      <c r="V132" s="282"/>
      <c r="W132" s="282"/>
      <c r="X132" s="340"/>
      <c r="Y132" s="340"/>
      <c r="Z132" s="340"/>
      <c r="AA132" s="340"/>
      <c r="AB132" s="340"/>
      <c r="AC132" s="341"/>
      <c r="AD132" s="342" t="s">
        <v>116</v>
      </c>
      <c r="AE132" s="342" t="s">
        <v>3987</v>
      </c>
      <c r="AF132" s="284" t="s">
        <v>3988</v>
      </c>
      <c r="AG132" s="284"/>
      <c r="AH132" s="284">
        <v>44466</v>
      </c>
      <c r="AI132" s="284"/>
      <c r="AJ132" s="334">
        <f ca="1">TODAY()</f>
        <v>44963</v>
      </c>
      <c r="AK132" s="342">
        <f ca="1">IF(AH132&lt;&gt;0,AJ132-AH132,0)</f>
        <v>497</v>
      </c>
      <c r="AL132" s="342"/>
      <c r="AM132" s="284"/>
      <c r="AN132" s="284" t="s">
        <v>4006</v>
      </c>
      <c r="AO132" s="343">
        <v>10.513999999999999</v>
      </c>
      <c r="AP132" s="343">
        <v>10.568</v>
      </c>
      <c r="AQ132" s="343">
        <v>10.592999999999998</v>
      </c>
      <c r="AR132" s="343">
        <v>10.597999999999999</v>
      </c>
      <c r="AV132" s="331" t="s">
        <v>136</v>
      </c>
    </row>
    <row r="133" spans="1:61" s="331" customFormat="1" ht="18" customHeight="1" x14ac:dyDescent="0.35">
      <c r="A133" s="334"/>
      <c r="B133" s="335" t="e">
        <f ca="1">IF(A133="",(IF(ISNUMBER(SUBSTITUTE(LEFT(RIGHT(E133,LEN(E133)-MIN(SEARCH({1,2,3,4,5,6,7,8,9,0},E133&amp;"1234567890"))+1),10),".","/"))=TRUE,AJ133-(SUBSTITUTE(LEFT(RIGHT(E133,LEN(E133)-MIN(SEARCH({1,2,3,4,5,6,7,8,9,0},E133&amp;"1234567890"))+1),10),".","/")),IF((SUBSTITUTE(LEFT(RIGHT(E133,LEN(E133)-MIN(SEARCH({1,2,3,4,5,6,7,8,9,0},E133&amp;"1234567890"))+1),10),".","/"))="","",(AJ133)-(MID(RIGHT((SUBSTITUTE(LEFT(RIGHT(E133,LEN(E133)-MIN(SEARCH({1,2,3,4,5,6,7,8,9,0},E133&amp;"1234567890"))+1),10),".","/")),10),4,2)&amp;"/"&amp;LEFT((RIGHT((SUBSTITUTE(LEFT(RIGHT(E133,LEN(E133)-MIN(SEARCH({1,2,3,4,5,6,7,8,9,0},E133&amp;"1234567890"))+1),10),".","/")),10)),2)&amp;"/"&amp;RIGHT((SUBSTITUTE(LEFT(RIGHT(E133,LEN(E133)-MIN(SEARCH({1,2,3,4,5,6,7,8,9,0},E133&amp;"1234567890"))+1),10),".","/")),4))))),(AJ133-A133))</f>
        <v>#VALUE!</v>
      </c>
      <c r="C133" s="334"/>
      <c r="D133" s="294" t="str">
        <f t="shared" si="17"/>
        <v>FGC-304L/2B-002X1219</v>
      </c>
      <c r="E133" s="294" t="s">
        <v>4009</v>
      </c>
      <c r="F133" s="294" t="s">
        <v>4010</v>
      </c>
      <c r="G133" s="294" t="s">
        <v>4011</v>
      </c>
      <c r="H133" s="294" t="s">
        <v>230</v>
      </c>
      <c r="I133" s="337" t="s">
        <v>116</v>
      </c>
      <c r="J133" s="149">
        <v>2</v>
      </c>
      <c r="K133" s="149">
        <v>2</v>
      </c>
      <c r="L133" s="149"/>
      <c r="M133" s="149"/>
      <c r="N133" s="335">
        <v>1219</v>
      </c>
      <c r="O133" s="367">
        <v>13.968</v>
      </c>
      <c r="P133" s="345"/>
      <c r="Q133" s="138">
        <v>1219</v>
      </c>
      <c r="R133" s="138"/>
      <c r="S133" s="339"/>
      <c r="T133" s="299"/>
      <c r="U133" s="282"/>
      <c r="V133" s="282" t="s">
        <v>4012</v>
      </c>
      <c r="W133" s="138"/>
      <c r="X133" s="340"/>
      <c r="Y133" s="340"/>
      <c r="Z133" s="340"/>
      <c r="AA133" s="340"/>
      <c r="AB133" s="340"/>
      <c r="AC133" s="341"/>
      <c r="AD133" s="342" t="s">
        <v>116</v>
      </c>
      <c r="AE133" s="342" t="s">
        <v>3987</v>
      </c>
      <c r="AF133" s="284" t="s">
        <v>4013</v>
      </c>
      <c r="AG133" s="284"/>
      <c r="AH133" s="284">
        <v>44516</v>
      </c>
      <c r="AI133" s="284"/>
      <c r="AJ133" s="334">
        <f ca="1">TODAY()</f>
        <v>44963</v>
      </c>
      <c r="AK133" s="342">
        <f ca="1">IF(AH133&lt;&gt;0,AJ133-AH133,0)</f>
        <v>447</v>
      </c>
      <c r="AL133" s="342" t="str">
        <f>IF(ISNUMBER(Z133)=TRUE,AJ133-Z133,IF(Z133="","",(AJ133)-(MID(RIGHT(Z133,10),4,2)&amp;"/"&amp;LEFT((RIGHT(Z133,10)),2)&amp;"/"&amp;RIGHT(Z133,4))))</f>
        <v/>
      </c>
      <c r="AM133" s="284"/>
      <c r="AN133" s="284" t="s">
        <v>4014</v>
      </c>
      <c r="AO133" s="343">
        <v>13.968</v>
      </c>
      <c r="AP133" s="343">
        <v>14.037000000000001</v>
      </c>
      <c r="AQ133" s="343">
        <v>14.061999999999999</v>
      </c>
      <c r="AR133" s="343">
        <v>14.067</v>
      </c>
      <c r="AV133" s="331" t="s">
        <v>136</v>
      </c>
    </row>
    <row r="134" spans="1:61" s="331" customFormat="1" ht="20.25" customHeight="1" x14ac:dyDescent="0.35">
      <c r="A134" s="320"/>
      <c r="B134" s="320"/>
      <c r="C134" s="302"/>
      <c r="D134" s="302"/>
      <c r="F134" s="302"/>
      <c r="G134" s="302"/>
      <c r="H134" s="302"/>
      <c r="I134" s="260"/>
      <c r="J134" s="321"/>
      <c r="K134" s="321"/>
      <c r="L134" s="321"/>
      <c r="M134" s="321"/>
      <c r="N134" s="319"/>
      <c r="O134" s="353">
        <f>SUM(O125:O133)</f>
        <v>98.024000000000001</v>
      </c>
      <c r="P134" s="323"/>
      <c r="Q134" s="319"/>
      <c r="R134" s="125"/>
      <c r="S134" s="323"/>
      <c r="T134" s="323"/>
      <c r="U134" s="155"/>
      <c r="V134" s="328"/>
      <c r="W134" s="328"/>
      <c r="X134" s="329"/>
      <c r="Y134" s="329"/>
      <c r="Z134" s="329"/>
      <c r="AA134" s="329"/>
      <c r="AB134" s="329"/>
      <c r="AC134" s="330"/>
      <c r="AF134" s="332"/>
      <c r="AG134" s="332"/>
      <c r="AH134" s="332"/>
      <c r="AI134" s="332"/>
      <c r="AJ134" s="320"/>
      <c r="AM134" s="332"/>
      <c r="AN134" s="332"/>
      <c r="AO134" s="333"/>
      <c r="AP134" s="333"/>
      <c r="AQ134" s="333"/>
      <c r="AR134" s="333"/>
    </row>
    <row r="135" spans="1:61" s="331" customFormat="1" ht="20.25" customHeight="1" x14ac:dyDescent="0.35">
      <c r="A135" s="320"/>
      <c r="B135" s="320"/>
      <c r="C135" s="302"/>
      <c r="D135" s="302"/>
      <c r="F135" s="302"/>
      <c r="G135" s="302"/>
      <c r="H135" s="302"/>
      <c r="I135" s="260"/>
      <c r="J135" s="321"/>
      <c r="K135" s="321"/>
      <c r="L135" s="321"/>
      <c r="M135" s="321"/>
      <c r="N135" s="319"/>
      <c r="O135" s="353"/>
      <c r="P135" s="323"/>
      <c r="Q135" s="319"/>
      <c r="R135" s="125"/>
      <c r="S135" s="323"/>
      <c r="T135" s="323"/>
      <c r="U135" s="155"/>
      <c r="V135" s="328"/>
      <c r="W135" s="328"/>
      <c r="X135" s="329"/>
      <c r="Y135" s="329"/>
      <c r="Z135" s="329"/>
      <c r="AA135" s="329"/>
      <c r="AB135" s="329"/>
      <c r="AC135" s="330"/>
      <c r="AF135" s="332"/>
      <c r="AG135" s="332"/>
      <c r="AH135" s="332"/>
      <c r="AI135" s="332"/>
      <c r="AJ135" s="320"/>
      <c r="AM135" s="332"/>
      <c r="AN135" s="332"/>
      <c r="AO135" s="333"/>
      <c r="AP135" s="333"/>
      <c r="AQ135" s="333"/>
      <c r="AR135" s="333"/>
    </row>
    <row r="136" spans="1:61" s="331" customFormat="1" ht="20.25" customHeight="1" x14ac:dyDescent="0.35">
      <c r="A136" s="365" t="s">
        <v>412</v>
      </c>
      <c r="B136" s="320"/>
      <c r="C136" s="302"/>
      <c r="D136" s="302"/>
      <c r="F136" s="302"/>
      <c r="G136" s="302"/>
      <c r="H136" s="302"/>
      <c r="I136" s="260"/>
      <c r="J136" s="321"/>
      <c r="K136" s="321"/>
      <c r="L136" s="321"/>
      <c r="M136" s="321"/>
      <c r="N136" s="319"/>
      <c r="O136" s="353"/>
      <c r="P136" s="323"/>
      <c r="Q136" s="319"/>
      <c r="R136" s="125"/>
      <c r="S136" s="323"/>
      <c r="T136" s="323"/>
      <c r="U136" s="155"/>
      <c r="V136" s="328"/>
      <c r="W136" s="328"/>
      <c r="X136" s="329"/>
      <c r="Y136" s="329"/>
      <c r="Z136" s="329"/>
      <c r="AA136" s="329"/>
      <c r="AB136" s="329"/>
      <c r="AC136" s="330"/>
      <c r="AF136" s="332"/>
      <c r="AG136" s="332"/>
      <c r="AH136" s="332"/>
      <c r="AI136" s="332"/>
      <c r="AJ136" s="320"/>
      <c r="AM136" s="332"/>
      <c r="AN136" s="332"/>
      <c r="AO136" s="333"/>
      <c r="AP136" s="333"/>
      <c r="AQ136" s="333"/>
      <c r="AR136" s="333"/>
    </row>
    <row r="137" spans="1:61" s="331" customFormat="1" ht="18" customHeight="1" x14ac:dyDescent="0.35">
      <c r="A137" s="334"/>
      <c r="B137" s="335" t="e">
        <f ca="1">IF(A137="",(IF(ISNUMBER(SUBSTITUTE(LEFT(RIGHT(E137,LEN(E137)-MIN(SEARCH({1,2,3,4,5,6,7,8,9,0},E137&amp;"1234567890"))+1),10),".","/"))=TRUE,AJ137-(SUBSTITUTE(LEFT(RIGHT(E137,LEN(E137)-MIN(SEARCH({1,2,3,4,5,6,7,8,9,0},E137&amp;"1234567890"))+1),10),".","/")),IF((SUBSTITUTE(LEFT(RIGHT(E137,LEN(E137)-MIN(SEARCH({1,2,3,4,5,6,7,8,9,0},E137&amp;"1234567890"))+1),10),".","/"))="","",(AJ137)-(MID(RIGHT((SUBSTITUTE(LEFT(RIGHT(E137,LEN(E137)-MIN(SEARCH({1,2,3,4,5,6,7,8,9,0},E137&amp;"1234567890"))+1),10),".","/")),10),4,2)&amp;"/"&amp;LEFT((RIGHT((SUBSTITUTE(LEFT(RIGHT(E137,LEN(E137)-MIN(SEARCH({1,2,3,4,5,6,7,8,9,0},E137&amp;"1234567890"))+1),10),".","/")),10)),2)&amp;"/"&amp;RIGHT((SUBSTITUTE(LEFT(RIGHT(E137,LEN(E137)-MIN(SEARCH({1,2,3,4,5,6,7,8,9,0},E137&amp;"1234567890"))+1),10),".","/")),4))))),(AJ137-A137))</f>
        <v>#VALUE!</v>
      </c>
      <c r="C137" s="334"/>
      <c r="D137" s="294" t="str">
        <f>IF(Q137="MULTI","FGM","FGC")&amp;"-"&amp;H137&amp;"/"&amp;I137&amp;"-"&amp;TEXT(K137,"0.00")&amp;"X"&amp;IF(Q137="MULTI",N137,Q137)</f>
        <v>FGM-J3/2B-001X640</v>
      </c>
      <c r="E137" s="294" t="s">
        <v>3601</v>
      </c>
      <c r="F137" s="294" t="s">
        <v>3093</v>
      </c>
      <c r="G137" s="294" t="s">
        <v>4015</v>
      </c>
      <c r="H137" s="294" t="s">
        <v>29</v>
      </c>
      <c r="I137" s="337" t="s">
        <v>116</v>
      </c>
      <c r="J137" s="149">
        <v>2.4</v>
      </c>
      <c r="K137" s="149">
        <v>1.1000000000000001</v>
      </c>
      <c r="L137" s="149">
        <v>1.07</v>
      </c>
      <c r="M137" s="149">
        <v>1.0900000000000001</v>
      </c>
      <c r="N137" s="335">
        <v>640</v>
      </c>
      <c r="O137" s="296">
        <v>4.9450000000000003</v>
      </c>
      <c r="P137" s="345"/>
      <c r="Q137" s="138" t="s">
        <v>3598</v>
      </c>
      <c r="R137" s="348">
        <v>629.79999999999995</v>
      </c>
      <c r="S137" s="339"/>
      <c r="T137" s="299" t="s">
        <v>3599</v>
      </c>
      <c r="U137" s="282" t="s">
        <v>412</v>
      </c>
      <c r="V137" s="282"/>
      <c r="W137" s="138" t="s">
        <v>116</v>
      </c>
      <c r="X137" s="340">
        <v>44571</v>
      </c>
      <c r="Y137" s="340">
        <v>44572</v>
      </c>
      <c r="Z137" s="340">
        <v>44595</v>
      </c>
      <c r="AA137" s="340"/>
      <c r="AB137" s="340"/>
      <c r="AC137" s="341"/>
      <c r="AD137" s="342" t="s">
        <v>64</v>
      </c>
      <c r="AE137" s="342" t="s">
        <v>322</v>
      </c>
      <c r="AF137" s="284"/>
      <c r="AG137" s="284"/>
      <c r="AH137" s="284">
        <v>44396</v>
      </c>
      <c r="AI137" s="284"/>
      <c r="AJ137" s="334">
        <f ca="1">TODAY()</f>
        <v>44963</v>
      </c>
      <c r="AK137" s="342">
        <f ca="1">IF(AH137&lt;&gt;0,AJ137-AH137,0)</f>
        <v>567</v>
      </c>
      <c r="AL137" s="342">
        <f ca="1">IF(ISNUMBER(Z137)=TRUE,AJ137-Z137,IF(Z137="","",(AJ137)-(MID(RIGHT(Z137,10),4,2)&amp;"/"&amp;LEFT((RIGHT(Z137,10)),2)&amp;"/"&amp;RIGHT(Z137,4))))</f>
        <v>368</v>
      </c>
      <c r="AM137" s="284" t="s">
        <v>881</v>
      </c>
      <c r="AN137" s="284" t="s">
        <v>3095</v>
      </c>
      <c r="AO137" s="343">
        <v>10.25</v>
      </c>
      <c r="AP137" s="343">
        <v>10.29</v>
      </c>
      <c r="AQ137" s="343">
        <v>10.314999999999998</v>
      </c>
      <c r="AR137" s="343">
        <v>10.319999999999999</v>
      </c>
      <c r="AS137" s="331">
        <f ca="1">IF(ISNUMBER(Y137)=TRUE,AJ137-Y137,IF(Y137="","",(AJ137)-(MID(RIGHT(Y137,10),4,2)&amp;"/"&amp;LEFT((RIGHT(Y137,10)),2)&amp;"/"&amp;RIGHT(Y137,4))))</f>
        <v>391</v>
      </c>
      <c r="AV137" s="331" t="s">
        <v>136</v>
      </c>
      <c r="BI137" s="347"/>
    </row>
    <row r="138" spans="1:61" s="331" customFormat="1" ht="18" customHeight="1" x14ac:dyDescent="0.35">
      <c r="A138" s="334">
        <v>44616</v>
      </c>
      <c r="B138" s="335">
        <f ca="1">IF(A138="",(IF(ISNUMBER(SUBSTITUTE(LEFT(RIGHT(E138,LEN(E138)-MIN(SEARCH({1,2,3,4,5,6,7,8,9,0},E138&amp;"1234567890"))+1),10),".","/"))=TRUE,AJ138-(SUBSTITUTE(LEFT(RIGHT(E138,LEN(E138)-MIN(SEARCH({1,2,3,4,5,6,7,8,9,0},E138&amp;"1234567890"))+1),10),".","/")),IF((SUBSTITUTE(LEFT(RIGHT(E138,LEN(E138)-MIN(SEARCH({1,2,3,4,5,6,7,8,9,0},E138&amp;"1234567890"))+1),10),".","/"))="","",(AJ138)-(MID(RIGHT((SUBSTITUTE(LEFT(RIGHT(E138,LEN(E138)-MIN(SEARCH({1,2,3,4,5,6,7,8,9,0},E138&amp;"1234567890"))+1),10),".","/")),10),4,2)&amp;"/"&amp;LEFT((RIGHT((SUBSTITUTE(LEFT(RIGHT(E138,LEN(E138)-MIN(SEARCH({1,2,3,4,5,6,7,8,9,0},E138&amp;"1234567890"))+1),10),".","/")),10)),2)&amp;"/"&amp;RIGHT((SUBSTITUTE(LEFT(RIGHT(E138,LEN(E138)-MIN(SEARCH({1,2,3,4,5,6,7,8,9,0},E138&amp;"1234567890"))+1),10),".","/")),4))))),(AJ138-A138))</f>
        <v>347</v>
      </c>
      <c r="C138" s="334"/>
      <c r="D138" s="294" t="str">
        <f>IF(Q138="MULTI","FGM","FGC")&amp;"-"&amp;H138&amp;"/"&amp;I138&amp;"-"&amp;TEXT(K138,"0.00")&amp;"X"&amp;IF(Q138="MULTI",N138,Q138)</f>
        <v>FGM-J3/2B-001X620</v>
      </c>
      <c r="E138" s="294" t="s">
        <v>3665</v>
      </c>
      <c r="F138" s="294" t="s">
        <v>3668</v>
      </c>
      <c r="G138" s="294" t="s">
        <v>4016</v>
      </c>
      <c r="H138" s="294" t="s">
        <v>29</v>
      </c>
      <c r="I138" s="337" t="s">
        <v>116</v>
      </c>
      <c r="J138" s="149">
        <v>2.2000000000000002</v>
      </c>
      <c r="K138" s="149">
        <v>0.75</v>
      </c>
      <c r="L138" s="149">
        <v>0.74</v>
      </c>
      <c r="M138" s="149">
        <v>0.76</v>
      </c>
      <c r="N138" s="335">
        <v>620</v>
      </c>
      <c r="O138" s="296">
        <f>5.1</f>
        <v>5.0999999999999996</v>
      </c>
      <c r="P138" s="345">
        <v>5.125</v>
      </c>
      <c r="Q138" s="138" t="s">
        <v>3598</v>
      </c>
      <c r="R138" s="339"/>
      <c r="S138" s="339"/>
      <c r="T138" s="299" t="s">
        <v>3599</v>
      </c>
      <c r="U138" s="282" t="s">
        <v>412</v>
      </c>
      <c r="V138" s="282"/>
      <c r="W138" s="138" t="s">
        <v>116</v>
      </c>
      <c r="X138" s="340">
        <v>44429</v>
      </c>
      <c r="Y138" s="340">
        <v>44429</v>
      </c>
      <c r="Z138" s="340">
        <v>44474</v>
      </c>
      <c r="AA138" s="340"/>
      <c r="AB138" s="340"/>
      <c r="AC138" s="341"/>
      <c r="AD138" s="342" t="s">
        <v>64</v>
      </c>
      <c r="AE138" s="342" t="s">
        <v>322</v>
      </c>
      <c r="AF138" s="284"/>
      <c r="AG138" s="284"/>
      <c r="AH138" s="284">
        <v>44384</v>
      </c>
      <c r="AI138" s="284"/>
      <c r="AJ138" s="334">
        <f ca="1">TODAY()</f>
        <v>44963</v>
      </c>
      <c r="AK138" s="342">
        <f ca="1">IF(AH138&lt;&gt;0,AJ138-AH138,0)</f>
        <v>579</v>
      </c>
      <c r="AL138" s="342">
        <f ca="1">IF(ISNUMBER(Z138)=TRUE,AJ138-Z138,IF(Z138="","",(AJ138)-(MID(RIGHT(Z138,10),4,2)&amp;"/"&amp;LEFT((RIGHT(Z138,10)),2)&amp;"/"&amp;RIGHT(Z138,4))))</f>
        <v>489</v>
      </c>
      <c r="AM138" s="284" t="s">
        <v>767</v>
      </c>
      <c r="AN138" s="284" t="s">
        <v>3670</v>
      </c>
      <c r="AO138" s="343">
        <v>9.92</v>
      </c>
      <c r="AP138" s="343">
        <v>9.9599999999999991</v>
      </c>
      <c r="AQ138" s="343">
        <v>9.9849999999999977</v>
      </c>
      <c r="AR138" s="343">
        <v>9.9899999999999984</v>
      </c>
      <c r="AS138" s="331">
        <f ca="1">IF(ISNUMBER(Y138)=TRUE,AJ138-Y138,IF(Y138="","",(AJ138)-(MID(RIGHT(Y138,10),4,2)&amp;"/"&amp;LEFT((RIGHT(Y138,10)),2)&amp;"/"&amp;RIGHT(Y138,4))))</f>
        <v>534</v>
      </c>
      <c r="AV138" s="331" t="s">
        <v>136</v>
      </c>
      <c r="BI138" s="347"/>
    </row>
    <row r="139" spans="1:61" s="331" customFormat="1" ht="18" customHeight="1" x14ac:dyDescent="0.35">
      <c r="A139" s="334"/>
      <c r="B139" s="335" t="e">
        <f ca="1">IF(A139="",(IF(ISNUMBER(SUBSTITUTE(LEFT(RIGHT(E139,LEN(E139)-MIN(SEARCH({1,2,3,4,5,6,7,8,9,0},E139&amp;"1234567890"))+1),10),".","/"))=TRUE,AJ139-(SUBSTITUTE(LEFT(RIGHT(E139,LEN(E139)-MIN(SEARCH({1,2,3,4,5,6,7,8,9,0},E139&amp;"1234567890"))+1),10),".","/")),IF((SUBSTITUTE(LEFT(RIGHT(E139,LEN(E139)-MIN(SEARCH({1,2,3,4,5,6,7,8,9,0},E139&amp;"1234567890"))+1),10),".","/"))="","",(AJ139)-(MID(RIGHT((SUBSTITUTE(LEFT(RIGHT(E139,LEN(E139)-MIN(SEARCH({1,2,3,4,5,6,7,8,9,0},E139&amp;"1234567890"))+1),10),".","/")),10),4,2)&amp;"/"&amp;LEFT((RIGHT((SUBSTITUTE(LEFT(RIGHT(E139,LEN(E139)-MIN(SEARCH({1,2,3,4,5,6,7,8,9,0},E139&amp;"1234567890"))+1),10),".","/")),10)),2)&amp;"/"&amp;RIGHT((SUBSTITUTE(LEFT(RIGHT(E139,LEN(E139)-MIN(SEARCH({1,2,3,4,5,6,7,8,9,0},E139&amp;"1234567890"))+1),10),".","/")),4))))),(AJ139-A139))</f>
        <v>#VALUE!</v>
      </c>
      <c r="C139" s="334"/>
      <c r="D139" s="294" t="str">
        <f>IF(Q139="MULTI","FGM","FGC")&amp;"-"&amp;H139&amp;"/"&amp;I139&amp;"-"&amp;TEXT(K139,"0.00")&amp;"X"&amp;IF(Q139="MULTI",N139,Q139)</f>
        <v>FGM-J3/2B-001X620</v>
      </c>
      <c r="E139" s="294" t="s">
        <v>3665</v>
      </c>
      <c r="F139" s="294" t="s">
        <v>3679</v>
      </c>
      <c r="G139" s="294" t="s">
        <v>4017</v>
      </c>
      <c r="H139" s="294" t="s">
        <v>29</v>
      </c>
      <c r="I139" s="337" t="s">
        <v>116</v>
      </c>
      <c r="J139" s="149">
        <v>2.2000000000000002</v>
      </c>
      <c r="K139" s="149">
        <v>0.75</v>
      </c>
      <c r="L139" s="149">
        <v>0.75</v>
      </c>
      <c r="M139" s="149">
        <v>0.77</v>
      </c>
      <c r="N139" s="335">
        <v>620</v>
      </c>
      <c r="O139" s="296">
        <f>5.055</f>
        <v>5.0549999999999997</v>
      </c>
      <c r="P139" s="345"/>
      <c r="Q139" s="138" t="s">
        <v>3598</v>
      </c>
      <c r="R139" s="339"/>
      <c r="S139" s="339"/>
      <c r="T139" s="299" t="s">
        <v>3599</v>
      </c>
      <c r="U139" s="282" t="s">
        <v>412</v>
      </c>
      <c r="V139" s="282"/>
      <c r="W139" s="138" t="s">
        <v>116</v>
      </c>
      <c r="X139" s="340">
        <v>44430</v>
      </c>
      <c r="Y139" s="340">
        <v>44430</v>
      </c>
      <c r="Z139" s="340">
        <v>44469</v>
      </c>
      <c r="AA139" s="340"/>
      <c r="AB139" s="340"/>
      <c r="AC139" s="341"/>
      <c r="AD139" s="342" t="s">
        <v>64</v>
      </c>
      <c r="AE139" s="342" t="s">
        <v>322</v>
      </c>
      <c r="AF139" s="284"/>
      <c r="AG139" s="284"/>
      <c r="AH139" s="284">
        <v>44384</v>
      </c>
      <c r="AI139" s="284"/>
      <c r="AJ139" s="334">
        <f ca="1">TODAY()</f>
        <v>44963</v>
      </c>
      <c r="AK139" s="342">
        <f ca="1">IF(AH139&lt;&gt;0,AJ139-AH139,0)</f>
        <v>579</v>
      </c>
      <c r="AL139" s="342">
        <f ca="1">IF(ISNUMBER(Z139)=TRUE,AJ139-Z139,IF(Z139="","",(AJ139)-(MID(RIGHT(Z139,10),4,2)&amp;"/"&amp;LEFT((RIGHT(Z139,10)),2)&amp;"/"&amp;RIGHT(Z139,4))))</f>
        <v>494</v>
      </c>
      <c r="AM139" s="284" t="s">
        <v>797</v>
      </c>
      <c r="AN139" s="284" t="s">
        <v>798</v>
      </c>
      <c r="AO139" s="343">
        <v>9.9600000000000009</v>
      </c>
      <c r="AP139" s="343">
        <v>10</v>
      </c>
      <c r="AQ139" s="343">
        <v>10.024999999999999</v>
      </c>
      <c r="AR139" s="343">
        <v>10.029999999999999</v>
      </c>
      <c r="AS139" s="331">
        <f ca="1">IF(ISNUMBER(Y139)=TRUE,AJ139-Y139,IF(Y139="","",(AJ139)-(MID(RIGHT(Y139,10),4,2)&amp;"/"&amp;LEFT((RIGHT(Y139,10)),2)&amp;"/"&amp;RIGHT(Y139,4))))</f>
        <v>533</v>
      </c>
      <c r="AV139" s="331" t="s">
        <v>136</v>
      </c>
      <c r="BI139" s="347"/>
    </row>
    <row r="140" spans="1:61" s="331" customFormat="1" ht="18" customHeight="1" x14ac:dyDescent="0.35">
      <c r="A140" s="334"/>
      <c r="B140" s="335" t="e">
        <f ca="1">IF(A140="",(IF(ISNUMBER(SUBSTITUTE(LEFT(RIGHT(E140,LEN(E140)-MIN(SEARCH({1,2,3,4,5,6,7,8,9,0},E140&amp;"1234567890"))+1),10),".","/"))=TRUE,AJ140-(SUBSTITUTE(LEFT(RIGHT(E140,LEN(E140)-MIN(SEARCH({1,2,3,4,5,6,7,8,9,0},E140&amp;"1234567890"))+1),10),".","/")),IF((SUBSTITUTE(LEFT(RIGHT(E140,LEN(E140)-MIN(SEARCH({1,2,3,4,5,6,7,8,9,0},E140&amp;"1234567890"))+1),10),".","/"))="","",(AJ140)-(MID(RIGHT((SUBSTITUTE(LEFT(RIGHT(E140,LEN(E140)-MIN(SEARCH({1,2,3,4,5,6,7,8,9,0},E140&amp;"1234567890"))+1),10),".","/")),10),4,2)&amp;"/"&amp;LEFT((RIGHT((SUBSTITUTE(LEFT(RIGHT(E140,LEN(E140)-MIN(SEARCH({1,2,3,4,5,6,7,8,9,0},E140&amp;"1234567890"))+1),10),".","/")),10)),2)&amp;"/"&amp;RIGHT((SUBSTITUTE(LEFT(RIGHT(E140,LEN(E140)-MIN(SEARCH({1,2,3,4,5,6,7,8,9,0},E140&amp;"1234567890"))+1),10),".","/")),4))))),(AJ140-A140))</f>
        <v>#VALUE!</v>
      </c>
      <c r="C140" s="334"/>
      <c r="D140" s="294" t="str">
        <f>IF(Q140="MULTI","FGM","FGC")&amp;"-"&amp;H140&amp;"/"&amp;I140&amp;"-"&amp;TEXT(K140,"0.00")&amp;"X"&amp;IF(Q140="MULTI",N140,Q140)</f>
        <v>FGM-J3/2B-001X620</v>
      </c>
      <c r="E140" s="294" t="s">
        <v>3665</v>
      </c>
      <c r="F140" s="294" t="s">
        <v>3679</v>
      </c>
      <c r="G140" s="294" t="s">
        <v>4018</v>
      </c>
      <c r="H140" s="294" t="s">
        <v>29</v>
      </c>
      <c r="I140" s="337" t="s">
        <v>116</v>
      </c>
      <c r="J140" s="149">
        <v>2.2000000000000002</v>
      </c>
      <c r="K140" s="149">
        <v>0.75</v>
      </c>
      <c r="L140" s="149">
        <v>0.75</v>
      </c>
      <c r="M140" s="149">
        <v>0.77</v>
      </c>
      <c r="N140" s="335">
        <v>620</v>
      </c>
      <c r="O140" s="296">
        <v>4.67</v>
      </c>
      <c r="P140" s="345"/>
      <c r="Q140" s="138" t="s">
        <v>3598</v>
      </c>
      <c r="R140" s="339"/>
      <c r="S140" s="339"/>
      <c r="T140" s="299" t="s">
        <v>3599</v>
      </c>
      <c r="U140" s="282" t="s">
        <v>412</v>
      </c>
      <c r="V140" s="282"/>
      <c r="W140" s="138" t="s">
        <v>116</v>
      </c>
      <c r="X140" s="340">
        <v>44430</v>
      </c>
      <c r="Y140" s="340">
        <v>44430</v>
      </c>
      <c r="Z140" s="340">
        <v>44469</v>
      </c>
      <c r="AA140" s="340"/>
      <c r="AB140" s="340"/>
      <c r="AC140" s="341"/>
      <c r="AD140" s="342" t="s">
        <v>64</v>
      </c>
      <c r="AE140" s="342" t="s">
        <v>322</v>
      </c>
      <c r="AF140" s="284"/>
      <c r="AG140" s="284"/>
      <c r="AH140" s="284">
        <v>44384</v>
      </c>
      <c r="AI140" s="284"/>
      <c r="AJ140" s="334">
        <f ca="1">TODAY()</f>
        <v>44963</v>
      </c>
      <c r="AK140" s="342">
        <f ca="1">IF(AH140&lt;&gt;0,AJ140-AH140,0)</f>
        <v>579</v>
      </c>
      <c r="AL140" s="342">
        <f ca="1">IF(ISNUMBER(Z140)=TRUE,AJ140-Z140,IF(Z140="","",(AJ140)-(MID(RIGHT(Z140,10),4,2)&amp;"/"&amp;LEFT((RIGHT(Z140,10)),2)&amp;"/"&amp;RIGHT(Z140,4))))</f>
        <v>494</v>
      </c>
      <c r="AM140" s="284" t="s">
        <v>797</v>
      </c>
      <c r="AN140" s="284" t="s">
        <v>798</v>
      </c>
      <c r="AO140" s="343">
        <v>9.9600000000000009</v>
      </c>
      <c r="AP140" s="343">
        <v>10</v>
      </c>
      <c r="AQ140" s="343">
        <v>10.024999999999999</v>
      </c>
      <c r="AR140" s="343">
        <v>10.029999999999999</v>
      </c>
      <c r="AS140" s="331">
        <f ca="1">IF(ISNUMBER(Y140)=TRUE,AJ140-Y140,IF(Y140="","",(AJ140)-(MID(RIGHT(Y140,10),4,2)&amp;"/"&amp;LEFT((RIGHT(Y140,10)),2)&amp;"/"&amp;RIGHT(Y140,4))))</f>
        <v>533</v>
      </c>
      <c r="AV140" s="331" t="s">
        <v>136</v>
      </c>
      <c r="BI140" s="347"/>
    </row>
    <row r="141" spans="1:61" s="331" customFormat="1" ht="20.25" customHeight="1" x14ac:dyDescent="0.35">
      <c r="A141" s="320"/>
      <c r="B141" s="320"/>
      <c r="C141" s="302"/>
      <c r="D141" s="302"/>
      <c r="F141" s="302"/>
      <c r="G141" s="302"/>
      <c r="H141" s="302"/>
      <c r="I141" s="260"/>
      <c r="J141" s="321"/>
      <c r="K141" s="321"/>
      <c r="L141" s="321"/>
      <c r="M141" s="321"/>
      <c r="N141" s="319"/>
      <c r="O141" s="353">
        <f>SUM(O137:O140)</f>
        <v>19.77</v>
      </c>
      <c r="P141" s="323"/>
      <c r="Q141" s="319"/>
      <c r="R141" s="125"/>
      <c r="S141" s="323"/>
      <c r="T141" s="323"/>
      <c r="U141" s="155"/>
      <c r="V141" s="328"/>
      <c r="W141" s="328"/>
      <c r="X141" s="329"/>
      <c r="Y141" s="329"/>
      <c r="Z141" s="329"/>
      <c r="AA141" s="329"/>
      <c r="AB141" s="329"/>
      <c r="AC141" s="330"/>
      <c r="AF141" s="332"/>
      <c r="AG141" s="332"/>
      <c r="AH141" s="332"/>
      <c r="AI141" s="332"/>
      <c r="AJ141" s="320"/>
      <c r="AM141" s="332"/>
      <c r="AN141" s="332"/>
      <c r="AO141" s="333"/>
      <c r="AP141" s="333"/>
      <c r="AQ141" s="333"/>
      <c r="AR141" s="333"/>
    </row>
    <row r="142" spans="1:61" s="331" customFormat="1" ht="20.25" customHeight="1" x14ac:dyDescent="0.35">
      <c r="A142" s="320"/>
      <c r="B142" s="320"/>
      <c r="C142" s="302"/>
      <c r="D142" s="302"/>
      <c r="F142" s="302"/>
      <c r="G142" s="302"/>
      <c r="H142" s="302"/>
      <c r="I142" s="260"/>
      <c r="J142" s="321"/>
      <c r="K142" s="321"/>
      <c r="L142" s="321"/>
      <c r="M142" s="321"/>
      <c r="N142" s="319"/>
      <c r="O142" s="353"/>
      <c r="P142" s="323"/>
      <c r="Q142" s="319"/>
      <c r="R142" s="125"/>
      <c r="S142" s="323"/>
      <c r="T142" s="323"/>
      <c r="U142" s="155"/>
      <c r="V142" s="328"/>
      <c r="W142" s="328"/>
      <c r="X142" s="329"/>
      <c r="Y142" s="329"/>
      <c r="Z142" s="329"/>
      <c r="AA142" s="329"/>
      <c r="AB142" s="329"/>
      <c r="AC142" s="330"/>
      <c r="AF142" s="332"/>
      <c r="AG142" s="332"/>
      <c r="AH142" s="332"/>
      <c r="AI142" s="332"/>
      <c r="AJ142" s="320"/>
      <c r="AM142" s="332"/>
      <c r="AN142" s="332"/>
      <c r="AO142" s="333"/>
      <c r="AP142" s="333"/>
      <c r="AQ142" s="333"/>
      <c r="AR142" s="333"/>
    </row>
    <row r="143" spans="1:61" s="331" customFormat="1" ht="20.25" customHeight="1" x14ac:dyDescent="0.35">
      <c r="A143" s="365" t="s">
        <v>284</v>
      </c>
      <c r="B143" s="320"/>
      <c r="C143" s="302"/>
      <c r="D143" s="302"/>
      <c r="F143" s="302"/>
      <c r="G143" s="302"/>
      <c r="H143" s="302"/>
      <c r="I143" s="260"/>
      <c r="J143" s="321"/>
      <c r="K143" s="321"/>
      <c r="L143" s="321"/>
      <c r="M143" s="321"/>
      <c r="N143" s="319"/>
      <c r="O143" s="353"/>
      <c r="P143" s="323"/>
      <c r="Q143" s="319"/>
      <c r="R143" s="125"/>
      <c r="S143" s="323"/>
      <c r="T143" s="323"/>
      <c r="U143" s="155"/>
      <c r="V143" s="328"/>
      <c r="W143" s="328"/>
      <c r="X143" s="329"/>
      <c r="Y143" s="329"/>
      <c r="Z143" s="329"/>
      <c r="AA143" s="329"/>
      <c r="AB143" s="329"/>
      <c r="AC143" s="330"/>
      <c r="AF143" s="332"/>
      <c r="AG143" s="332"/>
      <c r="AH143" s="332"/>
      <c r="AI143" s="332"/>
      <c r="AJ143" s="320"/>
      <c r="AM143" s="332"/>
      <c r="AN143" s="332"/>
      <c r="AO143" s="333"/>
      <c r="AP143" s="333"/>
      <c r="AQ143" s="333"/>
      <c r="AR143" s="333"/>
    </row>
    <row r="144" spans="1:61" s="331" customFormat="1" ht="18" customHeight="1" x14ac:dyDescent="0.35">
      <c r="A144" s="334">
        <v>44619</v>
      </c>
      <c r="B144" s="335">
        <f ca="1">IF(A144="",(IF(ISNUMBER(SUBSTITUTE(LEFT(RIGHT(E144,LEN(E144)-MIN(SEARCH({1,2,3,4,5,6,7,8,9,0},E144&amp;"1234567890"))+1),10),".","/"))=TRUE,AJ144-(SUBSTITUTE(LEFT(RIGHT(E144,LEN(E144)-MIN(SEARCH({1,2,3,4,5,6,7,8,9,0},E144&amp;"1234567890"))+1),10),".","/")),IF((SUBSTITUTE(LEFT(RIGHT(E144,LEN(E144)-MIN(SEARCH({1,2,3,4,5,6,7,8,9,0},E144&amp;"1234567890"))+1),10),".","/"))="","",(AJ144)-(MID(RIGHT((SUBSTITUTE(LEFT(RIGHT(E144,LEN(E144)-MIN(SEARCH({1,2,3,4,5,6,7,8,9,0},E144&amp;"1234567890"))+1),10),".","/")),10),4,2)&amp;"/"&amp;LEFT((RIGHT((SUBSTITUTE(LEFT(RIGHT(E144,LEN(E144)-MIN(SEARCH({1,2,3,4,5,6,7,8,9,0},E144&amp;"1234567890"))+1),10),".","/")),10)),2)&amp;"/"&amp;RIGHT((SUBSTITUTE(LEFT(RIGHT(E144,LEN(E144)-MIN(SEARCH({1,2,3,4,5,6,7,8,9,0},E144&amp;"1234567890"))+1),10),".","/")),4))))),(AJ144-A144))</f>
        <v>344</v>
      </c>
      <c r="C144" s="334"/>
      <c r="D144" s="294" t="str">
        <f t="shared" ref="D144:D149" si="18">IF(Q144="MULTI","FGM","FGC")&amp;"-"&amp;H144&amp;"/"&amp;I144&amp;"-"&amp;TEXT(K144,"0.00")&amp;"X"&amp;IF(Q144="MULTI",N144,Q144)</f>
        <v>FGM-304/2B-001X770</v>
      </c>
      <c r="E144" s="294" t="s">
        <v>3713</v>
      </c>
      <c r="F144" s="294" t="s">
        <v>2918</v>
      </c>
      <c r="G144" s="294" t="s">
        <v>4019</v>
      </c>
      <c r="H144" s="294">
        <v>304</v>
      </c>
      <c r="I144" s="337" t="s">
        <v>116</v>
      </c>
      <c r="J144" s="149">
        <v>3.25</v>
      </c>
      <c r="K144" s="149">
        <v>1.1599999999999999</v>
      </c>
      <c r="L144" s="149">
        <v>1.1299999999999999</v>
      </c>
      <c r="M144" s="149">
        <v>1.1499999999999999</v>
      </c>
      <c r="N144" s="335">
        <v>770</v>
      </c>
      <c r="O144" s="296">
        <f>3.17</f>
        <v>3.17</v>
      </c>
      <c r="P144" s="345">
        <v>3.1949999999999998</v>
      </c>
      <c r="Q144" s="138" t="s">
        <v>3598</v>
      </c>
      <c r="R144" s="339"/>
      <c r="S144" s="339"/>
      <c r="T144" s="299" t="s">
        <v>3717</v>
      </c>
      <c r="U144" s="282" t="s">
        <v>284</v>
      </c>
      <c r="V144" s="282"/>
      <c r="W144" s="138" t="s">
        <v>116</v>
      </c>
      <c r="X144" s="340">
        <v>44615</v>
      </c>
      <c r="Y144" s="340">
        <v>44616</v>
      </c>
      <c r="Z144" s="340">
        <v>44618</v>
      </c>
      <c r="AA144" s="340"/>
      <c r="AB144" s="340"/>
      <c r="AC144" s="341" t="s">
        <v>1395</v>
      </c>
      <c r="AD144" s="342" t="s">
        <v>64</v>
      </c>
      <c r="AE144" s="342" t="s">
        <v>154</v>
      </c>
      <c r="AF144" s="284" t="s">
        <v>1330</v>
      </c>
      <c r="AG144" s="284"/>
      <c r="AH144" s="284">
        <v>44554</v>
      </c>
      <c r="AI144" s="284"/>
      <c r="AJ144" s="334">
        <f t="shared" ref="AJ144:AJ149" ca="1" si="19">TODAY()</f>
        <v>44963</v>
      </c>
      <c r="AK144" s="342">
        <f t="shared" ref="AK144:AK149" ca="1" si="20">IF(AH144&lt;&gt;0,AJ144-AH144,0)</f>
        <v>409</v>
      </c>
      <c r="AL144" s="342">
        <f t="shared" ref="AL144:AL149" ca="1" si="21">IF(ISNUMBER(Z144)=TRUE,AJ144-Z144,IF(Z144="","",(AJ144)-(MID(RIGHT(Z144,10),4,2)&amp;"/"&amp;LEFT((RIGHT(Z144,10)),2)&amp;"/"&amp;RIGHT(Z144,4))))</f>
        <v>345</v>
      </c>
      <c r="AM144" s="284"/>
      <c r="AN144" s="284" t="s">
        <v>1424</v>
      </c>
      <c r="AO144" s="343">
        <v>10.565</v>
      </c>
      <c r="AP144" s="343">
        <v>10.574999999999999</v>
      </c>
      <c r="AQ144" s="343">
        <v>10.599999999999998</v>
      </c>
      <c r="AR144" s="343">
        <v>10.604999999999999</v>
      </c>
      <c r="AS144" s="331">
        <f t="shared" ref="AS144:AS149" ca="1" si="22">IF(ISNUMBER(Y144)=TRUE,AJ144-Y144,IF(Y144="","",(AJ144)-(MID(RIGHT(Y144,10),4,2)&amp;"/"&amp;LEFT((RIGHT(Y144,10)),2)&amp;"/"&amp;RIGHT(Y144,4))))</f>
        <v>347</v>
      </c>
      <c r="AV144" s="331" t="s">
        <v>136</v>
      </c>
      <c r="BI144" s="347"/>
    </row>
    <row r="145" spans="1:61" s="331" customFormat="1" ht="18" customHeight="1" x14ac:dyDescent="0.35">
      <c r="A145" s="334">
        <v>44619</v>
      </c>
      <c r="B145" s="335">
        <f ca="1">IF(A145="",(IF(ISNUMBER(SUBSTITUTE(LEFT(RIGHT(E145,LEN(E145)-MIN(SEARCH({1,2,3,4,5,6,7,8,9,0},E145&amp;"1234567890"))+1),10),".","/"))=TRUE,AJ145-(SUBSTITUTE(LEFT(RIGHT(E145,LEN(E145)-MIN(SEARCH({1,2,3,4,5,6,7,8,9,0},E145&amp;"1234567890"))+1),10),".","/")),IF((SUBSTITUTE(LEFT(RIGHT(E145,LEN(E145)-MIN(SEARCH({1,2,3,4,5,6,7,8,9,0},E145&amp;"1234567890"))+1),10),".","/"))="","",(AJ145)-(MID(RIGHT((SUBSTITUTE(LEFT(RIGHT(E145,LEN(E145)-MIN(SEARCH({1,2,3,4,5,6,7,8,9,0},E145&amp;"1234567890"))+1),10),".","/")),10),4,2)&amp;"/"&amp;LEFT((RIGHT((SUBSTITUTE(LEFT(RIGHT(E145,LEN(E145)-MIN(SEARCH({1,2,3,4,5,6,7,8,9,0},E145&amp;"1234567890"))+1),10),".","/")),10)),2)&amp;"/"&amp;RIGHT((SUBSTITUTE(LEFT(RIGHT(E145,LEN(E145)-MIN(SEARCH({1,2,3,4,5,6,7,8,9,0},E145&amp;"1234567890"))+1),10),".","/")),4))))),(AJ145-A145))</f>
        <v>344</v>
      </c>
      <c r="C145" s="334"/>
      <c r="D145" s="294" t="str">
        <f t="shared" si="18"/>
        <v>FGM-304/2B-001X770</v>
      </c>
      <c r="E145" s="294" t="s">
        <v>3713</v>
      </c>
      <c r="F145" s="294" t="s">
        <v>2918</v>
      </c>
      <c r="G145" s="294" t="s">
        <v>4020</v>
      </c>
      <c r="H145" s="294">
        <v>304</v>
      </c>
      <c r="I145" s="337" t="s">
        <v>116</v>
      </c>
      <c r="J145" s="149">
        <v>3.25</v>
      </c>
      <c r="K145" s="149">
        <v>1.1599999999999999</v>
      </c>
      <c r="L145" s="149">
        <v>1.1299999999999999</v>
      </c>
      <c r="M145" s="149">
        <v>1.1499999999999999</v>
      </c>
      <c r="N145" s="335">
        <v>770</v>
      </c>
      <c r="O145" s="296">
        <v>3.17</v>
      </c>
      <c r="P145" s="345">
        <v>3.1949999999999998</v>
      </c>
      <c r="Q145" s="138" t="s">
        <v>3598</v>
      </c>
      <c r="R145" s="339"/>
      <c r="S145" s="339"/>
      <c r="T145" s="299" t="s">
        <v>3717</v>
      </c>
      <c r="U145" s="282" t="s">
        <v>284</v>
      </c>
      <c r="V145" s="282"/>
      <c r="W145" s="138" t="s">
        <v>116</v>
      </c>
      <c r="X145" s="340">
        <v>44615</v>
      </c>
      <c r="Y145" s="340">
        <v>44616</v>
      </c>
      <c r="Z145" s="340">
        <v>44618</v>
      </c>
      <c r="AA145" s="340"/>
      <c r="AB145" s="340"/>
      <c r="AC145" s="341" t="s">
        <v>1395</v>
      </c>
      <c r="AD145" s="342" t="s">
        <v>64</v>
      </c>
      <c r="AE145" s="342" t="s">
        <v>154</v>
      </c>
      <c r="AF145" s="284" t="s">
        <v>1330</v>
      </c>
      <c r="AG145" s="284"/>
      <c r="AH145" s="284">
        <v>44554</v>
      </c>
      <c r="AI145" s="284"/>
      <c r="AJ145" s="334">
        <f t="shared" ca="1" si="19"/>
        <v>44963</v>
      </c>
      <c r="AK145" s="342">
        <f t="shared" ca="1" si="20"/>
        <v>409</v>
      </c>
      <c r="AL145" s="342">
        <f t="shared" ca="1" si="21"/>
        <v>345</v>
      </c>
      <c r="AM145" s="284"/>
      <c r="AN145" s="284" t="s">
        <v>1424</v>
      </c>
      <c r="AO145" s="343">
        <v>10.565</v>
      </c>
      <c r="AP145" s="343">
        <v>10.574999999999999</v>
      </c>
      <c r="AQ145" s="343">
        <v>10.599999999999998</v>
      </c>
      <c r="AR145" s="343">
        <v>10.604999999999999</v>
      </c>
      <c r="AS145" s="331">
        <f t="shared" ca="1" si="22"/>
        <v>347</v>
      </c>
      <c r="AV145" s="331" t="s">
        <v>136</v>
      </c>
      <c r="BI145" s="347"/>
    </row>
    <row r="146" spans="1:61" s="331" customFormat="1" ht="18" customHeight="1" x14ac:dyDescent="0.35">
      <c r="A146" s="334"/>
      <c r="B146" s="335" t="e">
        <f ca="1">IF(A146="",(IF(ISNUMBER(SUBSTITUTE(LEFT(RIGHT(E146,LEN(E146)-MIN(SEARCH({1,2,3,4,5,6,7,8,9,0},E146&amp;"1234567890"))+1),10),".","/"))=TRUE,AJ146-(SUBSTITUTE(LEFT(RIGHT(E146,LEN(E146)-MIN(SEARCH({1,2,3,4,5,6,7,8,9,0},E146&amp;"1234567890"))+1),10),".","/")),IF((SUBSTITUTE(LEFT(RIGHT(E146,LEN(E146)-MIN(SEARCH({1,2,3,4,5,6,7,8,9,0},E146&amp;"1234567890"))+1),10),".","/"))="","",(AJ146)-(MID(RIGHT((SUBSTITUTE(LEFT(RIGHT(E146,LEN(E146)-MIN(SEARCH({1,2,3,4,5,6,7,8,9,0},E146&amp;"1234567890"))+1),10),".","/")),10),4,2)&amp;"/"&amp;LEFT((RIGHT((SUBSTITUTE(LEFT(RIGHT(E146,LEN(E146)-MIN(SEARCH({1,2,3,4,5,6,7,8,9,0},E146&amp;"1234567890"))+1),10),".","/")),10)),2)&amp;"/"&amp;RIGHT((SUBSTITUTE(LEFT(RIGHT(E146,LEN(E146)-MIN(SEARCH({1,2,3,4,5,6,7,8,9,0},E146&amp;"1234567890"))+1),10),".","/")),4))))),(AJ146-A146))</f>
        <v>#VALUE!</v>
      </c>
      <c r="C146" s="334"/>
      <c r="D146" s="294" t="str">
        <f t="shared" si="18"/>
        <v>FGM-304/2B-001X770</v>
      </c>
      <c r="E146" s="294" t="s">
        <v>3713</v>
      </c>
      <c r="F146" s="294" t="s">
        <v>2918</v>
      </c>
      <c r="G146" s="294" t="s">
        <v>4021</v>
      </c>
      <c r="H146" s="294">
        <v>304</v>
      </c>
      <c r="I146" s="337" t="s">
        <v>116</v>
      </c>
      <c r="J146" s="149">
        <v>3.25</v>
      </c>
      <c r="K146" s="149">
        <v>1.1599999999999999</v>
      </c>
      <c r="L146" s="149">
        <v>1.1299999999999999</v>
      </c>
      <c r="M146" s="149">
        <v>1.1499999999999999</v>
      </c>
      <c r="N146" s="335">
        <v>770</v>
      </c>
      <c r="O146" s="296">
        <v>3.93</v>
      </c>
      <c r="P146" s="345"/>
      <c r="Q146" s="138" t="s">
        <v>3598</v>
      </c>
      <c r="R146" s="339"/>
      <c r="S146" s="339"/>
      <c r="T146" s="299" t="s">
        <v>3717</v>
      </c>
      <c r="U146" s="282" t="s">
        <v>284</v>
      </c>
      <c r="V146" s="282"/>
      <c r="W146" s="138" t="s">
        <v>116</v>
      </c>
      <c r="X146" s="340">
        <v>44615</v>
      </c>
      <c r="Y146" s="340">
        <v>44616</v>
      </c>
      <c r="Z146" s="340">
        <v>44618</v>
      </c>
      <c r="AA146" s="340"/>
      <c r="AB146" s="340"/>
      <c r="AC146" s="341" t="s">
        <v>1395</v>
      </c>
      <c r="AD146" s="342" t="s">
        <v>64</v>
      </c>
      <c r="AE146" s="342" t="s">
        <v>154</v>
      </c>
      <c r="AF146" s="284" t="s">
        <v>1330</v>
      </c>
      <c r="AG146" s="284"/>
      <c r="AH146" s="284">
        <v>44554</v>
      </c>
      <c r="AI146" s="284"/>
      <c r="AJ146" s="334">
        <f t="shared" ca="1" si="19"/>
        <v>44963</v>
      </c>
      <c r="AK146" s="342">
        <f t="shared" ca="1" si="20"/>
        <v>409</v>
      </c>
      <c r="AL146" s="342">
        <f t="shared" ca="1" si="21"/>
        <v>345</v>
      </c>
      <c r="AM146" s="284"/>
      <c r="AN146" s="284" t="s">
        <v>1424</v>
      </c>
      <c r="AO146" s="343">
        <v>10.565</v>
      </c>
      <c r="AP146" s="343">
        <v>10.574999999999999</v>
      </c>
      <c r="AQ146" s="343">
        <v>10.599999999999998</v>
      </c>
      <c r="AR146" s="343">
        <v>10.604999999999999</v>
      </c>
      <c r="AS146" s="331">
        <f t="shared" ca="1" si="22"/>
        <v>347</v>
      </c>
      <c r="AV146" s="331" t="s">
        <v>136</v>
      </c>
      <c r="BI146" s="347"/>
    </row>
    <row r="147" spans="1:61" s="331" customFormat="1" ht="18" customHeight="1" x14ac:dyDescent="0.35">
      <c r="A147" s="334"/>
      <c r="B147" s="335" t="e">
        <f ca="1">IF(A147="",(IF(ISNUMBER(SUBSTITUTE(LEFT(RIGHT(E147,LEN(E147)-MIN(SEARCH({1,2,3,4,5,6,7,8,9,0},E147&amp;"1234567890"))+1),10),".","/"))=TRUE,AJ147-(SUBSTITUTE(LEFT(RIGHT(E147,LEN(E147)-MIN(SEARCH({1,2,3,4,5,6,7,8,9,0},E147&amp;"1234567890"))+1),10),".","/")),IF((SUBSTITUTE(LEFT(RIGHT(E147,LEN(E147)-MIN(SEARCH({1,2,3,4,5,6,7,8,9,0},E147&amp;"1234567890"))+1),10),".","/"))="","",(AJ147)-(MID(RIGHT((SUBSTITUTE(LEFT(RIGHT(E147,LEN(E147)-MIN(SEARCH({1,2,3,4,5,6,7,8,9,0},E147&amp;"1234567890"))+1),10),".","/")),10),4,2)&amp;"/"&amp;LEFT((RIGHT((SUBSTITUTE(LEFT(RIGHT(E147,LEN(E147)-MIN(SEARCH({1,2,3,4,5,6,7,8,9,0},E147&amp;"1234567890"))+1),10),".","/")),10)),2)&amp;"/"&amp;RIGHT((SUBSTITUTE(LEFT(RIGHT(E147,LEN(E147)-MIN(SEARCH({1,2,3,4,5,6,7,8,9,0},E147&amp;"1234567890"))+1),10),".","/")),4))))),(AJ147-A147))</f>
        <v>#VALUE!</v>
      </c>
      <c r="C147" s="334"/>
      <c r="D147" s="294" t="str">
        <f t="shared" si="18"/>
        <v>FGM-304L/2B-001X768</v>
      </c>
      <c r="E147" s="294" t="s">
        <v>3713</v>
      </c>
      <c r="F147" s="294" t="s">
        <v>2891</v>
      </c>
      <c r="G147" s="294" t="s">
        <v>4022</v>
      </c>
      <c r="H147" s="294" t="s">
        <v>230</v>
      </c>
      <c r="I147" s="337" t="s">
        <v>116</v>
      </c>
      <c r="J147" s="149">
        <v>3.23</v>
      </c>
      <c r="K147" s="149">
        <v>1.1599999999999999</v>
      </c>
      <c r="L147" s="149">
        <v>1.1299999999999999</v>
      </c>
      <c r="M147" s="149">
        <v>1.1499999999999999</v>
      </c>
      <c r="N147" s="335">
        <v>768</v>
      </c>
      <c r="O147" s="296">
        <f>3.63</f>
        <v>3.63</v>
      </c>
      <c r="P147" s="345"/>
      <c r="Q147" s="138" t="s">
        <v>3598</v>
      </c>
      <c r="R147" s="339"/>
      <c r="S147" s="339"/>
      <c r="T147" s="299" t="s">
        <v>3719</v>
      </c>
      <c r="U147" s="282" t="s">
        <v>284</v>
      </c>
      <c r="V147" s="282"/>
      <c r="W147" s="138" t="s">
        <v>116</v>
      </c>
      <c r="X147" s="340">
        <v>44614</v>
      </c>
      <c r="Y147" s="340">
        <v>44614</v>
      </c>
      <c r="Z147" s="340">
        <v>44618</v>
      </c>
      <c r="AA147" s="340"/>
      <c r="AB147" s="340"/>
      <c r="AC147" s="341"/>
      <c r="AD147" s="342" t="s">
        <v>64</v>
      </c>
      <c r="AE147" s="342" t="s">
        <v>154</v>
      </c>
      <c r="AF147" s="284" t="s">
        <v>1330</v>
      </c>
      <c r="AG147" s="284"/>
      <c r="AH147" s="284">
        <v>44516</v>
      </c>
      <c r="AI147" s="284"/>
      <c r="AJ147" s="334">
        <f t="shared" ca="1" si="19"/>
        <v>44963</v>
      </c>
      <c r="AK147" s="342">
        <f t="shared" ca="1" si="20"/>
        <v>447</v>
      </c>
      <c r="AL147" s="342">
        <f t="shared" ca="1" si="21"/>
        <v>345</v>
      </c>
      <c r="AM147" s="284"/>
      <c r="AN147" s="284" t="s">
        <v>2893</v>
      </c>
      <c r="AO147" s="343">
        <v>11.71</v>
      </c>
      <c r="AP147" s="343">
        <v>11.72</v>
      </c>
      <c r="AQ147" s="343">
        <v>11.744999999999999</v>
      </c>
      <c r="AR147" s="343">
        <v>11.75</v>
      </c>
      <c r="AS147" s="331">
        <f t="shared" ca="1" si="22"/>
        <v>349</v>
      </c>
      <c r="AV147" s="331" t="s">
        <v>136</v>
      </c>
      <c r="BI147" s="347"/>
    </row>
    <row r="148" spans="1:61" s="331" customFormat="1" ht="18" customHeight="1" x14ac:dyDescent="0.35">
      <c r="A148" s="334"/>
      <c r="B148" s="335" t="e">
        <f ca="1">IF(A148="",(IF(ISNUMBER(SUBSTITUTE(LEFT(RIGHT(E148,LEN(E148)-MIN(SEARCH({1,2,3,4,5,6,7,8,9,0},E148&amp;"1234567890"))+1),10),".","/"))=TRUE,AJ148-(SUBSTITUTE(LEFT(RIGHT(E148,LEN(E148)-MIN(SEARCH({1,2,3,4,5,6,7,8,9,0},E148&amp;"1234567890"))+1),10),".","/")),IF((SUBSTITUTE(LEFT(RIGHT(E148,LEN(E148)-MIN(SEARCH({1,2,3,4,5,6,7,8,9,0},E148&amp;"1234567890"))+1),10),".","/"))="","",(AJ148)-(MID(RIGHT((SUBSTITUTE(LEFT(RIGHT(E148,LEN(E148)-MIN(SEARCH({1,2,3,4,5,6,7,8,9,0},E148&amp;"1234567890"))+1),10),".","/")),10),4,2)&amp;"/"&amp;LEFT((RIGHT((SUBSTITUTE(LEFT(RIGHT(E148,LEN(E148)-MIN(SEARCH({1,2,3,4,5,6,7,8,9,0},E148&amp;"1234567890"))+1),10),".","/")),10)),2)&amp;"/"&amp;RIGHT((SUBSTITUTE(LEFT(RIGHT(E148,LEN(E148)-MIN(SEARCH({1,2,3,4,5,6,7,8,9,0},E148&amp;"1234567890"))+1),10),".","/")),4))))),(AJ148-A148))</f>
        <v>#VALUE!</v>
      </c>
      <c r="C148" s="334"/>
      <c r="D148" s="294" t="str">
        <f t="shared" si="18"/>
        <v>FGM-304L/2B-001X768</v>
      </c>
      <c r="E148" s="294" t="s">
        <v>3713</v>
      </c>
      <c r="F148" s="294" t="s">
        <v>2891</v>
      </c>
      <c r="G148" s="294" t="s">
        <v>4023</v>
      </c>
      <c r="H148" s="294" t="s">
        <v>230</v>
      </c>
      <c r="I148" s="337" t="s">
        <v>116</v>
      </c>
      <c r="J148" s="149">
        <v>3.23</v>
      </c>
      <c r="K148" s="149">
        <v>1.1599999999999999</v>
      </c>
      <c r="L148" s="149">
        <v>1.1299999999999999</v>
      </c>
      <c r="M148" s="149">
        <v>1.1499999999999999</v>
      </c>
      <c r="N148" s="335">
        <v>768</v>
      </c>
      <c r="O148" s="296">
        <v>3.5750000000000002</v>
      </c>
      <c r="P148" s="345"/>
      <c r="Q148" s="138" t="s">
        <v>3598</v>
      </c>
      <c r="R148" s="339"/>
      <c r="S148" s="339"/>
      <c r="T148" s="299" t="s">
        <v>3719</v>
      </c>
      <c r="U148" s="282" t="s">
        <v>284</v>
      </c>
      <c r="V148" s="282"/>
      <c r="W148" s="138" t="s">
        <v>116</v>
      </c>
      <c r="X148" s="340">
        <v>44614</v>
      </c>
      <c r="Y148" s="340">
        <v>44614</v>
      </c>
      <c r="Z148" s="340">
        <v>44618</v>
      </c>
      <c r="AA148" s="340"/>
      <c r="AB148" s="340"/>
      <c r="AC148" s="341"/>
      <c r="AD148" s="342" t="s">
        <v>64</v>
      </c>
      <c r="AE148" s="342" t="s">
        <v>154</v>
      </c>
      <c r="AF148" s="284" t="s">
        <v>1330</v>
      </c>
      <c r="AG148" s="284"/>
      <c r="AH148" s="284">
        <v>44516</v>
      </c>
      <c r="AI148" s="284"/>
      <c r="AJ148" s="334">
        <f t="shared" ca="1" si="19"/>
        <v>44963</v>
      </c>
      <c r="AK148" s="342">
        <f t="shared" ca="1" si="20"/>
        <v>447</v>
      </c>
      <c r="AL148" s="342">
        <f t="shared" ca="1" si="21"/>
        <v>345</v>
      </c>
      <c r="AM148" s="284"/>
      <c r="AN148" s="284" t="s">
        <v>2893</v>
      </c>
      <c r="AO148" s="343">
        <v>11.71</v>
      </c>
      <c r="AP148" s="343">
        <v>11.72</v>
      </c>
      <c r="AQ148" s="343">
        <v>11.744999999999999</v>
      </c>
      <c r="AR148" s="343">
        <v>11.75</v>
      </c>
      <c r="AS148" s="331">
        <f t="shared" ca="1" si="22"/>
        <v>349</v>
      </c>
      <c r="AV148" s="331" t="s">
        <v>136</v>
      </c>
      <c r="BI148" s="347"/>
    </row>
    <row r="149" spans="1:61" s="331" customFormat="1" ht="18" customHeight="1" x14ac:dyDescent="0.35">
      <c r="A149" s="334"/>
      <c r="B149" s="335" t="e">
        <f ca="1">IF(A149="",(IF(ISNUMBER(SUBSTITUTE(LEFT(RIGHT(E149,LEN(E149)-MIN(SEARCH({1,2,3,4,5,6,7,8,9,0},E149&amp;"1234567890"))+1),10),".","/"))=TRUE,AJ149-(SUBSTITUTE(LEFT(RIGHT(E149,LEN(E149)-MIN(SEARCH({1,2,3,4,5,6,7,8,9,0},E149&amp;"1234567890"))+1),10),".","/")),IF((SUBSTITUTE(LEFT(RIGHT(E149,LEN(E149)-MIN(SEARCH({1,2,3,4,5,6,7,8,9,0},E149&amp;"1234567890"))+1),10),".","/"))="","",(AJ149)-(MID(RIGHT((SUBSTITUTE(LEFT(RIGHT(E149,LEN(E149)-MIN(SEARCH({1,2,3,4,5,6,7,8,9,0},E149&amp;"1234567890"))+1),10),".","/")),10),4,2)&amp;"/"&amp;LEFT((RIGHT((SUBSTITUTE(LEFT(RIGHT(E149,LEN(E149)-MIN(SEARCH({1,2,3,4,5,6,7,8,9,0},E149&amp;"1234567890"))+1),10),".","/")),10)),2)&amp;"/"&amp;RIGHT((SUBSTITUTE(LEFT(RIGHT(E149,LEN(E149)-MIN(SEARCH({1,2,3,4,5,6,7,8,9,0},E149&amp;"1234567890"))+1),10),".","/")),4))))),(AJ149-A149))</f>
        <v>#VALUE!</v>
      </c>
      <c r="C149" s="334"/>
      <c r="D149" s="294" t="str">
        <f t="shared" si="18"/>
        <v>FGM-304L/2B-001X768</v>
      </c>
      <c r="E149" s="294" t="s">
        <v>3713</v>
      </c>
      <c r="F149" s="294" t="s">
        <v>2891</v>
      </c>
      <c r="G149" s="294" t="s">
        <v>4024</v>
      </c>
      <c r="H149" s="294" t="s">
        <v>230</v>
      </c>
      <c r="I149" s="337" t="s">
        <v>116</v>
      </c>
      <c r="J149" s="149">
        <v>3.23</v>
      </c>
      <c r="K149" s="149">
        <v>1.1599999999999999</v>
      </c>
      <c r="L149" s="149">
        <v>1.1299999999999999</v>
      </c>
      <c r="M149" s="149">
        <v>1.1499999999999999</v>
      </c>
      <c r="N149" s="335">
        <v>768</v>
      </c>
      <c r="O149" s="296">
        <v>4.18</v>
      </c>
      <c r="P149" s="345"/>
      <c r="Q149" s="138" t="s">
        <v>3598</v>
      </c>
      <c r="R149" s="339"/>
      <c r="S149" s="339"/>
      <c r="T149" s="299" t="s">
        <v>3719</v>
      </c>
      <c r="U149" s="282" t="s">
        <v>284</v>
      </c>
      <c r="V149" s="282"/>
      <c r="W149" s="138" t="s">
        <v>116</v>
      </c>
      <c r="X149" s="340">
        <v>44614</v>
      </c>
      <c r="Y149" s="340">
        <v>44614</v>
      </c>
      <c r="Z149" s="340">
        <v>44618</v>
      </c>
      <c r="AA149" s="340"/>
      <c r="AB149" s="340"/>
      <c r="AC149" s="341"/>
      <c r="AD149" s="342" t="s">
        <v>64</v>
      </c>
      <c r="AE149" s="342" t="s">
        <v>154</v>
      </c>
      <c r="AF149" s="284" t="s">
        <v>1330</v>
      </c>
      <c r="AG149" s="284"/>
      <c r="AH149" s="284">
        <v>44516</v>
      </c>
      <c r="AI149" s="284"/>
      <c r="AJ149" s="334">
        <f t="shared" ca="1" si="19"/>
        <v>44963</v>
      </c>
      <c r="AK149" s="342">
        <f t="shared" ca="1" si="20"/>
        <v>447</v>
      </c>
      <c r="AL149" s="342">
        <f t="shared" ca="1" si="21"/>
        <v>345</v>
      </c>
      <c r="AM149" s="284"/>
      <c r="AN149" s="284" t="s">
        <v>2893</v>
      </c>
      <c r="AO149" s="343">
        <v>11.71</v>
      </c>
      <c r="AP149" s="343">
        <v>11.72</v>
      </c>
      <c r="AQ149" s="343">
        <v>11.744999999999999</v>
      </c>
      <c r="AR149" s="343">
        <v>11.75</v>
      </c>
      <c r="AS149" s="331">
        <f t="shared" ca="1" si="22"/>
        <v>349</v>
      </c>
      <c r="AV149" s="331" t="s">
        <v>136</v>
      </c>
      <c r="BI149" s="347"/>
    </row>
    <row r="150" spans="1:61" s="331" customFormat="1" ht="18" customHeight="1" x14ac:dyDescent="0.35">
      <c r="A150" s="320"/>
      <c r="B150" s="319"/>
      <c r="C150" s="320"/>
      <c r="D150" s="302"/>
      <c r="E150" s="302"/>
      <c r="F150" s="302"/>
      <c r="G150" s="302"/>
      <c r="H150" s="302"/>
      <c r="I150" s="260"/>
      <c r="J150" s="321"/>
      <c r="K150" s="321"/>
      <c r="L150" s="321"/>
      <c r="M150" s="321"/>
      <c r="N150" s="319"/>
      <c r="O150" s="353">
        <f>SUM(O144:O149)</f>
        <v>21.654999999999998</v>
      </c>
      <c r="P150" s="323"/>
      <c r="Q150" s="301"/>
      <c r="R150" s="326"/>
      <c r="S150" s="326"/>
      <c r="T150" s="327"/>
      <c r="U150" s="328"/>
      <c r="V150" s="328"/>
      <c r="W150" s="301"/>
      <c r="X150" s="329"/>
      <c r="Y150" s="329"/>
      <c r="Z150" s="329"/>
      <c r="AA150" s="329"/>
      <c r="AB150" s="329"/>
      <c r="AC150" s="330"/>
      <c r="AF150" s="332"/>
      <c r="AG150" s="332"/>
      <c r="AH150" s="332"/>
      <c r="AI150" s="332"/>
      <c r="AJ150" s="320"/>
      <c r="AM150" s="332"/>
      <c r="AN150" s="332"/>
      <c r="AO150" s="333"/>
      <c r="AP150" s="333"/>
      <c r="AQ150" s="333"/>
      <c r="AR150" s="333"/>
      <c r="BI150" s="368"/>
    </row>
    <row r="151" spans="1:61" s="331" customFormat="1" ht="18" customHeight="1" x14ac:dyDescent="0.35">
      <c r="A151" s="320"/>
      <c r="B151" s="319"/>
      <c r="C151" s="320"/>
      <c r="D151" s="302"/>
      <c r="E151" s="302"/>
      <c r="F151" s="302"/>
      <c r="G151" s="302"/>
      <c r="H151" s="302"/>
      <c r="I151" s="260"/>
      <c r="J151" s="321"/>
      <c r="K151" s="321"/>
      <c r="L151" s="321"/>
      <c r="M151" s="321"/>
      <c r="N151" s="319"/>
      <c r="O151" s="353"/>
      <c r="P151" s="323"/>
      <c r="Q151" s="301"/>
      <c r="R151" s="326"/>
      <c r="S151" s="326"/>
      <c r="T151" s="327"/>
      <c r="U151" s="328"/>
      <c r="V151" s="328"/>
      <c r="W151" s="301"/>
      <c r="X151" s="329"/>
      <c r="Y151" s="329"/>
      <c r="Z151" s="329"/>
      <c r="AA151" s="329"/>
      <c r="AB151" s="329"/>
      <c r="AC151" s="330"/>
      <c r="AF151" s="332"/>
      <c r="AG151" s="332"/>
      <c r="AH151" s="332"/>
      <c r="AI151" s="332"/>
      <c r="AJ151" s="320"/>
      <c r="AM151" s="332"/>
      <c r="AN151" s="332"/>
      <c r="AO151" s="333"/>
      <c r="AP151" s="333"/>
      <c r="AQ151" s="333"/>
      <c r="AR151" s="333"/>
      <c r="BI151" s="368"/>
    </row>
    <row r="152" spans="1:61" s="331" customFormat="1" ht="20.25" customHeight="1" x14ac:dyDescent="0.35">
      <c r="A152" s="320"/>
      <c r="B152" s="320"/>
      <c r="C152" s="302"/>
      <c r="D152" s="302"/>
      <c r="F152" s="302"/>
      <c r="G152" s="302"/>
      <c r="H152" s="302"/>
      <c r="I152" s="260"/>
      <c r="J152" s="321"/>
      <c r="K152" s="321"/>
      <c r="L152" s="321"/>
      <c r="M152" s="321"/>
      <c r="N152" s="319"/>
      <c r="O152" s="353"/>
      <c r="P152" s="323"/>
      <c r="Q152" s="319"/>
      <c r="R152" s="125"/>
      <c r="S152" s="323"/>
      <c r="T152" s="323"/>
      <c r="U152" s="155"/>
      <c r="V152" s="328"/>
      <c r="W152" s="328"/>
      <c r="X152" s="329"/>
      <c r="Y152" s="329"/>
      <c r="Z152" s="329"/>
      <c r="AA152" s="329"/>
      <c r="AB152" s="329"/>
      <c r="AC152" s="330"/>
      <c r="AF152" s="332"/>
      <c r="AG152" s="332"/>
      <c r="AH152" s="332"/>
      <c r="AI152" s="332"/>
      <c r="AJ152" s="320"/>
      <c r="AM152" s="332"/>
      <c r="AN152" s="332"/>
      <c r="AO152" s="333"/>
      <c r="AP152" s="333"/>
      <c r="AQ152" s="333"/>
      <c r="AR152" s="333"/>
    </row>
    <row r="153" spans="1:61" s="331" customFormat="1" ht="20.25" customHeight="1" x14ac:dyDescent="0.35">
      <c r="A153" s="320"/>
      <c r="B153" s="320"/>
      <c r="C153" s="302"/>
      <c r="D153" s="302"/>
      <c r="F153" s="302"/>
      <c r="G153" s="302"/>
      <c r="H153" s="302"/>
      <c r="I153" s="260"/>
      <c r="J153" s="321"/>
      <c r="K153" s="321"/>
      <c r="L153" s="321"/>
      <c r="M153" s="321"/>
      <c r="N153" s="319"/>
      <c r="O153" s="319"/>
      <c r="P153" s="323"/>
      <c r="Q153" s="319"/>
      <c r="R153" s="125"/>
      <c r="S153" s="323"/>
      <c r="T153" s="323"/>
      <c r="U153" s="155"/>
      <c r="V153" s="328"/>
      <c r="W153" s="328"/>
      <c r="X153" s="329"/>
      <c r="Y153" s="329"/>
      <c r="Z153" s="329"/>
      <c r="AA153" s="329"/>
      <c r="AB153" s="329"/>
      <c r="AC153" s="330"/>
      <c r="AF153" s="332"/>
      <c r="AG153" s="332"/>
      <c r="AH153" s="332"/>
      <c r="AI153" s="332"/>
      <c r="AJ153" s="320"/>
      <c r="AM153" s="332"/>
      <c r="AN153" s="332"/>
      <c r="AO153" s="333"/>
      <c r="AP153" s="333"/>
      <c r="AQ153" s="333"/>
      <c r="AR153" s="333"/>
    </row>
    <row r="154" spans="1:61" s="312" customFormat="1" ht="19.5" customHeight="1" x14ac:dyDescent="0.35">
      <c r="A154" s="369" t="s">
        <v>4025</v>
      </c>
      <c r="B154" s="369"/>
      <c r="J154" s="313"/>
      <c r="K154" s="314"/>
      <c r="L154" s="314"/>
      <c r="M154" s="314"/>
      <c r="N154" s="315"/>
      <c r="O154" s="316"/>
      <c r="P154" s="316"/>
      <c r="Q154" s="316"/>
      <c r="R154" s="316"/>
      <c r="S154" s="316"/>
      <c r="T154" s="314"/>
      <c r="U154" s="313"/>
      <c r="V154" s="313"/>
      <c r="W154" s="313"/>
      <c r="X154" s="313"/>
      <c r="Y154" s="313"/>
      <c r="Z154" s="313"/>
      <c r="AA154" s="313"/>
      <c r="AB154" s="313"/>
      <c r="AC154" s="313"/>
      <c r="AD154" s="313"/>
      <c r="AO154" s="317"/>
      <c r="AP154" s="317"/>
      <c r="AQ154" s="317"/>
      <c r="AR154" s="313"/>
      <c r="AS154" s="313"/>
    </row>
    <row r="155" spans="1:61" s="331" customFormat="1" ht="18" customHeight="1" x14ac:dyDescent="0.35">
      <c r="A155" s="365" t="s">
        <v>4026</v>
      </c>
      <c r="B155" s="319"/>
      <c r="C155" s="320"/>
      <c r="D155" s="302"/>
      <c r="E155" s="302"/>
      <c r="F155" s="302"/>
      <c r="G155" s="302"/>
      <c r="H155" s="302"/>
      <c r="I155" s="260"/>
      <c r="J155" s="321"/>
      <c r="K155" s="321"/>
      <c r="L155" s="321"/>
      <c r="M155" s="321"/>
      <c r="N155" s="319"/>
      <c r="O155" s="322"/>
      <c r="P155" s="323"/>
      <c r="Q155" s="301"/>
      <c r="R155" s="301"/>
      <c r="S155" s="326"/>
      <c r="T155" s="370"/>
      <c r="U155" s="328"/>
      <c r="V155" s="328"/>
      <c r="W155" s="301"/>
      <c r="X155" s="329"/>
      <c r="Y155" s="329"/>
      <c r="Z155" s="329"/>
      <c r="AA155" s="329"/>
      <c r="AB155" s="329"/>
      <c r="AC155" s="330"/>
      <c r="AF155" s="332"/>
      <c r="AG155" s="332"/>
      <c r="AH155" s="332"/>
      <c r="AI155" s="332"/>
      <c r="AJ155" s="320"/>
      <c r="AM155" s="332"/>
      <c r="AN155" s="332"/>
      <c r="AO155" s="333"/>
      <c r="AP155" s="333"/>
      <c r="AQ155" s="333"/>
      <c r="AR155" s="333"/>
    </row>
    <row r="156" spans="1:61" s="331" customFormat="1" ht="18" customHeight="1" x14ac:dyDescent="0.35">
      <c r="A156" s="334">
        <v>44524</v>
      </c>
      <c r="B156" s="335">
        <f ca="1">IF(A156="",(IF(ISNUMBER(SUBSTITUTE(LEFT(RIGHT(E156,LEN(E156)-MIN(SEARCH({1,2,3,4,5,6,7,8,9,0},E156&amp;"1234567890"))+1),10),".","/"))=TRUE,AJ156-(SUBSTITUTE(LEFT(RIGHT(E156,LEN(E156)-MIN(SEARCH({1,2,3,4,5,6,7,8,9,0},E156&amp;"1234567890"))+1),10),".","/")),IF((SUBSTITUTE(LEFT(RIGHT(E156,LEN(E156)-MIN(SEARCH({1,2,3,4,5,6,7,8,9,0},E156&amp;"1234567890"))+1),10),".","/"))="","",(AJ156)-(MID(RIGHT((SUBSTITUTE(LEFT(RIGHT(E156,LEN(E156)-MIN(SEARCH({1,2,3,4,5,6,7,8,9,0},E156&amp;"1234567890"))+1),10),".","/")),10),4,2)&amp;"/"&amp;LEFT((RIGHT((SUBSTITUTE(LEFT(RIGHT(E156,LEN(E156)-MIN(SEARCH({1,2,3,4,5,6,7,8,9,0},E156&amp;"1234567890"))+1),10),".","/")),10)),2)&amp;"/"&amp;RIGHT((SUBSTITUTE(LEFT(RIGHT(E156,LEN(E156)-MIN(SEARCH({1,2,3,4,5,6,7,8,9,0},E156&amp;"1234567890"))+1),10),".","/")),4))))),(AJ156-A156))</f>
        <v>439</v>
      </c>
      <c r="C156" s="334"/>
      <c r="D156" s="294" t="str">
        <f t="shared" ref="D156:D179" si="23">IF(Q156="MULTI","FGM","FGC")&amp;"-"&amp;H156&amp;"/"&amp;I156&amp;"-"&amp;TEXT(K156,"0.00")&amp;"X"&amp;IF(Q156="MULTI",N156,Q156)</f>
        <v>FGC-304/304L/2B-001X759</v>
      </c>
      <c r="E156" s="294" t="s">
        <v>4027</v>
      </c>
      <c r="F156" s="294" t="s">
        <v>4028</v>
      </c>
      <c r="G156" s="294" t="s">
        <v>4029</v>
      </c>
      <c r="H156" s="294" t="s">
        <v>377</v>
      </c>
      <c r="I156" s="337" t="s">
        <v>116</v>
      </c>
      <c r="J156" s="149">
        <v>2.81</v>
      </c>
      <c r="K156" s="149">
        <v>0.6</v>
      </c>
      <c r="L156" s="149">
        <v>0.57999999999999996</v>
      </c>
      <c r="M156" s="149">
        <v>0.59</v>
      </c>
      <c r="N156" s="335">
        <v>770</v>
      </c>
      <c r="O156" s="296">
        <v>5.98</v>
      </c>
      <c r="P156" s="345">
        <v>6.02</v>
      </c>
      <c r="Q156" s="138">
        <v>759</v>
      </c>
      <c r="R156" s="138"/>
      <c r="S156" s="339"/>
      <c r="T156" s="299" t="s">
        <v>3614</v>
      </c>
      <c r="U156" s="282" t="s">
        <v>1143</v>
      </c>
      <c r="V156" s="282"/>
      <c r="W156" s="138" t="s">
        <v>116</v>
      </c>
      <c r="X156" s="340">
        <v>44488</v>
      </c>
      <c r="Y156" s="340">
        <v>44490</v>
      </c>
      <c r="Z156" s="340">
        <v>44495</v>
      </c>
      <c r="AA156" s="340"/>
      <c r="AB156" s="340"/>
      <c r="AC156" s="341"/>
      <c r="AD156" s="342" t="s">
        <v>64</v>
      </c>
      <c r="AE156" s="342" t="s">
        <v>154</v>
      </c>
      <c r="AF156" s="284" t="s">
        <v>793</v>
      </c>
      <c r="AG156" s="284"/>
      <c r="AH156" s="284">
        <v>44444</v>
      </c>
      <c r="AI156" s="284"/>
      <c r="AJ156" s="334">
        <f t="shared" ref="AJ156:AJ178" ca="1" si="24">TODAY()</f>
        <v>44963</v>
      </c>
      <c r="AK156" s="342">
        <f t="shared" ref="AK156:AK179" ca="1" si="25">IF(AH156&lt;&gt;0,AJ156-AH156,0)</f>
        <v>519</v>
      </c>
      <c r="AL156" s="342">
        <f t="shared" ref="AL156:AL179" ca="1" si="26">IF(ISNUMBER(Z156)=TRUE,AJ156-Z156,IF(Z156="","",(AJ156)-(MID(RIGHT(Z156,10),4,2)&amp;"/"&amp;LEFT((RIGHT(Z156,10)),2)&amp;"/"&amp;RIGHT(Z156,4))))</f>
        <v>468</v>
      </c>
      <c r="AM156" s="284"/>
      <c r="AN156" s="284" t="s">
        <v>4030</v>
      </c>
      <c r="AO156" s="343">
        <v>12.12</v>
      </c>
      <c r="AP156" s="343">
        <v>12.13</v>
      </c>
      <c r="AQ156" s="343">
        <v>12.154999999999999</v>
      </c>
      <c r="AR156" s="343">
        <v>12.16</v>
      </c>
      <c r="AS156" s="331">
        <f t="shared" ref="AS156:AS179" ca="1" si="27">IF(ISNUMBER(Y156)=TRUE,AJ156-Y156,IF(Y156="","",(AJ156)-(MID(RIGHT(Y156,10),4,2)&amp;"/"&amp;LEFT((RIGHT(Y156,10)),2)&amp;"/"&amp;RIGHT(Y156,4))))</f>
        <v>473</v>
      </c>
      <c r="AV156" s="331" t="s">
        <v>136</v>
      </c>
    </row>
    <row r="157" spans="1:61" s="331" customFormat="1" ht="18" customHeight="1" x14ac:dyDescent="0.35">
      <c r="A157" s="334">
        <v>44614</v>
      </c>
      <c r="B157" s="335">
        <f ca="1">IF(A157="",(IF(ISNUMBER(SUBSTITUTE(LEFT(RIGHT(E157,LEN(E157)-MIN(SEARCH({1,2,3,4,5,6,7,8,9,0},E157&amp;"1234567890"))+1),10),".","/"))=TRUE,AJ157-(SUBSTITUTE(LEFT(RIGHT(E157,LEN(E157)-MIN(SEARCH({1,2,3,4,5,6,7,8,9,0},E157&amp;"1234567890"))+1),10),".","/")),IF((SUBSTITUTE(LEFT(RIGHT(E157,LEN(E157)-MIN(SEARCH({1,2,3,4,5,6,7,8,9,0},E157&amp;"1234567890"))+1),10),".","/"))="","",(AJ157)-(MID(RIGHT((SUBSTITUTE(LEFT(RIGHT(E157,LEN(E157)-MIN(SEARCH({1,2,3,4,5,6,7,8,9,0},E157&amp;"1234567890"))+1),10),".","/")),10),4,2)&amp;"/"&amp;LEFT((RIGHT((SUBSTITUTE(LEFT(RIGHT(E157,LEN(E157)-MIN(SEARCH({1,2,3,4,5,6,7,8,9,0},E157&amp;"1234567890"))+1),10),".","/")),10)),2)&amp;"/"&amp;RIGHT((SUBSTITUTE(LEFT(RIGHT(E157,LEN(E157)-MIN(SEARCH({1,2,3,4,5,6,7,8,9,0},E157&amp;"1234567890"))+1),10),".","/")),4))))),(AJ157-A157))</f>
        <v>349</v>
      </c>
      <c r="C157" s="334"/>
      <c r="D157" s="294" t="str">
        <f t="shared" si="23"/>
        <v>FGC-304L/2B-001X759</v>
      </c>
      <c r="E157" s="294" t="s">
        <v>3612</v>
      </c>
      <c r="F157" s="294" t="s">
        <v>3248</v>
      </c>
      <c r="G157" s="294" t="s">
        <v>4031</v>
      </c>
      <c r="H157" s="294" t="s">
        <v>230</v>
      </c>
      <c r="I157" s="337" t="s">
        <v>116</v>
      </c>
      <c r="J157" s="149">
        <v>3.49</v>
      </c>
      <c r="K157" s="149">
        <v>1.22</v>
      </c>
      <c r="L157" s="149">
        <v>1.2</v>
      </c>
      <c r="M157" s="149">
        <v>1.24</v>
      </c>
      <c r="N157" s="335">
        <v>776</v>
      </c>
      <c r="O157" s="296">
        <f>5.055</f>
        <v>5.0549999999999997</v>
      </c>
      <c r="P157" s="345">
        <v>5.09</v>
      </c>
      <c r="Q157" s="138">
        <v>759</v>
      </c>
      <c r="R157" s="339"/>
      <c r="S157" s="339"/>
      <c r="T157" s="299" t="s">
        <v>3614</v>
      </c>
      <c r="U157" s="282" t="s">
        <v>1143</v>
      </c>
      <c r="V157" s="282"/>
      <c r="W157" s="138" t="s">
        <v>116</v>
      </c>
      <c r="X157" s="340">
        <v>44536</v>
      </c>
      <c r="Y157" s="340">
        <v>44537</v>
      </c>
      <c r="Z157" s="340">
        <v>44602</v>
      </c>
      <c r="AA157" s="340"/>
      <c r="AB157" s="340"/>
      <c r="AC157" s="341"/>
      <c r="AD157" s="342" t="s">
        <v>64</v>
      </c>
      <c r="AE157" s="342" t="s">
        <v>154</v>
      </c>
      <c r="AF157" s="284" t="s">
        <v>1330</v>
      </c>
      <c r="AG157" s="284"/>
      <c r="AH157" s="284">
        <v>44516</v>
      </c>
      <c r="AI157" s="284"/>
      <c r="AJ157" s="334">
        <f t="shared" ca="1" si="24"/>
        <v>44963</v>
      </c>
      <c r="AK157" s="342">
        <f t="shared" ca="1" si="25"/>
        <v>447</v>
      </c>
      <c r="AL157" s="342">
        <f t="shared" ca="1" si="26"/>
        <v>361</v>
      </c>
      <c r="AM157" s="284"/>
      <c r="AN157" s="284" t="s">
        <v>3250</v>
      </c>
      <c r="AO157" s="343">
        <v>10.32</v>
      </c>
      <c r="AP157" s="343">
        <v>10.33</v>
      </c>
      <c r="AQ157" s="343">
        <v>10.354999999999999</v>
      </c>
      <c r="AR157" s="343">
        <v>10.36</v>
      </c>
      <c r="AS157" s="331">
        <f t="shared" ca="1" si="27"/>
        <v>426</v>
      </c>
      <c r="AV157" s="331" t="s">
        <v>136</v>
      </c>
      <c r="BI157" s="347"/>
    </row>
    <row r="158" spans="1:61" s="331" customFormat="1" ht="18" customHeight="1" x14ac:dyDescent="0.35">
      <c r="A158" s="334">
        <v>44609</v>
      </c>
      <c r="B158" s="335">
        <f ca="1">IF(A158="",(IF(ISNUMBER(SUBSTITUTE(LEFT(RIGHT(E158,LEN(E158)-MIN(SEARCH({1,2,3,4,5,6,7,8,9,0},E158&amp;"1234567890"))+1),10),".","/"))=TRUE,AJ158-(SUBSTITUTE(LEFT(RIGHT(E158,LEN(E158)-MIN(SEARCH({1,2,3,4,5,6,7,8,9,0},E158&amp;"1234567890"))+1),10),".","/")),IF((SUBSTITUTE(LEFT(RIGHT(E158,LEN(E158)-MIN(SEARCH({1,2,3,4,5,6,7,8,9,0},E158&amp;"1234567890"))+1),10),".","/"))="","",(AJ158)-(MID(RIGHT((SUBSTITUTE(LEFT(RIGHT(E158,LEN(E158)-MIN(SEARCH({1,2,3,4,5,6,7,8,9,0},E158&amp;"1234567890"))+1),10),".","/")),10),4,2)&amp;"/"&amp;LEFT((RIGHT((SUBSTITUTE(LEFT(RIGHT(E158,LEN(E158)-MIN(SEARCH({1,2,3,4,5,6,7,8,9,0},E158&amp;"1234567890"))+1),10),".","/")),10)),2)&amp;"/"&amp;RIGHT((SUBSTITUTE(LEFT(RIGHT(E158,LEN(E158)-MIN(SEARCH({1,2,3,4,5,6,7,8,9,0},E158&amp;"1234567890"))+1),10),".","/")),4))))),(AJ158-A158))</f>
        <v>354</v>
      </c>
      <c r="C158" s="334"/>
      <c r="D158" s="294" t="str">
        <f t="shared" si="23"/>
        <v>FGC-304L/2B-001X759</v>
      </c>
      <c r="E158" s="294" t="s">
        <v>3612</v>
      </c>
      <c r="F158" s="294" t="s">
        <v>3248</v>
      </c>
      <c r="G158" s="294" t="s">
        <v>4032</v>
      </c>
      <c r="H158" s="294" t="s">
        <v>230</v>
      </c>
      <c r="I158" s="337" t="s">
        <v>116</v>
      </c>
      <c r="J158" s="149">
        <v>3.49</v>
      </c>
      <c r="K158" s="149">
        <v>1.22</v>
      </c>
      <c r="L158" s="149">
        <v>1.2</v>
      </c>
      <c r="M158" s="149">
        <v>1.24</v>
      </c>
      <c r="N158" s="335">
        <v>776</v>
      </c>
      <c r="O158" s="296">
        <v>4.96</v>
      </c>
      <c r="P158" s="345">
        <v>5.0049999999999999</v>
      </c>
      <c r="Q158" s="138">
        <v>759</v>
      </c>
      <c r="R158" s="339"/>
      <c r="S158" s="339"/>
      <c r="T158" s="299" t="s">
        <v>3614</v>
      </c>
      <c r="U158" s="282" t="s">
        <v>1143</v>
      </c>
      <c r="V158" s="282"/>
      <c r="W158" s="138" t="s">
        <v>116</v>
      </c>
      <c r="X158" s="340">
        <v>44536</v>
      </c>
      <c r="Y158" s="340">
        <v>44537</v>
      </c>
      <c r="Z158" s="340">
        <v>44602</v>
      </c>
      <c r="AA158" s="340"/>
      <c r="AB158" s="340"/>
      <c r="AC158" s="341"/>
      <c r="AD158" s="342" t="s">
        <v>64</v>
      </c>
      <c r="AE158" s="342" t="s">
        <v>154</v>
      </c>
      <c r="AF158" s="284" t="s">
        <v>1330</v>
      </c>
      <c r="AG158" s="284"/>
      <c r="AH158" s="284">
        <v>44516</v>
      </c>
      <c r="AI158" s="284"/>
      <c r="AJ158" s="334">
        <f t="shared" ca="1" si="24"/>
        <v>44963</v>
      </c>
      <c r="AK158" s="342">
        <f t="shared" ca="1" si="25"/>
        <v>447</v>
      </c>
      <c r="AL158" s="342">
        <f t="shared" ca="1" si="26"/>
        <v>361</v>
      </c>
      <c r="AM158" s="284"/>
      <c r="AN158" s="284" t="s">
        <v>3250</v>
      </c>
      <c r="AO158" s="343">
        <v>10.32</v>
      </c>
      <c r="AP158" s="343">
        <v>10.33</v>
      </c>
      <c r="AQ158" s="343">
        <v>10.354999999999999</v>
      </c>
      <c r="AR158" s="343">
        <v>10.36</v>
      </c>
      <c r="AS158" s="331">
        <f t="shared" ca="1" si="27"/>
        <v>426</v>
      </c>
      <c r="AV158" s="331" t="s">
        <v>136</v>
      </c>
      <c r="BI158" s="347"/>
    </row>
    <row r="159" spans="1:61" s="331" customFormat="1" ht="18" customHeight="1" x14ac:dyDescent="0.35">
      <c r="A159" s="334">
        <v>44608</v>
      </c>
      <c r="B159" s="335">
        <f ca="1">IF(A159="",(IF(ISNUMBER(SUBSTITUTE(LEFT(RIGHT(E159,LEN(E159)-MIN(SEARCH({1,2,3,4,5,6,7,8,9,0},E159&amp;"1234567890"))+1),10),".","/"))=TRUE,AJ159-(SUBSTITUTE(LEFT(RIGHT(E159,LEN(E159)-MIN(SEARCH({1,2,3,4,5,6,7,8,9,0},E159&amp;"1234567890"))+1),10),".","/")),IF((SUBSTITUTE(LEFT(RIGHT(E159,LEN(E159)-MIN(SEARCH({1,2,3,4,5,6,7,8,9,0},E159&amp;"1234567890"))+1),10),".","/"))="","",(AJ159)-(MID(RIGHT((SUBSTITUTE(LEFT(RIGHT(E159,LEN(E159)-MIN(SEARCH({1,2,3,4,5,6,7,8,9,0},E159&amp;"1234567890"))+1),10),".","/")),10),4,2)&amp;"/"&amp;LEFT((RIGHT((SUBSTITUTE(LEFT(RIGHT(E159,LEN(E159)-MIN(SEARCH({1,2,3,4,5,6,7,8,9,0},E159&amp;"1234567890"))+1),10),".","/")),10)),2)&amp;"/"&amp;RIGHT((SUBSTITUTE(LEFT(RIGHT(E159,LEN(E159)-MIN(SEARCH({1,2,3,4,5,6,7,8,9,0},E159&amp;"1234567890"))+1),10),".","/")),4))))),(AJ159-A159))</f>
        <v>355</v>
      </c>
      <c r="C159" s="334"/>
      <c r="D159" s="294" t="str">
        <f t="shared" si="23"/>
        <v>FGC-304L/2B-001X759</v>
      </c>
      <c r="E159" s="294" t="s">
        <v>3612</v>
      </c>
      <c r="F159" s="294" t="s">
        <v>3254</v>
      </c>
      <c r="G159" s="294" t="s">
        <v>4033</v>
      </c>
      <c r="H159" s="294" t="s">
        <v>230</v>
      </c>
      <c r="I159" s="337" t="s">
        <v>116</v>
      </c>
      <c r="J159" s="149">
        <v>3.78</v>
      </c>
      <c r="K159" s="149">
        <v>1.22</v>
      </c>
      <c r="L159" s="149">
        <v>1.21</v>
      </c>
      <c r="M159" s="149">
        <v>1.23</v>
      </c>
      <c r="N159" s="335">
        <v>774</v>
      </c>
      <c r="O159" s="296">
        <f>5.055</f>
        <v>5.0549999999999997</v>
      </c>
      <c r="P159" s="345">
        <v>5.0949999999999998</v>
      </c>
      <c r="Q159" s="138">
        <v>759</v>
      </c>
      <c r="R159" s="339"/>
      <c r="S159" s="339"/>
      <c r="T159" s="299" t="s">
        <v>3614</v>
      </c>
      <c r="U159" s="282" t="s">
        <v>1143</v>
      </c>
      <c r="V159" s="282"/>
      <c r="W159" s="138" t="s">
        <v>116</v>
      </c>
      <c r="X159" s="340">
        <v>44537</v>
      </c>
      <c r="Y159" s="340">
        <v>44538</v>
      </c>
      <c r="Z159" s="340">
        <v>44603</v>
      </c>
      <c r="AA159" s="340"/>
      <c r="AB159" s="340"/>
      <c r="AC159" s="341"/>
      <c r="AD159" s="342" t="s">
        <v>64</v>
      </c>
      <c r="AE159" s="342" t="s">
        <v>154</v>
      </c>
      <c r="AF159" s="284" t="s">
        <v>1330</v>
      </c>
      <c r="AG159" s="284"/>
      <c r="AH159" s="284">
        <v>44516</v>
      </c>
      <c r="AI159" s="284"/>
      <c r="AJ159" s="334">
        <f t="shared" ca="1" si="24"/>
        <v>44963</v>
      </c>
      <c r="AK159" s="342">
        <f t="shared" ca="1" si="25"/>
        <v>447</v>
      </c>
      <c r="AL159" s="342">
        <f t="shared" ca="1" si="26"/>
        <v>360</v>
      </c>
      <c r="AM159" s="284"/>
      <c r="AN159" s="284" t="s">
        <v>3256</v>
      </c>
      <c r="AO159" s="343">
        <v>11.93</v>
      </c>
      <c r="AP159" s="343">
        <v>11.94</v>
      </c>
      <c r="AQ159" s="343">
        <v>11.964999999999998</v>
      </c>
      <c r="AR159" s="343">
        <v>11.969999999999999</v>
      </c>
      <c r="AS159" s="331">
        <f t="shared" ca="1" si="27"/>
        <v>425</v>
      </c>
      <c r="AV159" s="331" t="s">
        <v>136</v>
      </c>
      <c r="BI159" s="347"/>
    </row>
    <row r="160" spans="1:61" s="331" customFormat="1" ht="18" customHeight="1" x14ac:dyDescent="0.35">
      <c r="A160" s="334">
        <v>44615</v>
      </c>
      <c r="B160" s="335">
        <f ca="1">IF(A160="",(IF(ISNUMBER(SUBSTITUTE(LEFT(RIGHT(E160,LEN(E160)-MIN(SEARCH({1,2,3,4,5,6,7,8,9,0},E160&amp;"1234567890"))+1),10),".","/"))=TRUE,AJ160-(SUBSTITUTE(LEFT(RIGHT(E160,LEN(E160)-MIN(SEARCH({1,2,3,4,5,6,7,8,9,0},E160&amp;"1234567890"))+1),10),".","/")),IF((SUBSTITUTE(LEFT(RIGHT(E160,LEN(E160)-MIN(SEARCH({1,2,3,4,5,6,7,8,9,0},E160&amp;"1234567890"))+1),10),".","/"))="","",(AJ160)-(MID(RIGHT((SUBSTITUTE(LEFT(RIGHT(E160,LEN(E160)-MIN(SEARCH({1,2,3,4,5,6,7,8,9,0},E160&amp;"1234567890"))+1),10),".","/")),10),4,2)&amp;"/"&amp;LEFT((RIGHT((SUBSTITUTE(LEFT(RIGHT(E160,LEN(E160)-MIN(SEARCH({1,2,3,4,5,6,7,8,9,0},E160&amp;"1234567890"))+1),10),".","/")),10)),2)&amp;"/"&amp;RIGHT((SUBSTITUTE(LEFT(RIGHT(E160,LEN(E160)-MIN(SEARCH({1,2,3,4,5,6,7,8,9,0},E160&amp;"1234567890"))+1),10),".","/")),4))))),(AJ160-A160))</f>
        <v>348</v>
      </c>
      <c r="C160" s="334"/>
      <c r="D160" s="294" t="str">
        <f t="shared" si="23"/>
        <v>FGC-304L/2B-001X759</v>
      </c>
      <c r="E160" s="294" t="s">
        <v>3612</v>
      </c>
      <c r="F160" s="294" t="s">
        <v>3254</v>
      </c>
      <c r="G160" s="294" t="s">
        <v>4034</v>
      </c>
      <c r="H160" s="294" t="s">
        <v>230</v>
      </c>
      <c r="I160" s="337" t="s">
        <v>116</v>
      </c>
      <c r="J160" s="149">
        <v>3.78</v>
      </c>
      <c r="K160" s="149">
        <v>1.22</v>
      </c>
      <c r="L160" s="149">
        <v>1.21</v>
      </c>
      <c r="M160" s="149">
        <v>1.23</v>
      </c>
      <c r="N160" s="335">
        <v>774</v>
      </c>
      <c r="O160" s="296">
        <v>6.5549999999999997</v>
      </c>
      <c r="P160" s="345">
        <v>6.62</v>
      </c>
      <c r="Q160" s="138">
        <v>759</v>
      </c>
      <c r="R160" s="339"/>
      <c r="S160" s="339"/>
      <c r="T160" s="299" t="s">
        <v>3614</v>
      </c>
      <c r="U160" s="282" t="s">
        <v>1143</v>
      </c>
      <c r="V160" s="282"/>
      <c r="W160" s="138" t="s">
        <v>116</v>
      </c>
      <c r="X160" s="340">
        <v>44537</v>
      </c>
      <c r="Y160" s="340">
        <v>44538</v>
      </c>
      <c r="Z160" s="340">
        <v>44603</v>
      </c>
      <c r="AA160" s="340"/>
      <c r="AB160" s="340"/>
      <c r="AC160" s="341"/>
      <c r="AD160" s="342" t="s">
        <v>64</v>
      </c>
      <c r="AE160" s="342" t="s">
        <v>154</v>
      </c>
      <c r="AF160" s="284" t="s">
        <v>1330</v>
      </c>
      <c r="AG160" s="284"/>
      <c r="AH160" s="284">
        <v>44516</v>
      </c>
      <c r="AI160" s="284"/>
      <c r="AJ160" s="334">
        <f t="shared" ca="1" si="24"/>
        <v>44963</v>
      </c>
      <c r="AK160" s="342">
        <f t="shared" ca="1" si="25"/>
        <v>447</v>
      </c>
      <c r="AL160" s="342">
        <f t="shared" ca="1" si="26"/>
        <v>360</v>
      </c>
      <c r="AM160" s="284"/>
      <c r="AN160" s="284" t="s">
        <v>3256</v>
      </c>
      <c r="AO160" s="343">
        <v>11.93</v>
      </c>
      <c r="AP160" s="343">
        <v>11.94</v>
      </c>
      <c r="AQ160" s="343">
        <v>11.964999999999998</v>
      </c>
      <c r="AR160" s="343">
        <v>11.969999999999999</v>
      </c>
      <c r="AS160" s="331">
        <f t="shared" ca="1" si="27"/>
        <v>425</v>
      </c>
      <c r="AV160" s="331" t="s">
        <v>136</v>
      </c>
      <c r="BI160" s="347"/>
    </row>
    <row r="161" spans="1:61" s="331" customFormat="1" ht="18" customHeight="1" x14ac:dyDescent="0.35">
      <c r="A161" s="334"/>
      <c r="B161" s="335" t="e">
        <f ca="1">IF(A161="",(IF(ISNUMBER(SUBSTITUTE(LEFT(RIGHT(E161,LEN(E161)-MIN(SEARCH({1,2,3,4,5,6,7,8,9,0},E161&amp;"1234567890"))+1),10),".","/"))=TRUE,AJ161-(SUBSTITUTE(LEFT(RIGHT(E161,LEN(E161)-MIN(SEARCH({1,2,3,4,5,6,7,8,9,0},E161&amp;"1234567890"))+1),10),".","/")),IF((SUBSTITUTE(LEFT(RIGHT(E161,LEN(E161)-MIN(SEARCH({1,2,3,4,5,6,7,8,9,0},E161&amp;"1234567890"))+1),10),".","/"))="","",(AJ161)-(MID(RIGHT((SUBSTITUTE(LEFT(RIGHT(E161,LEN(E161)-MIN(SEARCH({1,2,3,4,5,6,7,8,9,0},E161&amp;"1234567890"))+1),10),".","/")),10),4,2)&amp;"/"&amp;LEFT((RIGHT((SUBSTITUTE(LEFT(RIGHT(E161,LEN(E161)-MIN(SEARCH({1,2,3,4,5,6,7,8,9,0},E161&amp;"1234567890"))+1),10),".","/")),10)),2)&amp;"/"&amp;RIGHT((SUBSTITUTE(LEFT(RIGHT(E161,LEN(E161)-MIN(SEARCH({1,2,3,4,5,6,7,8,9,0},E161&amp;"1234567890"))+1),10),".","/")),4))))),(AJ161-A161))</f>
        <v>#VALUE!</v>
      </c>
      <c r="C161" s="334"/>
      <c r="D161" s="294" t="str">
        <f t="shared" si="23"/>
        <v>FGC-304L/2B-001X759</v>
      </c>
      <c r="E161" s="294" t="s">
        <v>3642</v>
      </c>
      <c r="F161" s="294" t="s">
        <v>1218</v>
      </c>
      <c r="G161" s="294" t="s">
        <v>3644</v>
      </c>
      <c r="H161" s="294" t="s">
        <v>230</v>
      </c>
      <c r="I161" s="337" t="s">
        <v>116</v>
      </c>
      <c r="J161" s="149">
        <v>2.89</v>
      </c>
      <c r="K161" s="149">
        <v>0.74</v>
      </c>
      <c r="L161" s="149">
        <v>0.75</v>
      </c>
      <c r="M161" s="149">
        <v>0.77</v>
      </c>
      <c r="N161" s="335">
        <v>770</v>
      </c>
      <c r="O161" s="296">
        <v>7.1349999999999998</v>
      </c>
      <c r="P161" s="345"/>
      <c r="Q161" s="138">
        <v>759</v>
      </c>
      <c r="R161" s="339"/>
      <c r="S161" s="339"/>
      <c r="T161" s="299" t="s">
        <v>3614</v>
      </c>
      <c r="U161" s="282" t="s">
        <v>1143</v>
      </c>
      <c r="V161" s="282"/>
      <c r="W161" s="138" t="s">
        <v>116</v>
      </c>
      <c r="X161" s="340">
        <v>44538</v>
      </c>
      <c r="Y161" s="340">
        <v>44538</v>
      </c>
      <c r="Z161" s="340">
        <v>44603</v>
      </c>
      <c r="AA161" s="340"/>
      <c r="AB161" s="340"/>
      <c r="AC161" s="341"/>
      <c r="AD161" s="342" t="s">
        <v>64</v>
      </c>
      <c r="AE161" s="342" t="s">
        <v>154</v>
      </c>
      <c r="AF161" s="284" t="s">
        <v>1190</v>
      </c>
      <c r="AG161" s="284"/>
      <c r="AH161" s="284">
        <v>44496</v>
      </c>
      <c r="AI161" s="284"/>
      <c r="AJ161" s="334">
        <f t="shared" ca="1" si="24"/>
        <v>44963</v>
      </c>
      <c r="AK161" s="342">
        <f t="shared" ca="1" si="25"/>
        <v>467</v>
      </c>
      <c r="AL161" s="342">
        <f t="shared" ca="1" si="26"/>
        <v>360</v>
      </c>
      <c r="AM161" s="284"/>
      <c r="AN161" s="284" t="s">
        <v>1222</v>
      </c>
      <c r="AO161" s="343">
        <v>12.03</v>
      </c>
      <c r="AP161" s="343">
        <v>12.04</v>
      </c>
      <c r="AQ161" s="343">
        <v>12.064999999999998</v>
      </c>
      <c r="AR161" s="343">
        <v>12.069999999999999</v>
      </c>
      <c r="AS161" s="331">
        <f t="shared" ca="1" si="27"/>
        <v>425</v>
      </c>
      <c r="AV161" s="331" t="s">
        <v>136</v>
      </c>
      <c r="BI161" s="347"/>
    </row>
    <row r="162" spans="1:61" s="331" customFormat="1" ht="18" customHeight="1" x14ac:dyDescent="0.35">
      <c r="A162" s="334"/>
      <c r="B162" s="335" t="e">
        <f ca="1">IF(A162="",(IF(ISNUMBER(SUBSTITUTE(LEFT(RIGHT(E162,LEN(E162)-MIN(SEARCH({1,2,3,4,5,6,7,8,9,0},E162&amp;"1234567890"))+1),10),".","/"))=TRUE,AJ162-(SUBSTITUTE(LEFT(RIGHT(E162,LEN(E162)-MIN(SEARCH({1,2,3,4,5,6,7,8,9,0},E162&amp;"1234567890"))+1),10),".","/")),IF((SUBSTITUTE(LEFT(RIGHT(E162,LEN(E162)-MIN(SEARCH({1,2,3,4,5,6,7,8,9,0},E162&amp;"1234567890"))+1),10),".","/"))="","",(AJ162)-(MID(RIGHT((SUBSTITUTE(LEFT(RIGHT(E162,LEN(E162)-MIN(SEARCH({1,2,3,4,5,6,7,8,9,0},E162&amp;"1234567890"))+1),10),".","/")),10),4,2)&amp;"/"&amp;LEFT((RIGHT((SUBSTITUTE(LEFT(RIGHT(E162,LEN(E162)-MIN(SEARCH({1,2,3,4,5,6,7,8,9,0},E162&amp;"1234567890"))+1),10),".","/")),10)),2)&amp;"/"&amp;RIGHT((SUBSTITUTE(LEFT(RIGHT(E162,LEN(E162)-MIN(SEARCH({1,2,3,4,5,6,7,8,9,0},E162&amp;"1234567890"))+1),10),".","/")),4))))),(AJ162-A162))</f>
        <v>#VALUE!</v>
      </c>
      <c r="C162" s="334"/>
      <c r="D162" s="294" t="str">
        <f t="shared" si="23"/>
        <v>FGC-304L/2B-001X759</v>
      </c>
      <c r="E162" s="294" t="s">
        <v>3642</v>
      </c>
      <c r="F162" s="294" t="s">
        <v>3266</v>
      </c>
      <c r="G162" s="294" t="s">
        <v>4035</v>
      </c>
      <c r="H162" s="294" t="s">
        <v>230</v>
      </c>
      <c r="I162" s="337" t="s">
        <v>116</v>
      </c>
      <c r="J162" s="149">
        <v>3.01</v>
      </c>
      <c r="K162" s="149">
        <v>0.74</v>
      </c>
      <c r="L162" s="149">
        <v>0.72</v>
      </c>
      <c r="M162" s="149">
        <v>0.74</v>
      </c>
      <c r="N162" s="335">
        <v>770</v>
      </c>
      <c r="O162" s="296">
        <f>5.07</f>
        <v>5.07</v>
      </c>
      <c r="P162" s="345"/>
      <c r="Q162" s="138">
        <v>759</v>
      </c>
      <c r="R162" s="339"/>
      <c r="S162" s="339"/>
      <c r="T162" s="299" t="s">
        <v>3614</v>
      </c>
      <c r="U162" s="282" t="s">
        <v>1143</v>
      </c>
      <c r="V162" s="282"/>
      <c r="W162" s="138" t="s">
        <v>116</v>
      </c>
      <c r="X162" s="340">
        <v>44537</v>
      </c>
      <c r="Y162" s="340">
        <v>44537</v>
      </c>
      <c r="Z162" s="340">
        <v>44603</v>
      </c>
      <c r="AA162" s="340"/>
      <c r="AB162" s="340"/>
      <c r="AC162" s="341"/>
      <c r="AD162" s="342" t="s">
        <v>64</v>
      </c>
      <c r="AE162" s="342" t="s">
        <v>154</v>
      </c>
      <c r="AF162" s="284" t="s">
        <v>1190</v>
      </c>
      <c r="AG162" s="284"/>
      <c r="AH162" s="284">
        <v>44496</v>
      </c>
      <c r="AI162" s="284"/>
      <c r="AJ162" s="334">
        <f t="shared" ca="1" si="24"/>
        <v>44963</v>
      </c>
      <c r="AK162" s="342">
        <f t="shared" ca="1" si="25"/>
        <v>467</v>
      </c>
      <c r="AL162" s="342">
        <f t="shared" ca="1" si="26"/>
        <v>360</v>
      </c>
      <c r="AM162" s="284"/>
      <c r="AN162" s="284" t="s">
        <v>3268</v>
      </c>
      <c r="AO162" s="343">
        <v>12.185</v>
      </c>
      <c r="AP162" s="343">
        <v>12.195</v>
      </c>
      <c r="AQ162" s="343">
        <v>12.219999999999999</v>
      </c>
      <c r="AR162" s="343">
        <v>12.225</v>
      </c>
      <c r="AS162" s="331">
        <f t="shared" ca="1" si="27"/>
        <v>426</v>
      </c>
      <c r="AV162" s="331" t="s">
        <v>136</v>
      </c>
      <c r="BI162" s="347"/>
    </row>
    <row r="163" spans="1:61" s="331" customFormat="1" ht="18" customHeight="1" x14ac:dyDescent="0.35">
      <c r="A163" s="334"/>
      <c r="B163" s="335" t="e">
        <f ca="1">IF(A163="",(IF(ISNUMBER(SUBSTITUTE(LEFT(RIGHT(E163,LEN(E163)-MIN(SEARCH({1,2,3,4,5,6,7,8,9,0},E163&amp;"1234567890"))+1),10),".","/"))=TRUE,AJ163-(SUBSTITUTE(LEFT(RIGHT(E163,LEN(E163)-MIN(SEARCH({1,2,3,4,5,6,7,8,9,0},E163&amp;"1234567890"))+1),10),".","/")),IF((SUBSTITUTE(LEFT(RIGHT(E163,LEN(E163)-MIN(SEARCH({1,2,3,4,5,6,7,8,9,0},E163&amp;"1234567890"))+1),10),".","/"))="","",(AJ163)-(MID(RIGHT((SUBSTITUTE(LEFT(RIGHT(E163,LEN(E163)-MIN(SEARCH({1,2,3,4,5,6,7,8,9,0},E163&amp;"1234567890"))+1),10),".","/")),10),4,2)&amp;"/"&amp;LEFT((RIGHT((SUBSTITUTE(LEFT(RIGHT(E163,LEN(E163)-MIN(SEARCH({1,2,3,4,5,6,7,8,9,0},E163&amp;"1234567890"))+1),10),".","/")),10)),2)&amp;"/"&amp;RIGHT((SUBSTITUTE(LEFT(RIGHT(E163,LEN(E163)-MIN(SEARCH({1,2,3,4,5,6,7,8,9,0},E163&amp;"1234567890"))+1),10),".","/")),4))))),(AJ163-A163))</f>
        <v>#VALUE!</v>
      </c>
      <c r="C163" s="334"/>
      <c r="D163" s="294" t="str">
        <f t="shared" si="23"/>
        <v>FGC-304L/2B-001X759</v>
      </c>
      <c r="E163" s="294" t="s">
        <v>3642</v>
      </c>
      <c r="F163" s="294" t="s">
        <v>3266</v>
      </c>
      <c r="G163" s="294" t="s">
        <v>4036</v>
      </c>
      <c r="H163" s="294" t="s">
        <v>230</v>
      </c>
      <c r="I163" s="337" t="s">
        <v>116</v>
      </c>
      <c r="J163" s="149">
        <v>3.01</v>
      </c>
      <c r="K163" s="149">
        <v>0.74</v>
      </c>
      <c r="L163" s="149">
        <v>0.72</v>
      </c>
      <c r="M163" s="149">
        <v>0.74</v>
      </c>
      <c r="N163" s="335">
        <v>770</v>
      </c>
      <c r="O163" s="296">
        <v>6.91</v>
      </c>
      <c r="P163" s="345"/>
      <c r="Q163" s="138">
        <v>759</v>
      </c>
      <c r="R163" s="339"/>
      <c r="S163" s="339"/>
      <c r="T163" s="299" t="s">
        <v>3614</v>
      </c>
      <c r="U163" s="282" t="s">
        <v>1143</v>
      </c>
      <c r="V163" s="282"/>
      <c r="W163" s="138" t="s">
        <v>116</v>
      </c>
      <c r="X163" s="340">
        <v>44537</v>
      </c>
      <c r="Y163" s="340">
        <v>44537</v>
      </c>
      <c r="Z163" s="340">
        <v>44603</v>
      </c>
      <c r="AA163" s="340"/>
      <c r="AB163" s="340"/>
      <c r="AC163" s="341"/>
      <c r="AD163" s="342" t="s">
        <v>64</v>
      </c>
      <c r="AE163" s="342" t="s">
        <v>154</v>
      </c>
      <c r="AF163" s="284" t="s">
        <v>1190</v>
      </c>
      <c r="AG163" s="284"/>
      <c r="AH163" s="284">
        <v>44496</v>
      </c>
      <c r="AI163" s="284"/>
      <c r="AJ163" s="334">
        <f t="shared" ca="1" si="24"/>
        <v>44963</v>
      </c>
      <c r="AK163" s="342">
        <f t="shared" ca="1" si="25"/>
        <v>467</v>
      </c>
      <c r="AL163" s="342">
        <f t="shared" ca="1" si="26"/>
        <v>360</v>
      </c>
      <c r="AM163" s="284"/>
      <c r="AN163" s="284" t="s">
        <v>3268</v>
      </c>
      <c r="AO163" s="343">
        <v>12.185</v>
      </c>
      <c r="AP163" s="343">
        <v>12.195</v>
      </c>
      <c r="AQ163" s="343">
        <v>12.219999999999999</v>
      </c>
      <c r="AR163" s="343">
        <v>12.225</v>
      </c>
      <c r="AS163" s="331">
        <f t="shared" ca="1" si="27"/>
        <v>426</v>
      </c>
      <c r="AV163" s="331" t="s">
        <v>136</v>
      </c>
      <c r="BI163" s="347"/>
    </row>
    <row r="164" spans="1:61" s="331" customFormat="1" ht="18" customHeight="1" x14ac:dyDescent="0.35">
      <c r="A164" s="334">
        <v>44614</v>
      </c>
      <c r="B164" s="335">
        <f ca="1">IF(A164="",(IF(ISNUMBER(SUBSTITUTE(LEFT(RIGHT(E164,LEN(E164)-MIN(SEARCH({1,2,3,4,5,6,7,8,9,0},E164&amp;"1234567890"))+1),10),".","/"))=TRUE,AJ164-(SUBSTITUTE(LEFT(RIGHT(E164,LEN(E164)-MIN(SEARCH({1,2,3,4,5,6,7,8,9,0},E164&amp;"1234567890"))+1),10),".","/")),IF((SUBSTITUTE(LEFT(RIGHT(E164,LEN(E164)-MIN(SEARCH({1,2,3,4,5,6,7,8,9,0},E164&amp;"1234567890"))+1),10),".","/"))="","",(AJ164)-(MID(RIGHT((SUBSTITUTE(LEFT(RIGHT(E164,LEN(E164)-MIN(SEARCH({1,2,3,4,5,6,7,8,9,0},E164&amp;"1234567890"))+1),10),".","/")),10),4,2)&amp;"/"&amp;LEFT((RIGHT((SUBSTITUTE(LEFT(RIGHT(E164,LEN(E164)-MIN(SEARCH({1,2,3,4,5,6,7,8,9,0},E164&amp;"1234567890"))+1),10),".","/")),10)),2)&amp;"/"&amp;RIGHT((SUBSTITUTE(LEFT(RIGHT(E164,LEN(E164)-MIN(SEARCH({1,2,3,4,5,6,7,8,9,0},E164&amp;"1234567890"))+1),10),".","/")),4))))),(AJ164-A164))</f>
        <v>349</v>
      </c>
      <c r="C164" s="334"/>
      <c r="D164" s="294" t="str">
        <f t="shared" si="23"/>
        <v>FGC-304L/2B-001X759</v>
      </c>
      <c r="E164" s="294" t="s">
        <v>3646</v>
      </c>
      <c r="F164" s="294" t="s">
        <v>3269</v>
      </c>
      <c r="G164" s="294" t="s">
        <v>4037</v>
      </c>
      <c r="H164" s="294" t="s">
        <v>230</v>
      </c>
      <c r="I164" s="337" t="s">
        <v>116</v>
      </c>
      <c r="J164" s="149">
        <v>3.01</v>
      </c>
      <c r="K164" s="149">
        <v>0.91</v>
      </c>
      <c r="L164" s="149">
        <v>0.91</v>
      </c>
      <c r="M164" s="149">
        <v>0.95</v>
      </c>
      <c r="N164" s="335">
        <v>770</v>
      </c>
      <c r="O164" s="296">
        <f>5.065</f>
        <v>5.0650000000000004</v>
      </c>
      <c r="P164" s="345">
        <v>5.09</v>
      </c>
      <c r="Q164" s="138">
        <v>759</v>
      </c>
      <c r="R164" s="339"/>
      <c r="S164" s="339"/>
      <c r="T164" s="299" t="s">
        <v>3614</v>
      </c>
      <c r="U164" s="282" t="s">
        <v>1143</v>
      </c>
      <c r="V164" s="282"/>
      <c r="W164" s="138" t="s">
        <v>116</v>
      </c>
      <c r="X164" s="340">
        <v>44537</v>
      </c>
      <c r="Y164" s="340">
        <v>44537</v>
      </c>
      <c r="Z164" s="340">
        <v>44603</v>
      </c>
      <c r="AA164" s="340"/>
      <c r="AB164" s="340"/>
      <c r="AC164" s="341"/>
      <c r="AD164" s="342" t="s">
        <v>64</v>
      </c>
      <c r="AE164" s="342" t="s">
        <v>154</v>
      </c>
      <c r="AF164" s="284" t="s">
        <v>1239</v>
      </c>
      <c r="AG164" s="284"/>
      <c r="AH164" s="284">
        <v>44496</v>
      </c>
      <c r="AI164" s="284"/>
      <c r="AJ164" s="334">
        <f t="shared" ca="1" si="24"/>
        <v>44963</v>
      </c>
      <c r="AK164" s="342">
        <f t="shared" ca="1" si="25"/>
        <v>467</v>
      </c>
      <c r="AL164" s="342">
        <f t="shared" ca="1" si="26"/>
        <v>360</v>
      </c>
      <c r="AM164" s="284"/>
      <c r="AN164" s="284" t="s">
        <v>3271</v>
      </c>
      <c r="AO164" s="343">
        <v>10.55</v>
      </c>
      <c r="AP164" s="343">
        <v>10.56</v>
      </c>
      <c r="AQ164" s="343">
        <v>10.584999999999999</v>
      </c>
      <c r="AR164" s="343">
        <v>10.59</v>
      </c>
      <c r="AS164" s="331">
        <f t="shared" ca="1" si="27"/>
        <v>426</v>
      </c>
      <c r="AV164" s="331" t="s">
        <v>136</v>
      </c>
      <c r="BI164" s="347"/>
    </row>
    <row r="165" spans="1:61" s="331" customFormat="1" ht="18" customHeight="1" x14ac:dyDescent="0.35">
      <c r="A165" s="334">
        <v>44614</v>
      </c>
      <c r="B165" s="335">
        <f ca="1">IF(A165="",(IF(ISNUMBER(SUBSTITUTE(LEFT(RIGHT(E165,LEN(E165)-MIN(SEARCH({1,2,3,4,5,6,7,8,9,0},E165&amp;"1234567890"))+1),10),".","/"))=TRUE,AJ165-(SUBSTITUTE(LEFT(RIGHT(E165,LEN(E165)-MIN(SEARCH({1,2,3,4,5,6,7,8,9,0},E165&amp;"1234567890"))+1),10),".","/")),IF((SUBSTITUTE(LEFT(RIGHT(E165,LEN(E165)-MIN(SEARCH({1,2,3,4,5,6,7,8,9,0},E165&amp;"1234567890"))+1),10),".","/"))="","",(AJ165)-(MID(RIGHT((SUBSTITUTE(LEFT(RIGHT(E165,LEN(E165)-MIN(SEARCH({1,2,3,4,5,6,7,8,9,0},E165&amp;"1234567890"))+1),10),".","/")),10),4,2)&amp;"/"&amp;LEFT((RIGHT((SUBSTITUTE(LEFT(RIGHT(E165,LEN(E165)-MIN(SEARCH({1,2,3,4,5,6,7,8,9,0},E165&amp;"1234567890"))+1),10),".","/")),10)),2)&amp;"/"&amp;RIGHT((SUBSTITUTE(LEFT(RIGHT(E165,LEN(E165)-MIN(SEARCH({1,2,3,4,5,6,7,8,9,0},E165&amp;"1234567890"))+1),10),".","/")),4))))),(AJ165-A165))</f>
        <v>349</v>
      </c>
      <c r="C165" s="334"/>
      <c r="D165" s="294" t="str">
        <f t="shared" si="23"/>
        <v>FGC-304L/2B-001X759</v>
      </c>
      <c r="E165" s="294" t="s">
        <v>3646</v>
      </c>
      <c r="F165" s="294" t="s">
        <v>3269</v>
      </c>
      <c r="G165" s="294" t="s">
        <v>4038</v>
      </c>
      <c r="H165" s="294" t="s">
        <v>230</v>
      </c>
      <c r="I165" s="337" t="s">
        <v>116</v>
      </c>
      <c r="J165" s="149">
        <v>3.01</v>
      </c>
      <c r="K165" s="149">
        <v>0.91</v>
      </c>
      <c r="L165" s="149">
        <v>0.91</v>
      </c>
      <c r="M165" s="149">
        <v>0.95</v>
      </c>
      <c r="N165" s="335">
        <v>770</v>
      </c>
      <c r="O165" s="296">
        <v>5.22</v>
      </c>
      <c r="P165" s="345">
        <v>5.25</v>
      </c>
      <c r="Q165" s="138">
        <v>759</v>
      </c>
      <c r="R165" s="339"/>
      <c r="S165" s="339"/>
      <c r="T165" s="299" t="s">
        <v>3614</v>
      </c>
      <c r="U165" s="282" t="s">
        <v>1143</v>
      </c>
      <c r="V165" s="282"/>
      <c r="W165" s="138" t="s">
        <v>116</v>
      </c>
      <c r="X165" s="340">
        <v>44537</v>
      </c>
      <c r="Y165" s="340">
        <v>44537</v>
      </c>
      <c r="Z165" s="340">
        <v>44603</v>
      </c>
      <c r="AA165" s="340"/>
      <c r="AB165" s="340"/>
      <c r="AC165" s="341"/>
      <c r="AD165" s="342" t="s">
        <v>64</v>
      </c>
      <c r="AE165" s="342" t="s">
        <v>154</v>
      </c>
      <c r="AF165" s="284" t="s">
        <v>1239</v>
      </c>
      <c r="AG165" s="284"/>
      <c r="AH165" s="284">
        <v>44496</v>
      </c>
      <c r="AI165" s="284"/>
      <c r="AJ165" s="334">
        <f t="shared" ca="1" si="24"/>
        <v>44963</v>
      </c>
      <c r="AK165" s="342">
        <f t="shared" ca="1" si="25"/>
        <v>467</v>
      </c>
      <c r="AL165" s="342">
        <f t="shared" ca="1" si="26"/>
        <v>360</v>
      </c>
      <c r="AM165" s="284"/>
      <c r="AN165" s="284" t="s">
        <v>3271</v>
      </c>
      <c r="AO165" s="343">
        <v>10.55</v>
      </c>
      <c r="AP165" s="343">
        <v>10.56</v>
      </c>
      <c r="AQ165" s="343">
        <v>10.584999999999999</v>
      </c>
      <c r="AR165" s="343">
        <v>10.59</v>
      </c>
      <c r="AS165" s="331">
        <f t="shared" ca="1" si="27"/>
        <v>426</v>
      </c>
      <c r="AV165" s="331" t="s">
        <v>136</v>
      </c>
      <c r="BI165" s="347"/>
    </row>
    <row r="166" spans="1:61" s="331" customFormat="1" ht="18" customHeight="1" x14ac:dyDescent="0.35">
      <c r="A166" s="334"/>
      <c r="B166" s="335" t="e">
        <f ca="1">IF(A166="",(IF(ISNUMBER(SUBSTITUTE(LEFT(RIGHT(E166,LEN(E166)-MIN(SEARCH({1,2,3,4,5,6,7,8,9,0},E166&amp;"1234567890"))+1),10),".","/"))=TRUE,AJ166-(SUBSTITUTE(LEFT(RIGHT(E166,LEN(E166)-MIN(SEARCH({1,2,3,4,5,6,7,8,9,0},E166&amp;"1234567890"))+1),10),".","/")),IF((SUBSTITUTE(LEFT(RIGHT(E166,LEN(E166)-MIN(SEARCH({1,2,3,4,5,6,7,8,9,0},E166&amp;"1234567890"))+1),10),".","/"))="","",(AJ166)-(MID(RIGHT((SUBSTITUTE(LEFT(RIGHT(E166,LEN(E166)-MIN(SEARCH({1,2,3,4,5,6,7,8,9,0},E166&amp;"1234567890"))+1),10),".","/")),10),4,2)&amp;"/"&amp;LEFT((RIGHT((SUBSTITUTE(LEFT(RIGHT(E166,LEN(E166)-MIN(SEARCH({1,2,3,4,5,6,7,8,9,0},E166&amp;"1234567890"))+1),10),".","/")),10)),2)&amp;"/"&amp;RIGHT((SUBSTITUTE(LEFT(RIGHT(E166,LEN(E166)-MIN(SEARCH({1,2,3,4,5,6,7,8,9,0},E166&amp;"1234567890"))+1),10),".","/")),4))))),(AJ166-A166))</f>
        <v>#VALUE!</v>
      </c>
      <c r="C166" s="334"/>
      <c r="D166" s="294" t="str">
        <f t="shared" si="23"/>
        <v>FGC-304L/2B-001X759</v>
      </c>
      <c r="E166" s="294" t="s">
        <v>3646</v>
      </c>
      <c r="F166" s="294" t="s">
        <v>3262</v>
      </c>
      <c r="G166" s="294" t="s">
        <v>4039</v>
      </c>
      <c r="H166" s="294" t="s">
        <v>230</v>
      </c>
      <c r="I166" s="337" t="s">
        <v>116</v>
      </c>
      <c r="J166" s="149">
        <v>2.8</v>
      </c>
      <c r="K166" s="149">
        <v>0.6</v>
      </c>
      <c r="L166" s="149">
        <v>0.6</v>
      </c>
      <c r="M166" s="149">
        <v>0.61</v>
      </c>
      <c r="N166" s="335">
        <v>770</v>
      </c>
      <c r="O166" s="296">
        <f>5.09</f>
        <v>5.09</v>
      </c>
      <c r="P166" s="345"/>
      <c r="Q166" s="138">
        <v>759</v>
      </c>
      <c r="R166" s="339"/>
      <c r="S166" s="339"/>
      <c r="T166" s="299" t="s">
        <v>3614</v>
      </c>
      <c r="U166" s="282" t="s">
        <v>1143</v>
      </c>
      <c r="V166" s="282"/>
      <c r="W166" s="138" t="s">
        <v>116</v>
      </c>
      <c r="X166" s="340">
        <v>44537</v>
      </c>
      <c r="Y166" s="340">
        <v>44537</v>
      </c>
      <c r="Z166" s="340">
        <v>44603</v>
      </c>
      <c r="AA166" s="340"/>
      <c r="AB166" s="340"/>
      <c r="AC166" s="341"/>
      <c r="AD166" s="342" t="s">
        <v>64</v>
      </c>
      <c r="AE166" s="342" t="s">
        <v>154</v>
      </c>
      <c r="AF166" s="284" t="s">
        <v>1190</v>
      </c>
      <c r="AG166" s="284"/>
      <c r="AH166" s="284">
        <v>44496</v>
      </c>
      <c r="AI166" s="284"/>
      <c r="AJ166" s="334">
        <f t="shared" ca="1" si="24"/>
        <v>44963</v>
      </c>
      <c r="AK166" s="342">
        <f t="shared" ca="1" si="25"/>
        <v>467</v>
      </c>
      <c r="AL166" s="342">
        <f t="shared" ca="1" si="26"/>
        <v>360</v>
      </c>
      <c r="AM166" s="284"/>
      <c r="AN166" s="284" t="s">
        <v>2933</v>
      </c>
      <c r="AO166" s="343">
        <v>10.535</v>
      </c>
      <c r="AP166" s="343">
        <v>10.545</v>
      </c>
      <c r="AQ166" s="343">
        <v>10.569999999999999</v>
      </c>
      <c r="AR166" s="343">
        <v>10.574999999999999</v>
      </c>
      <c r="AS166" s="331">
        <f t="shared" ca="1" si="27"/>
        <v>426</v>
      </c>
      <c r="AV166" s="331" t="s">
        <v>136</v>
      </c>
      <c r="BI166" s="347"/>
    </row>
    <row r="167" spans="1:61" s="331" customFormat="1" ht="18" customHeight="1" x14ac:dyDescent="0.35">
      <c r="A167" s="334">
        <v>44615</v>
      </c>
      <c r="B167" s="335">
        <f ca="1">IF(A167="",(IF(ISNUMBER(SUBSTITUTE(LEFT(RIGHT(E167,LEN(E167)-MIN(SEARCH({1,2,3,4,5,6,7,8,9,0},E167&amp;"1234567890"))+1),10),".","/"))=TRUE,AJ167-(SUBSTITUTE(LEFT(RIGHT(E167,LEN(E167)-MIN(SEARCH({1,2,3,4,5,6,7,8,9,0},E167&amp;"1234567890"))+1),10),".","/")),IF((SUBSTITUTE(LEFT(RIGHT(E167,LEN(E167)-MIN(SEARCH({1,2,3,4,5,6,7,8,9,0},E167&amp;"1234567890"))+1),10),".","/"))="","",(AJ167)-(MID(RIGHT((SUBSTITUTE(LEFT(RIGHT(E167,LEN(E167)-MIN(SEARCH({1,2,3,4,5,6,7,8,9,0},E167&amp;"1234567890"))+1),10),".","/")),10),4,2)&amp;"/"&amp;LEFT((RIGHT((SUBSTITUTE(LEFT(RIGHT(E167,LEN(E167)-MIN(SEARCH({1,2,3,4,5,6,7,8,9,0},E167&amp;"1234567890"))+1),10),".","/")),10)),2)&amp;"/"&amp;RIGHT((SUBSTITUTE(LEFT(RIGHT(E167,LEN(E167)-MIN(SEARCH({1,2,3,4,5,6,7,8,9,0},E167&amp;"1234567890"))+1),10),".","/")),4))))),(AJ167-A167))</f>
        <v>348</v>
      </c>
      <c r="C167" s="334"/>
      <c r="D167" s="294" t="str">
        <f t="shared" si="23"/>
        <v>FGC-304L/2B-001X759</v>
      </c>
      <c r="E167" s="294" t="s">
        <v>3646</v>
      </c>
      <c r="F167" s="294" t="s">
        <v>3262</v>
      </c>
      <c r="G167" s="294" t="s">
        <v>4040</v>
      </c>
      <c r="H167" s="294" t="s">
        <v>230</v>
      </c>
      <c r="I167" s="337" t="s">
        <v>116</v>
      </c>
      <c r="J167" s="149">
        <v>2.8</v>
      </c>
      <c r="K167" s="149">
        <v>0.6</v>
      </c>
      <c r="L167" s="149">
        <v>0.6</v>
      </c>
      <c r="M167" s="149">
        <v>0.61</v>
      </c>
      <c r="N167" s="335">
        <v>770</v>
      </c>
      <c r="O167" s="296">
        <v>5.1449999999999996</v>
      </c>
      <c r="P167" s="345">
        <v>5.2249999999999996</v>
      </c>
      <c r="Q167" s="138">
        <v>759</v>
      </c>
      <c r="R167" s="339"/>
      <c r="S167" s="339"/>
      <c r="T167" s="299" t="s">
        <v>3614</v>
      </c>
      <c r="U167" s="282" t="s">
        <v>1143</v>
      </c>
      <c r="V167" s="282"/>
      <c r="W167" s="138" t="s">
        <v>116</v>
      </c>
      <c r="X167" s="340">
        <v>44537</v>
      </c>
      <c r="Y167" s="340">
        <v>44537</v>
      </c>
      <c r="Z167" s="340">
        <v>44603</v>
      </c>
      <c r="AA167" s="340"/>
      <c r="AB167" s="340"/>
      <c r="AC167" s="341"/>
      <c r="AD167" s="342" t="s">
        <v>64</v>
      </c>
      <c r="AE167" s="342" t="s">
        <v>154</v>
      </c>
      <c r="AF167" s="284" t="s">
        <v>1190</v>
      </c>
      <c r="AG167" s="284"/>
      <c r="AH167" s="284">
        <v>44496</v>
      </c>
      <c r="AI167" s="284"/>
      <c r="AJ167" s="334">
        <f t="shared" ca="1" si="24"/>
        <v>44963</v>
      </c>
      <c r="AK167" s="342">
        <f t="shared" ca="1" si="25"/>
        <v>467</v>
      </c>
      <c r="AL167" s="342">
        <f t="shared" ca="1" si="26"/>
        <v>360</v>
      </c>
      <c r="AM167" s="284"/>
      <c r="AN167" s="284" t="s">
        <v>2933</v>
      </c>
      <c r="AO167" s="343">
        <v>10.535</v>
      </c>
      <c r="AP167" s="343">
        <v>10.545</v>
      </c>
      <c r="AQ167" s="343">
        <v>10.569999999999999</v>
      </c>
      <c r="AR167" s="343">
        <v>10.574999999999999</v>
      </c>
      <c r="AS167" s="331">
        <f t="shared" ca="1" si="27"/>
        <v>426</v>
      </c>
      <c r="AV167" s="331" t="s">
        <v>136</v>
      </c>
      <c r="BI167" s="347"/>
    </row>
    <row r="168" spans="1:61" s="331" customFormat="1" ht="18" customHeight="1" x14ac:dyDescent="0.35">
      <c r="A168" s="334">
        <v>44614</v>
      </c>
      <c r="B168" s="335">
        <f ca="1">IF(A168="",(IF(ISNUMBER(SUBSTITUTE(LEFT(RIGHT(E168,LEN(E168)-MIN(SEARCH({1,2,3,4,5,6,7,8,9,0},E168&amp;"1234567890"))+1),10),".","/"))=TRUE,AJ168-(SUBSTITUTE(LEFT(RIGHT(E168,LEN(E168)-MIN(SEARCH({1,2,3,4,5,6,7,8,9,0},E168&amp;"1234567890"))+1),10),".","/")),IF((SUBSTITUTE(LEFT(RIGHT(E168,LEN(E168)-MIN(SEARCH({1,2,3,4,5,6,7,8,9,0},E168&amp;"1234567890"))+1),10),".","/"))="","",(AJ168)-(MID(RIGHT((SUBSTITUTE(LEFT(RIGHT(E168,LEN(E168)-MIN(SEARCH({1,2,3,4,5,6,7,8,9,0},E168&amp;"1234567890"))+1),10),".","/")),10),4,2)&amp;"/"&amp;LEFT((RIGHT((SUBSTITUTE(LEFT(RIGHT(E168,LEN(E168)-MIN(SEARCH({1,2,3,4,5,6,7,8,9,0},E168&amp;"1234567890"))+1),10),".","/")),10)),2)&amp;"/"&amp;RIGHT((SUBSTITUTE(LEFT(RIGHT(E168,LEN(E168)-MIN(SEARCH({1,2,3,4,5,6,7,8,9,0},E168&amp;"1234567890"))+1),10),".","/")),4))))),(AJ168-A168))</f>
        <v>349</v>
      </c>
      <c r="C168" s="334"/>
      <c r="D168" s="294" t="str">
        <f t="shared" si="23"/>
        <v>FGC-304L/2B-001X759</v>
      </c>
      <c r="E168" s="294" t="s">
        <v>3646</v>
      </c>
      <c r="F168" s="294" t="s">
        <v>3260</v>
      </c>
      <c r="G168" s="294" t="s">
        <v>4041</v>
      </c>
      <c r="H168" s="294" t="s">
        <v>230</v>
      </c>
      <c r="I168" s="337" t="s">
        <v>116</v>
      </c>
      <c r="J168" s="149">
        <v>2.99</v>
      </c>
      <c r="K168" s="149">
        <v>0.91</v>
      </c>
      <c r="L168" s="149">
        <v>0.89</v>
      </c>
      <c r="M168" s="149">
        <v>0.91</v>
      </c>
      <c r="N168" s="335">
        <v>770</v>
      </c>
      <c r="O168" s="296">
        <f>4.995</f>
        <v>4.9950000000000001</v>
      </c>
      <c r="P168" s="345">
        <v>5.0449999999999999</v>
      </c>
      <c r="Q168" s="138">
        <v>759</v>
      </c>
      <c r="R168" s="339"/>
      <c r="S168" s="339"/>
      <c r="T168" s="299" t="s">
        <v>3614</v>
      </c>
      <c r="U168" s="282" t="s">
        <v>1143</v>
      </c>
      <c r="V168" s="282"/>
      <c r="W168" s="138" t="s">
        <v>116</v>
      </c>
      <c r="X168" s="340">
        <v>44537</v>
      </c>
      <c r="Y168" s="340">
        <v>44537</v>
      </c>
      <c r="Z168" s="340">
        <v>44603</v>
      </c>
      <c r="AA168" s="340"/>
      <c r="AB168" s="340"/>
      <c r="AC168" s="341"/>
      <c r="AD168" s="342" t="s">
        <v>64</v>
      </c>
      <c r="AE168" s="342" t="s">
        <v>154</v>
      </c>
      <c r="AF168" s="284" t="s">
        <v>1246</v>
      </c>
      <c r="AG168" s="284"/>
      <c r="AH168" s="284">
        <v>44496</v>
      </c>
      <c r="AI168" s="284"/>
      <c r="AJ168" s="334">
        <f t="shared" ca="1" si="24"/>
        <v>44963</v>
      </c>
      <c r="AK168" s="342">
        <f t="shared" ca="1" si="25"/>
        <v>467</v>
      </c>
      <c r="AL168" s="342">
        <f t="shared" ca="1" si="26"/>
        <v>360</v>
      </c>
      <c r="AM168" s="284"/>
      <c r="AN168" s="284" t="s">
        <v>2785</v>
      </c>
      <c r="AO168" s="343">
        <v>10.52</v>
      </c>
      <c r="AP168" s="343">
        <v>10.53</v>
      </c>
      <c r="AQ168" s="343">
        <v>10.554999999999998</v>
      </c>
      <c r="AR168" s="343">
        <v>10.559999999999999</v>
      </c>
      <c r="AS168" s="331">
        <f t="shared" ca="1" si="27"/>
        <v>426</v>
      </c>
      <c r="AV168" s="331" t="s">
        <v>136</v>
      </c>
      <c r="BI168" s="347"/>
    </row>
    <row r="169" spans="1:61" s="331" customFormat="1" ht="18" customHeight="1" x14ac:dyDescent="0.35">
      <c r="A169" s="334">
        <v>44614</v>
      </c>
      <c r="B169" s="335">
        <f ca="1">IF(A169="",(IF(ISNUMBER(SUBSTITUTE(LEFT(RIGHT(E169,LEN(E169)-MIN(SEARCH({1,2,3,4,5,6,7,8,9,0},E169&amp;"1234567890"))+1),10),".","/"))=TRUE,AJ169-(SUBSTITUTE(LEFT(RIGHT(E169,LEN(E169)-MIN(SEARCH({1,2,3,4,5,6,7,8,9,0},E169&amp;"1234567890"))+1),10),".","/")),IF((SUBSTITUTE(LEFT(RIGHT(E169,LEN(E169)-MIN(SEARCH({1,2,3,4,5,6,7,8,9,0},E169&amp;"1234567890"))+1),10),".","/"))="","",(AJ169)-(MID(RIGHT((SUBSTITUTE(LEFT(RIGHT(E169,LEN(E169)-MIN(SEARCH({1,2,3,4,5,6,7,8,9,0},E169&amp;"1234567890"))+1),10),".","/")),10),4,2)&amp;"/"&amp;LEFT((RIGHT((SUBSTITUTE(LEFT(RIGHT(E169,LEN(E169)-MIN(SEARCH({1,2,3,4,5,6,7,8,9,0},E169&amp;"1234567890"))+1),10),".","/")),10)),2)&amp;"/"&amp;RIGHT((SUBSTITUTE(LEFT(RIGHT(E169,LEN(E169)-MIN(SEARCH({1,2,3,4,5,6,7,8,9,0},E169&amp;"1234567890"))+1),10),".","/")),4))))),(AJ169-A169))</f>
        <v>349</v>
      </c>
      <c r="C169" s="334"/>
      <c r="D169" s="294" t="str">
        <f t="shared" si="23"/>
        <v>FGC-304L/2B-001X759</v>
      </c>
      <c r="E169" s="294" t="s">
        <v>3646</v>
      </c>
      <c r="F169" s="294" t="s">
        <v>3260</v>
      </c>
      <c r="G169" s="294" t="s">
        <v>4042</v>
      </c>
      <c r="H169" s="294" t="s">
        <v>230</v>
      </c>
      <c r="I169" s="337" t="s">
        <v>116</v>
      </c>
      <c r="J169" s="149">
        <v>2.99</v>
      </c>
      <c r="K169" s="149">
        <v>0.91</v>
      </c>
      <c r="L169" s="149">
        <v>0.89</v>
      </c>
      <c r="M169" s="149">
        <v>0.91</v>
      </c>
      <c r="N169" s="335">
        <v>770</v>
      </c>
      <c r="O169" s="296">
        <v>5.2649999999999997</v>
      </c>
      <c r="P169" s="345">
        <v>5.3150000000000004</v>
      </c>
      <c r="Q169" s="138">
        <v>759</v>
      </c>
      <c r="R169" s="339"/>
      <c r="S169" s="339"/>
      <c r="T169" s="299" t="s">
        <v>3614</v>
      </c>
      <c r="U169" s="282" t="s">
        <v>1143</v>
      </c>
      <c r="V169" s="282"/>
      <c r="W169" s="138" t="s">
        <v>116</v>
      </c>
      <c r="X169" s="340">
        <v>44537</v>
      </c>
      <c r="Y169" s="340">
        <v>44537</v>
      </c>
      <c r="Z169" s="340">
        <v>44603</v>
      </c>
      <c r="AA169" s="340"/>
      <c r="AB169" s="340"/>
      <c r="AC169" s="341"/>
      <c r="AD169" s="342" t="s">
        <v>64</v>
      </c>
      <c r="AE169" s="342" t="s">
        <v>154</v>
      </c>
      <c r="AF169" s="284" t="s">
        <v>1246</v>
      </c>
      <c r="AG169" s="284"/>
      <c r="AH169" s="284">
        <v>44496</v>
      </c>
      <c r="AI169" s="284"/>
      <c r="AJ169" s="334">
        <f t="shared" ca="1" si="24"/>
        <v>44963</v>
      </c>
      <c r="AK169" s="342">
        <f t="shared" ca="1" si="25"/>
        <v>467</v>
      </c>
      <c r="AL169" s="342">
        <f t="shared" ca="1" si="26"/>
        <v>360</v>
      </c>
      <c r="AM169" s="284"/>
      <c r="AN169" s="284" t="s">
        <v>2785</v>
      </c>
      <c r="AO169" s="343">
        <v>10.52</v>
      </c>
      <c r="AP169" s="343">
        <v>10.53</v>
      </c>
      <c r="AQ169" s="343">
        <v>10.554999999999998</v>
      </c>
      <c r="AR169" s="343">
        <v>10.559999999999999</v>
      </c>
      <c r="AS169" s="331">
        <f t="shared" ca="1" si="27"/>
        <v>426</v>
      </c>
      <c r="AV169" s="331" t="s">
        <v>136</v>
      </c>
      <c r="BI169" s="347"/>
    </row>
    <row r="170" spans="1:61" s="331" customFormat="1" ht="18" customHeight="1" x14ac:dyDescent="0.35">
      <c r="A170" s="334">
        <v>44614</v>
      </c>
      <c r="B170" s="335">
        <f ca="1">IF(A170="",(IF(ISNUMBER(SUBSTITUTE(LEFT(RIGHT(E170,LEN(E170)-MIN(SEARCH({1,2,3,4,5,6,7,8,9,0},E170&amp;"1234567890"))+1),10),".","/"))=TRUE,AJ170-(SUBSTITUTE(LEFT(RIGHT(E170,LEN(E170)-MIN(SEARCH({1,2,3,4,5,6,7,8,9,0},E170&amp;"1234567890"))+1),10),".","/")),IF((SUBSTITUTE(LEFT(RIGHT(E170,LEN(E170)-MIN(SEARCH({1,2,3,4,5,6,7,8,9,0},E170&amp;"1234567890"))+1),10),".","/"))="","",(AJ170)-(MID(RIGHT((SUBSTITUTE(LEFT(RIGHT(E170,LEN(E170)-MIN(SEARCH({1,2,3,4,5,6,7,8,9,0},E170&amp;"1234567890"))+1),10),".","/")),10),4,2)&amp;"/"&amp;LEFT((RIGHT((SUBSTITUTE(LEFT(RIGHT(E170,LEN(E170)-MIN(SEARCH({1,2,3,4,5,6,7,8,9,0},E170&amp;"1234567890"))+1),10),".","/")),10)),2)&amp;"/"&amp;RIGHT((SUBSTITUTE(LEFT(RIGHT(E170,LEN(E170)-MIN(SEARCH({1,2,3,4,5,6,7,8,9,0},E170&amp;"1234567890"))+1),10),".","/")),4))))),(AJ170-A170))</f>
        <v>349</v>
      </c>
      <c r="C170" s="334"/>
      <c r="D170" s="294" t="str">
        <f t="shared" si="23"/>
        <v>FGC-304L/2B-002X759</v>
      </c>
      <c r="E170" s="294" t="s">
        <v>3646</v>
      </c>
      <c r="F170" s="294" t="s">
        <v>3245</v>
      </c>
      <c r="G170" s="294" t="s">
        <v>4043</v>
      </c>
      <c r="H170" s="294" t="s">
        <v>230</v>
      </c>
      <c r="I170" s="337" t="s">
        <v>116</v>
      </c>
      <c r="J170" s="149">
        <v>3.8</v>
      </c>
      <c r="K170" s="149">
        <v>1.9</v>
      </c>
      <c r="L170" s="149">
        <v>1.89</v>
      </c>
      <c r="M170" s="149">
        <v>1.91</v>
      </c>
      <c r="N170" s="335">
        <v>777</v>
      </c>
      <c r="O170" s="296">
        <f>4.98</f>
        <v>4.9800000000000004</v>
      </c>
      <c r="P170" s="345">
        <v>5.03</v>
      </c>
      <c r="Q170" s="138">
        <v>759</v>
      </c>
      <c r="R170" s="339"/>
      <c r="S170" s="339"/>
      <c r="T170" s="299" t="s">
        <v>3614</v>
      </c>
      <c r="U170" s="282" t="s">
        <v>1143</v>
      </c>
      <c r="V170" s="282"/>
      <c r="W170" s="138" t="s">
        <v>116</v>
      </c>
      <c r="X170" s="340">
        <v>44537</v>
      </c>
      <c r="Y170" s="340">
        <v>44537</v>
      </c>
      <c r="Z170" s="340">
        <v>44602</v>
      </c>
      <c r="AA170" s="340"/>
      <c r="AB170" s="340"/>
      <c r="AC170" s="341"/>
      <c r="AD170" s="342" t="s">
        <v>64</v>
      </c>
      <c r="AE170" s="342" t="s">
        <v>154</v>
      </c>
      <c r="AF170" s="284" t="s">
        <v>1330</v>
      </c>
      <c r="AG170" s="284"/>
      <c r="AH170" s="284">
        <v>44516</v>
      </c>
      <c r="AI170" s="284"/>
      <c r="AJ170" s="334">
        <f t="shared" ca="1" si="24"/>
        <v>44963</v>
      </c>
      <c r="AK170" s="342">
        <f t="shared" ca="1" si="25"/>
        <v>447</v>
      </c>
      <c r="AL170" s="342">
        <f t="shared" ca="1" si="26"/>
        <v>361</v>
      </c>
      <c r="AM170" s="284"/>
      <c r="AN170" s="284" t="s">
        <v>3247</v>
      </c>
      <c r="AO170" s="343">
        <v>10.545</v>
      </c>
      <c r="AP170" s="343">
        <v>10.555</v>
      </c>
      <c r="AQ170" s="343">
        <v>10.579999999999998</v>
      </c>
      <c r="AR170" s="343">
        <v>10.584999999999999</v>
      </c>
      <c r="AS170" s="331">
        <f t="shared" ca="1" si="27"/>
        <v>426</v>
      </c>
      <c r="AV170" s="331" t="s">
        <v>136</v>
      </c>
      <c r="BI170" s="347"/>
    </row>
    <row r="171" spans="1:61" s="331" customFormat="1" ht="18" customHeight="1" x14ac:dyDescent="0.35">
      <c r="A171" s="334">
        <v>44614</v>
      </c>
      <c r="B171" s="335">
        <f ca="1">IF(A171="",(IF(ISNUMBER(SUBSTITUTE(LEFT(RIGHT(E171,LEN(E171)-MIN(SEARCH({1,2,3,4,5,6,7,8,9,0},E171&amp;"1234567890"))+1),10),".","/"))=TRUE,AJ171-(SUBSTITUTE(LEFT(RIGHT(E171,LEN(E171)-MIN(SEARCH({1,2,3,4,5,6,7,8,9,0},E171&amp;"1234567890"))+1),10),".","/")),IF((SUBSTITUTE(LEFT(RIGHT(E171,LEN(E171)-MIN(SEARCH({1,2,3,4,5,6,7,8,9,0},E171&amp;"1234567890"))+1),10),".","/"))="","",(AJ171)-(MID(RIGHT((SUBSTITUTE(LEFT(RIGHT(E171,LEN(E171)-MIN(SEARCH({1,2,3,4,5,6,7,8,9,0},E171&amp;"1234567890"))+1),10),".","/")),10),4,2)&amp;"/"&amp;LEFT((RIGHT((SUBSTITUTE(LEFT(RIGHT(E171,LEN(E171)-MIN(SEARCH({1,2,3,4,5,6,7,8,9,0},E171&amp;"1234567890"))+1),10),".","/")),10)),2)&amp;"/"&amp;RIGHT((SUBSTITUTE(LEFT(RIGHT(E171,LEN(E171)-MIN(SEARCH({1,2,3,4,5,6,7,8,9,0},E171&amp;"1234567890"))+1),10),".","/")),4))))),(AJ171-A171))</f>
        <v>349</v>
      </c>
      <c r="C171" s="334"/>
      <c r="D171" s="294" t="str">
        <f t="shared" si="23"/>
        <v>FGC-304L/2B-002X759</v>
      </c>
      <c r="E171" s="294" t="s">
        <v>3646</v>
      </c>
      <c r="F171" s="294" t="s">
        <v>3245</v>
      </c>
      <c r="G171" s="294" t="s">
        <v>4044</v>
      </c>
      <c r="H171" s="294" t="s">
        <v>230</v>
      </c>
      <c r="I171" s="337" t="s">
        <v>116</v>
      </c>
      <c r="J171" s="149">
        <v>3.8</v>
      </c>
      <c r="K171" s="149">
        <v>1.9</v>
      </c>
      <c r="L171" s="149">
        <v>1.89</v>
      </c>
      <c r="M171" s="149">
        <v>1.91</v>
      </c>
      <c r="N171" s="335">
        <v>777</v>
      </c>
      <c r="O171" s="296">
        <v>5.2549999999999999</v>
      </c>
      <c r="P171" s="345">
        <v>5.29</v>
      </c>
      <c r="Q171" s="138">
        <v>759</v>
      </c>
      <c r="R171" s="339"/>
      <c r="S171" s="339"/>
      <c r="T171" s="299" t="s">
        <v>3614</v>
      </c>
      <c r="U171" s="282" t="s">
        <v>1143</v>
      </c>
      <c r="V171" s="282"/>
      <c r="W171" s="138" t="s">
        <v>116</v>
      </c>
      <c r="X171" s="340">
        <v>44537</v>
      </c>
      <c r="Y171" s="340">
        <v>44537</v>
      </c>
      <c r="Z171" s="340">
        <v>44602</v>
      </c>
      <c r="AA171" s="340"/>
      <c r="AB171" s="340"/>
      <c r="AC171" s="341"/>
      <c r="AD171" s="342" t="s">
        <v>64</v>
      </c>
      <c r="AE171" s="342" t="s">
        <v>154</v>
      </c>
      <c r="AF171" s="284" t="s">
        <v>1330</v>
      </c>
      <c r="AG171" s="284"/>
      <c r="AH171" s="284">
        <v>44516</v>
      </c>
      <c r="AI171" s="284"/>
      <c r="AJ171" s="334">
        <f t="shared" ca="1" si="24"/>
        <v>44963</v>
      </c>
      <c r="AK171" s="342">
        <f t="shared" ca="1" si="25"/>
        <v>447</v>
      </c>
      <c r="AL171" s="342">
        <f t="shared" ca="1" si="26"/>
        <v>361</v>
      </c>
      <c r="AM171" s="284"/>
      <c r="AN171" s="284" t="s">
        <v>3247</v>
      </c>
      <c r="AO171" s="343">
        <v>10.545</v>
      </c>
      <c r="AP171" s="343">
        <v>10.555</v>
      </c>
      <c r="AQ171" s="343">
        <v>10.579999999999998</v>
      </c>
      <c r="AR171" s="343">
        <v>10.584999999999999</v>
      </c>
      <c r="AS171" s="331">
        <f t="shared" ca="1" si="27"/>
        <v>426</v>
      </c>
      <c r="AV171" s="331" t="s">
        <v>136</v>
      </c>
      <c r="BI171" s="347"/>
    </row>
    <row r="172" spans="1:61" s="331" customFormat="1" ht="18" customHeight="1" x14ac:dyDescent="0.35">
      <c r="A172" s="334">
        <v>44615</v>
      </c>
      <c r="B172" s="335">
        <f ca="1">IF(A172="",(IF(ISNUMBER(SUBSTITUTE(LEFT(RIGHT(E172,LEN(E172)-MIN(SEARCH({1,2,3,4,5,6,7,8,9,0},E172&amp;"1234567890"))+1),10),".","/"))=TRUE,AJ172-(SUBSTITUTE(LEFT(RIGHT(E172,LEN(E172)-MIN(SEARCH({1,2,3,4,5,6,7,8,9,0},E172&amp;"1234567890"))+1),10),".","/")),IF((SUBSTITUTE(LEFT(RIGHT(E172,LEN(E172)-MIN(SEARCH({1,2,3,4,5,6,7,8,9,0},E172&amp;"1234567890"))+1),10),".","/"))="","",(AJ172)-(MID(RIGHT((SUBSTITUTE(LEFT(RIGHT(E172,LEN(E172)-MIN(SEARCH({1,2,3,4,5,6,7,8,9,0},E172&amp;"1234567890"))+1),10),".","/")),10),4,2)&amp;"/"&amp;LEFT((RIGHT((SUBSTITUTE(LEFT(RIGHT(E172,LEN(E172)-MIN(SEARCH({1,2,3,4,5,6,7,8,9,0},E172&amp;"1234567890"))+1),10),".","/")),10)),2)&amp;"/"&amp;RIGHT((SUBSTITUTE(LEFT(RIGHT(E172,LEN(E172)-MIN(SEARCH({1,2,3,4,5,6,7,8,9,0},E172&amp;"1234567890"))+1),10),".","/")),4))))),(AJ172-A172))</f>
        <v>348</v>
      </c>
      <c r="C172" s="334"/>
      <c r="D172" s="294" t="str">
        <f t="shared" si="23"/>
        <v>FGC-304L/2B-002X759</v>
      </c>
      <c r="E172" s="294" t="s">
        <v>3646</v>
      </c>
      <c r="F172" s="294" t="s">
        <v>3252</v>
      </c>
      <c r="G172" s="294" t="s">
        <v>4045</v>
      </c>
      <c r="H172" s="294" t="s">
        <v>230</v>
      </c>
      <c r="I172" s="337" t="s">
        <v>116</v>
      </c>
      <c r="J172" s="149">
        <v>3.98</v>
      </c>
      <c r="K172" s="149">
        <v>1.9</v>
      </c>
      <c r="L172" s="149">
        <v>1.88</v>
      </c>
      <c r="M172" s="149">
        <v>1.91</v>
      </c>
      <c r="N172" s="335">
        <v>770</v>
      </c>
      <c r="O172" s="296">
        <f>5.05</f>
        <v>5.05</v>
      </c>
      <c r="P172" s="345">
        <v>5.1050000000000004</v>
      </c>
      <c r="Q172" s="138">
        <v>759</v>
      </c>
      <c r="R172" s="339"/>
      <c r="S172" s="339"/>
      <c r="T172" s="299" t="s">
        <v>3614</v>
      </c>
      <c r="U172" s="282" t="s">
        <v>1143</v>
      </c>
      <c r="V172" s="282"/>
      <c r="W172" s="138" t="s">
        <v>116</v>
      </c>
      <c r="X172" s="340">
        <v>44537</v>
      </c>
      <c r="Y172" s="340">
        <v>44537</v>
      </c>
      <c r="Z172" s="340">
        <v>44603</v>
      </c>
      <c r="AA172" s="340"/>
      <c r="AB172" s="340"/>
      <c r="AC172" s="341"/>
      <c r="AD172" s="342" t="s">
        <v>64</v>
      </c>
      <c r="AE172" s="342" t="s">
        <v>154</v>
      </c>
      <c r="AF172" s="284" t="s">
        <v>1330</v>
      </c>
      <c r="AG172" s="284"/>
      <c r="AH172" s="284">
        <v>44516</v>
      </c>
      <c r="AI172" s="284"/>
      <c r="AJ172" s="334">
        <f t="shared" ca="1" si="24"/>
        <v>44963</v>
      </c>
      <c r="AK172" s="342">
        <f t="shared" ca="1" si="25"/>
        <v>447</v>
      </c>
      <c r="AL172" s="342">
        <f t="shared" ca="1" si="26"/>
        <v>360</v>
      </c>
      <c r="AM172" s="284"/>
      <c r="AN172" s="284" t="s">
        <v>3227</v>
      </c>
      <c r="AO172" s="343">
        <v>11.94</v>
      </c>
      <c r="AP172" s="343">
        <v>11.95</v>
      </c>
      <c r="AQ172" s="343">
        <v>11.974999999999998</v>
      </c>
      <c r="AR172" s="343">
        <v>11.979999999999999</v>
      </c>
      <c r="AS172" s="331">
        <f t="shared" ca="1" si="27"/>
        <v>426</v>
      </c>
      <c r="AV172" s="331" t="s">
        <v>136</v>
      </c>
      <c r="BI172" s="347"/>
    </row>
    <row r="173" spans="1:61" s="331" customFormat="1" ht="18" customHeight="1" x14ac:dyDescent="0.35">
      <c r="A173" s="334">
        <v>44615</v>
      </c>
      <c r="B173" s="335">
        <f ca="1">IF(A173="",(IF(ISNUMBER(SUBSTITUTE(LEFT(RIGHT(E173,LEN(E173)-MIN(SEARCH({1,2,3,4,5,6,7,8,9,0},E173&amp;"1234567890"))+1),10),".","/"))=TRUE,AJ173-(SUBSTITUTE(LEFT(RIGHT(E173,LEN(E173)-MIN(SEARCH({1,2,3,4,5,6,7,8,9,0},E173&amp;"1234567890"))+1),10),".","/")),IF((SUBSTITUTE(LEFT(RIGHT(E173,LEN(E173)-MIN(SEARCH({1,2,3,4,5,6,7,8,9,0},E173&amp;"1234567890"))+1),10),".","/"))="","",(AJ173)-(MID(RIGHT((SUBSTITUTE(LEFT(RIGHT(E173,LEN(E173)-MIN(SEARCH({1,2,3,4,5,6,7,8,9,0},E173&amp;"1234567890"))+1),10),".","/")),10),4,2)&amp;"/"&amp;LEFT((RIGHT((SUBSTITUTE(LEFT(RIGHT(E173,LEN(E173)-MIN(SEARCH({1,2,3,4,5,6,7,8,9,0},E173&amp;"1234567890"))+1),10),".","/")),10)),2)&amp;"/"&amp;RIGHT((SUBSTITUTE(LEFT(RIGHT(E173,LEN(E173)-MIN(SEARCH({1,2,3,4,5,6,7,8,9,0},E173&amp;"1234567890"))+1),10),".","/")),4))))),(AJ173-A173))</f>
        <v>348</v>
      </c>
      <c r="C173" s="334"/>
      <c r="D173" s="294" t="str">
        <f t="shared" si="23"/>
        <v>FGC-304L/2B-002X759</v>
      </c>
      <c r="E173" s="294" t="s">
        <v>3646</v>
      </c>
      <c r="F173" s="294" t="s">
        <v>3252</v>
      </c>
      <c r="G173" s="294" t="s">
        <v>4046</v>
      </c>
      <c r="H173" s="294" t="s">
        <v>230</v>
      </c>
      <c r="I173" s="337" t="s">
        <v>116</v>
      </c>
      <c r="J173" s="149">
        <v>3.98</v>
      </c>
      <c r="K173" s="149">
        <v>1.9</v>
      </c>
      <c r="L173" s="149">
        <v>1.88</v>
      </c>
      <c r="M173" s="149">
        <v>1.91</v>
      </c>
      <c r="N173" s="335">
        <v>770</v>
      </c>
      <c r="O173" s="296">
        <v>6.6749999999999998</v>
      </c>
      <c r="P173" s="345">
        <v>6.74</v>
      </c>
      <c r="Q173" s="138">
        <v>759</v>
      </c>
      <c r="R173" s="339"/>
      <c r="S173" s="339"/>
      <c r="T173" s="299" t="s">
        <v>3614</v>
      </c>
      <c r="U173" s="282" t="s">
        <v>1143</v>
      </c>
      <c r="V173" s="282"/>
      <c r="W173" s="138" t="s">
        <v>116</v>
      </c>
      <c r="X173" s="340">
        <v>44537</v>
      </c>
      <c r="Y173" s="340">
        <v>44537</v>
      </c>
      <c r="Z173" s="340">
        <v>44603</v>
      </c>
      <c r="AA173" s="340"/>
      <c r="AB173" s="340"/>
      <c r="AC173" s="341"/>
      <c r="AD173" s="342" t="s">
        <v>64</v>
      </c>
      <c r="AE173" s="342" t="s">
        <v>154</v>
      </c>
      <c r="AF173" s="284" t="s">
        <v>1330</v>
      </c>
      <c r="AG173" s="284"/>
      <c r="AH173" s="284">
        <v>44516</v>
      </c>
      <c r="AI173" s="284"/>
      <c r="AJ173" s="334">
        <f t="shared" ca="1" si="24"/>
        <v>44963</v>
      </c>
      <c r="AK173" s="342">
        <f t="shared" ca="1" si="25"/>
        <v>447</v>
      </c>
      <c r="AL173" s="342">
        <f t="shared" ca="1" si="26"/>
        <v>360</v>
      </c>
      <c r="AM173" s="284"/>
      <c r="AN173" s="284" t="s">
        <v>3227</v>
      </c>
      <c r="AO173" s="343">
        <v>11.94</v>
      </c>
      <c r="AP173" s="343">
        <v>11.95</v>
      </c>
      <c r="AQ173" s="343">
        <v>11.974999999999998</v>
      </c>
      <c r="AR173" s="343">
        <v>11.979999999999999</v>
      </c>
      <c r="AS173" s="331">
        <f t="shared" ca="1" si="27"/>
        <v>426</v>
      </c>
      <c r="AV173" s="331" t="s">
        <v>136</v>
      </c>
      <c r="BI173" s="347"/>
    </row>
    <row r="174" spans="1:61" s="331" customFormat="1" ht="18" customHeight="1" x14ac:dyDescent="0.35">
      <c r="A174" s="334">
        <v>44615</v>
      </c>
      <c r="B174" s="335">
        <f ca="1">IF(A174="",(IF(ISNUMBER(SUBSTITUTE(LEFT(RIGHT(E174,LEN(E174)-MIN(SEARCH({1,2,3,4,5,6,7,8,9,0},E174&amp;"1234567890"))+1),10),".","/"))=TRUE,AJ174-(SUBSTITUTE(LEFT(RIGHT(E174,LEN(E174)-MIN(SEARCH({1,2,3,4,5,6,7,8,9,0},E174&amp;"1234567890"))+1),10),".","/")),IF((SUBSTITUTE(LEFT(RIGHT(E174,LEN(E174)-MIN(SEARCH({1,2,3,4,5,6,7,8,9,0},E174&amp;"1234567890"))+1),10),".","/"))="","",(AJ174)-(MID(RIGHT((SUBSTITUTE(LEFT(RIGHT(E174,LEN(E174)-MIN(SEARCH({1,2,3,4,5,6,7,8,9,0},E174&amp;"1234567890"))+1),10),".","/")),10),4,2)&amp;"/"&amp;LEFT((RIGHT((SUBSTITUTE(LEFT(RIGHT(E174,LEN(E174)-MIN(SEARCH({1,2,3,4,5,6,7,8,9,0},E174&amp;"1234567890"))+1),10),".","/")),10)),2)&amp;"/"&amp;RIGHT((SUBSTITUTE(LEFT(RIGHT(E174,LEN(E174)-MIN(SEARCH({1,2,3,4,5,6,7,8,9,0},E174&amp;"1234567890"))+1),10),".","/")),4))))),(AJ174-A174))</f>
        <v>348</v>
      </c>
      <c r="C174" s="334"/>
      <c r="D174" s="294" t="str">
        <f t="shared" si="23"/>
        <v>FGC-304L/2B-002X759</v>
      </c>
      <c r="E174" s="294" t="s">
        <v>3655</v>
      </c>
      <c r="F174" s="294" t="s">
        <v>3240</v>
      </c>
      <c r="G174" s="294" t="s">
        <v>4047</v>
      </c>
      <c r="H174" s="294" t="s">
        <v>230</v>
      </c>
      <c r="I174" s="337" t="s">
        <v>116</v>
      </c>
      <c r="J174" s="149">
        <v>3.81</v>
      </c>
      <c r="K174" s="149">
        <v>1.85</v>
      </c>
      <c r="L174" s="149">
        <v>1.82</v>
      </c>
      <c r="M174" s="149">
        <v>1.85</v>
      </c>
      <c r="N174" s="335">
        <v>776</v>
      </c>
      <c r="O174" s="296">
        <f>5.03</f>
        <v>5.03</v>
      </c>
      <c r="P174" s="345">
        <v>5.085</v>
      </c>
      <c r="Q174" s="138">
        <v>759</v>
      </c>
      <c r="R174" s="339"/>
      <c r="S174" s="339"/>
      <c r="T174" s="299" t="s">
        <v>3614</v>
      </c>
      <c r="U174" s="282" t="s">
        <v>1143</v>
      </c>
      <c r="V174" s="282"/>
      <c r="W174" s="138" t="s">
        <v>116</v>
      </c>
      <c r="X174" s="340">
        <v>44538</v>
      </c>
      <c r="Y174" s="340">
        <v>44538</v>
      </c>
      <c r="Z174" s="340">
        <v>44602</v>
      </c>
      <c r="AA174" s="340"/>
      <c r="AB174" s="340"/>
      <c r="AC174" s="341"/>
      <c r="AD174" s="342" t="s">
        <v>64</v>
      </c>
      <c r="AE174" s="342" t="s">
        <v>154</v>
      </c>
      <c r="AF174" s="284" t="s">
        <v>1330</v>
      </c>
      <c r="AG174" s="284"/>
      <c r="AH174" s="284">
        <v>44516</v>
      </c>
      <c r="AI174" s="284"/>
      <c r="AJ174" s="334">
        <f t="shared" ca="1" si="24"/>
        <v>44963</v>
      </c>
      <c r="AK174" s="342">
        <f t="shared" ca="1" si="25"/>
        <v>447</v>
      </c>
      <c r="AL174" s="342">
        <f t="shared" ca="1" si="26"/>
        <v>361</v>
      </c>
      <c r="AM174" s="284"/>
      <c r="AN174" s="284" t="s">
        <v>2946</v>
      </c>
      <c r="AO174" s="343">
        <v>10.45</v>
      </c>
      <c r="AP174" s="343">
        <v>10.46</v>
      </c>
      <c r="AQ174" s="343">
        <v>10.484999999999999</v>
      </c>
      <c r="AR174" s="343">
        <v>10.49</v>
      </c>
      <c r="AS174" s="331">
        <f t="shared" ca="1" si="27"/>
        <v>425</v>
      </c>
      <c r="AV174" s="331" t="s">
        <v>136</v>
      </c>
      <c r="BI174" s="347"/>
    </row>
    <row r="175" spans="1:61" s="331" customFormat="1" ht="18" customHeight="1" x14ac:dyDescent="0.35">
      <c r="A175" s="334">
        <v>44615</v>
      </c>
      <c r="B175" s="335">
        <f ca="1">IF(A175="",(IF(ISNUMBER(SUBSTITUTE(LEFT(RIGHT(E175,LEN(E175)-MIN(SEARCH({1,2,3,4,5,6,7,8,9,0},E175&amp;"1234567890"))+1),10),".","/"))=TRUE,AJ175-(SUBSTITUTE(LEFT(RIGHT(E175,LEN(E175)-MIN(SEARCH({1,2,3,4,5,6,7,8,9,0},E175&amp;"1234567890"))+1),10),".","/")),IF((SUBSTITUTE(LEFT(RIGHT(E175,LEN(E175)-MIN(SEARCH({1,2,3,4,5,6,7,8,9,0},E175&amp;"1234567890"))+1),10),".","/"))="","",(AJ175)-(MID(RIGHT((SUBSTITUTE(LEFT(RIGHT(E175,LEN(E175)-MIN(SEARCH({1,2,3,4,5,6,7,8,9,0},E175&amp;"1234567890"))+1),10),".","/")),10),4,2)&amp;"/"&amp;LEFT((RIGHT((SUBSTITUTE(LEFT(RIGHT(E175,LEN(E175)-MIN(SEARCH({1,2,3,4,5,6,7,8,9,0},E175&amp;"1234567890"))+1),10),".","/")),10)),2)&amp;"/"&amp;RIGHT((SUBSTITUTE(LEFT(RIGHT(E175,LEN(E175)-MIN(SEARCH({1,2,3,4,5,6,7,8,9,0},E175&amp;"1234567890"))+1),10),".","/")),4))))),(AJ175-A175))</f>
        <v>348</v>
      </c>
      <c r="C175" s="334"/>
      <c r="D175" s="294" t="str">
        <f t="shared" si="23"/>
        <v>FGC-304L/2B-002X759</v>
      </c>
      <c r="E175" s="294" t="s">
        <v>3655</v>
      </c>
      <c r="F175" s="294" t="s">
        <v>3240</v>
      </c>
      <c r="G175" s="294" t="s">
        <v>4048</v>
      </c>
      <c r="H175" s="294" t="s">
        <v>230</v>
      </c>
      <c r="I175" s="337" t="s">
        <v>116</v>
      </c>
      <c r="J175" s="149">
        <v>3.81</v>
      </c>
      <c r="K175" s="149">
        <v>1.85</v>
      </c>
      <c r="L175" s="149">
        <v>1.82</v>
      </c>
      <c r="M175" s="149">
        <v>1.85</v>
      </c>
      <c r="N175" s="335">
        <v>776</v>
      </c>
      <c r="O175" s="296">
        <v>5.08</v>
      </c>
      <c r="P175" s="345">
        <v>5.1449999999999996</v>
      </c>
      <c r="Q175" s="138">
        <v>759</v>
      </c>
      <c r="R175" s="339"/>
      <c r="S175" s="339"/>
      <c r="T175" s="299" t="s">
        <v>3614</v>
      </c>
      <c r="U175" s="282" t="s">
        <v>1143</v>
      </c>
      <c r="V175" s="282"/>
      <c r="W175" s="138" t="s">
        <v>116</v>
      </c>
      <c r="X175" s="340">
        <v>44538</v>
      </c>
      <c r="Y175" s="340">
        <v>44538</v>
      </c>
      <c r="Z175" s="340">
        <v>44602</v>
      </c>
      <c r="AA175" s="340"/>
      <c r="AB175" s="340"/>
      <c r="AC175" s="341"/>
      <c r="AD175" s="342" t="s">
        <v>64</v>
      </c>
      <c r="AE175" s="342" t="s">
        <v>154</v>
      </c>
      <c r="AF175" s="284" t="s">
        <v>1330</v>
      </c>
      <c r="AG175" s="284"/>
      <c r="AH175" s="284">
        <v>44516</v>
      </c>
      <c r="AI175" s="284"/>
      <c r="AJ175" s="334">
        <f t="shared" ca="1" si="24"/>
        <v>44963</v>
      </c>
      <c r="AK175" s="342">
        <f t="shared" ca="1" si="25"/>
        <v>447</v>
      </c>
      <c r="AL175" s="342">
        <f t="shared" ca="1" si="26"/>
        <v>361</v>
      </c>
      <c r="AM175" s="284"/>
      <c r="AN175" s="284" t="s">
        <v>2946</v>
      </c>
      <c r="AO175" s="343">
        <v>10.45</v>
      </c>
      <c r="AP175" s="343">
        <v>10.46</v>
      </c>
      <c r="AQ175" s="343">
        <v>10.484999999999999</v>
      </c>
      <c r="AR175" s="343">
        <v>10.49</v>
      </c>
      <c r="AS175" s="331">
        <f t="shared" ca="1" si="27"/>
        <v>425</v>
      </c>
      <c r="AV175" s="331" t="s">
        <v>136</v>
      </c>
      <c r="BI175" s="347"/>
    </row>
    <row r="176" spans="1:61" s="331" customFormat="1" ht="18" customHeight="1" x14ac:dyDescent="0.35">
      <c r="A176" s="334">
        <v>44615</v>
      </c>
      <c r="B176" s="335">
        <f ca="1">IF(A176="",(IF(ISNUMBER(SUBSTITUTE(LEFT(RIGHT(E176,LEN(E176)-MIN(SEARCH({1,2,3,4,5,6,7,8,9,0},E176&amp;"1234567890"))+1),10),".","/"))=TRUE,AJ176-(SUBSTITUTE(LEFT(RIGHT(E176,LEN(E176)-MIN(SEARCH({1,2,3,4,5,6,7,8,9,0},E176&amp;"1234567890"))+1),10),".","/")),IF((SUBSTITUTE(LEFT(RIGHT(E176,LEN(E176)-MIN(SEARCH({1,2,3,4,5,6,7,8,9,0},E176&amp;"1234567890"))+1),10),".","/"))="","",(AJ176)-(MID(RIGHT((SUBSTITUTE(LEFT(RIGHT(E176,LEN(E176)-MIN(SEARCH({1,2,3,4,5,6,7,8,9,0},E176&amp;"1234567890"))+1),10),".","/")),10),4,2)&amp;"/"&amp;LEFT((RIGHT((SUBSTITUTE(LEFT(RIGHT(E176,LEN(E176)-MIN(SEARCH({1,2,3,4,5,6,7,8,9,0},E176&amp;"1234567890"))+1),10),".","/")),10)),2)&amp;"/"&amp;RIGHT((SUBSTITUTE(LEFT(RIGHT(E176,LEN(E176)-MIN(SEARCH({1,2,3,4,5,6,7,8,9,0},E176&amp;"1234567890"))+1),10),".","/")),4))))),(AJ176-A176))</f>
        <v>348</v>
      </c>
      <c r="C176" s="334"/>
      <c r="D176" s="294" t="str">
        <f t="shared" si="23"/>
        <v>FGC-304L/2B-002X759</v>
      </c>
      <c r="E176" s="294" t="s">
        <v>3655</v>
      </c>
      <c r="F176" s="294" t="s">
        <v>3257</v>
      </c>
      <c r="G176" s="294" t="s">
        <v>4049</v>
      </c>
      <c r="H176" s="294" t="s">
        <v>230</v>
      </c>
      <c r="I176" s="337" t="s">
        <v>116</v>
      </c>
      <c r="J176" s="149">
        <v>3.8</v>
      </c>
      <c r="K176" s="149">
        <v>1.85</v>
      </c>
      <c r="L176" s="149">
        <v>1.85</v>
      </c>
      <c r="M176" s="149">
        <v>1.87</v>
      </c>
      <c r="N176" s="335">
        <v>777</v>
      </c>
      <c r="O176" s="296">
        <f>5.06</f>
        <v>5.0599999999999996</v>
      </c>
      <c r="P176" s="345">
        <v>5.1150000000000002</v>
      </c>
      <c r="Q176" s="138">
        <v>759</v>
      </c>
      <c r="R176" s="339"/>
      <c r="S176" s="339"/>
      <c r="T176" s="299" t="s">
        <v>3614</v>
      </c>
      <c r="U176" s="282" t="s">
        <v>1143</v>
      </c>
      <c r="V176" s="282"/>
      <c r="W176" s="138" t="s">
        <v>116</v>
      </c>
      <c r="X176" s="340">
        <v>44537</v>
      </c>
      <c r="Y176" s="340">
        <v>44538</v>
      </c>
      <c r="Z176" s="340">
        <v>44603</v>
      </c>
      <c r="AA176" s="340"/>
      <c r="AB176" s="340"/>
      <c r="AC176" s="341"/>
      <c r="AD176" s="342" t="s">
        <v>64</v>
      </c>
      <c r="AE176" s="342" t="s">
        <v>154</v>
      </c>
      <c r="AF176" s="284" t="s">
        <v>1296</v>
      </c>
      <c r="AG176" s="284"/>
      <c r="AH176" s="284">
        <v>44516</v>
      </c>
      <c r="AI176" s="284"/>
      <c r="AJ176" s="334">
        <f t="shared" ca="1" si="24"/>
        <v>44963</v>
      </c>
      <c r="AK176" s="342">
        <f t="shared" ca="1" si="25"/>
        <v>447</v>
      </c>
      <c r="AL176" s="342">
        <f t="shared" ca="1" si="26"/>
        <v>360</v>
      </c>
      <c r="AM176" s="284"/>
      <c r="AN176" s="284" t="s">
        <v>3259</v>
      </c>
      <c r="AO176" s="343">
        <v>10.24</v>
      </c>
      <c r="AP176" s="343">
        <v>10.25</v>
      </c>
      <c r="AQ176" s="343">
        <v>10.274999999999999</v>
      </c>
      <c r="AR176" s="343">
        <v>10.28</v>
      </c>
      <c r="AS176" s="331">
        <f t="shared" ca="1" si="27"/>
        <v>425</v>
      </c>
      <c r="AV176" s="331" t="s">
        <v>136</v>
      </c>
      <c r="BI176" s="347"/>
    </row>
    <row r="177" spans="1:61" s="331" customFormat="1" ht="18" customHeight="1" x14ac:dyDescent="0.35">
      <c r="A177" s="334"/>
      <c r="B177" s="335" t="e">
        <f ca="1">IF(A177="",(IF(ISNUMBER(SUBSTITUTE(LEFT(RIGHT(E177,LEN(E177)-MIN(SEARCH({1,2,3,4,5,6,7,8,9,0},E177&amp;"1234567890"))+1),10),".","/"))=TRUE,AJ177-(SUBSTITUTE(LEFT(RIGHT(E177,LEN(E177)-MIN(SEARCH({1,2,3,4,5,6,7,8,9,0},E177&amp;"1234567890"))+1),10),".","/")),IF((SUBSTITUTE(LEFT(RIGHT(E177,LEN(E177)-MIN(SEARCH({1,2,3,4,5,6,7,8,9,0},E177&amp;"1234567890"))+1),10),".","/"))="","",(AJ177)-(MID(RIGHT((SUBSTITUTE(LEFT(RIGHT(E177,LEN(E177)-MIN(SEARCH({1,2,3,4,5,6,7,8,9,0},E177&amp;"1234567890"))+1),10),".","/")),10),4,2)&amp;"/"&amp;LEFT((RIGHT((SUBSTITUTE(LEFT(RIGHT(E177,LEN(E177)-MIN(SEARCH({1,2,3,4,5,6,7,8,9,0},E177&amp;"1234567890"))+1),10),".","/")),10)),2)&amp;"/"&amp;RIGHT((SUBSTITUTE(LEFT(RIGHT(E177,LEN(E177)-MIN(SEARCH({1,2,3,4,5,6,7,8,9,0},E177&amp;"1234567890"))+1),10),".","/")),4))))),(AJ177-A177))</f>
        <v>#VALUE!</v>
      </c>
      <c r="C177" s="334"/>
      <c r="D177" s="294" t="str">
        <f t="shared" si="23"/>
        <v>FGC-304L/2B-002X759</v>
      </c>
      <c r="E177" s="294" t="s">
        <v>3655</v>
      </c>
      <c r="F177" s="294" t="s">
        <v>3257</v>
      </c>
      <c r="G177" s="294" t="s">
        <v>4050</v>
      </c>
      <c r="H177" s="294" t="s">
        <v>230</v>
      </c>
      <c r="I177" s="337" t="s">
        <v>116</v>
      </c>
      <c r="J177" s="149">
        <v>3.8</v>
      </c>
      <c r="K177" s="149">
        <v>1.85</v>
      </c>
      <c r="L177" s="149">
        <v>1.85</v>
      </c>
      <c r="M177" s="149">
        <v>1.87</v>
      </c>
      <c r="N177" s="335">
        <v>777</v>
      </c>
      <c r="O177" s="296">
        <v>4.8849999999999998</v>
      </c>
      <c r="P177" s="345"/>
      <c r="Q177" s="138">
        <v>759</v>
      </c>
      <c r="R177" s="339"/>
      <c r="S177" s="339"/>
      <c r="T177" s="299" t="s">
        <v>3614</v>
      </c>
      <c r="U177" s="282" t="s">
        <v>1143</v>
      </c>
      <c r="V177" s="282"/>
      <c r="W177" s="138" t="s">
        <v>116</v>
      </c>
      <c r="X177" s="340">
        <v>44537</v>
      </c>
      <c r="Y177" s="340">
        <v>44538</v>
      </c>
      <c r="Z177" s="340">
        <v>44603</v>
      </c>
      <c r="AA177" s="340"/>
      <c r="AB177" s="340"/>
      <c r="AC177" s="341"/>
      <c r="AD177" s="342" t="s">
        <v>64</v>
      </c>
      <c r="AE177" s="342" t="s">
        <v>154</v>
      </c>
      <c r="AF177" s="284" t="s">
        <v>1296</v>
      </c>
      <c r="AG177" s="284"/>
      <c r="AH177" s="284">
        <v>44516</v>
      </c>
      <c r="AI177" s="284"/>
      <c r="AJ177" s="334">
        <f t="shared" ca="1" si="24"/>
        <v>44963</v>
      </c>
      <c r="AK177" s="342">
        <f t="shared" ca="1" si="25"/>
        <v>447</v>
      </c>
      <c r="AL177" s="342">
        <f t="shared" ca="1" si="26"/>
        <v>360</v>
      </c>
      <c r="AM177" s="284"/>
      <c r="AN177" s="284" t="s">
        <v>3259</v>
      </c>
      <c r="AO177" s="343">
        <v>10.24</v>
      </c>
      <c r="AP177" s="343">
        <v>10.25</v>
      </c>
      <c r="AQ177" s="343">
        <v>10.274999999999999</v>
      </c>
      <c r="AR177" s="343">
        <v>10.28</v>
      </c>
      <c r="AS177" s="331">
        <f t="shared" ca="1" si="27"/>
        <v>425</v>
      </c>
      <c r="AV177" s="331" t="s">
        <v>136</v>
      </c>
      <c r="BI177" s="347"/>
    </row>
    <row r="178" spans="1:61" s="331" customFormat="1" ht="18" customHeight="1" x14ac:dyDescent="0.35">
      <c r="A178" s="334">
        <v>44615</v>
      </c>
      <c r="B178" s="335">
        <f ca="1">IF(A178="",(IF(ISNUMBER(SUBSTITUTE(LEFT(RIGHT(E178,LEN(E178)-MIN(SEARCH({1,2,3,4,5,6,7,8,9,0},E178&amp;"1234567890"))+1),10),".","/"))=TRUE,AJ178-(SUBSTITUTE(LEFT(RIGHT(E178,LEN(E178)-MIN(SEARCH({1,2,3,4,5,6,7,8,9,0},E178&amp;"1234567890"))+1),10),".","/")),IF((SUBSTITUTE(LEFT(RIGHT(E178,LEN(E178)-MIN(SEARCH({1,2,3,4,5,6,7,8,9,0},E178&amp;"1234567890"))+1),10),".","/"))="","",(AJ178)-(MID(RIGHT((SUBSTITUTE(LEFT(RIGHT(E178,LEN(E178)-MIN(SEARCH({1,2,3,4,5,6,7,8,9,0},E178&amp;"1234567890"))+1),10),".","/")),10),4,2)&amp;"/"&amp;LEFT((RIGHT((SUBSTITUTE(LEFT(RIGHT(E178,LEN(E178)-MIN(SEARCH({1,2,3,4,5,6,7,8,9,0},E178&amp;"1234567890"))+1),10),".","/")),10)),2)&amp;"/"&amp;RIGHT((SUBSTITUTE(LEFT(RIGHT(E178,LEN(E178)-MIN(SEARCH({1,2,3,4,5,6,7,8,9,0},E178&amp;"1234567890"))+1),10),".","/")),4))))),(AJ178-A178))</f>
        <v>348</v>
      </c>
      <c r="C178" s="334"/>
      <c r="D178" s="294" t="str">
        <f t="shared" si="23"/>
        <v>FGC-304L/2B-001X759</v>
      </c>
      <c r="E178" s="294" t="s">
        <v>3655</v>
      </c>
      <c r="F178" s="294" t="s">
        <v>2940</v>
      </c>
      <c r="G178" s="294" t="s">
        <v>3659</v>
      </c>
      <c r="H178" s="294" t="s">
        <v>230</v>
      </c>
      <c r="I178" s="337" t="s">
        <v>116</v>
      </c>
      <c r="J178" s="149">
        <v>2.75</v>
      </c>
      <c r="K178" s="149">
        <v>0.6</v>
      </c>
      <c r="L178" s="149">
        <v>0.59</v>
      </c>
      <c r="M178" s="149">
        <v>0.6</v>
      </c>
      <c r="N178" s="335">
        <v>770</v>
      </c>
      <c r="O178" s="296">
        <v>5.77</v>
      </c>
      <c r="P178" s="345">
        <v>5.8449999999999998</v>
      </c>
      <c r="Q178" s="138">
        <v>759</v>
      </c>
      <c r="R178" s="339"/>
      <c r="S178" s="339"/>
      <c r="T178" s="299" t="s">
        <v>3614</v>
      </c>
      <c r="U178" s="282" t="s">
        <v>1143</v>
      </c>
      <c r="V178" s="282"/>
      <c r="W178" s="138" t="s">
        <v>116</v>
      </c>
      <c r="X178" s="340">
        <v>44537</v>
      </c>
      <c r="Y178" s="340">
        <v>44538</v>
      </c>
      <c r="Z178" s="340">
        <v>44603</v>
      </c>
      <c r="AA178" s="340"/>
      <c r="AB178" s="340"/>
      <c r="AC178" s="341"/>
      <c r="AD178" s="342" t="s">
        <v>64</v>
      </c>
      <c r="AE178" s="342" t="s">
        <v>154</v>
      </c>
      <c r="AF178" s="284" t="s">
        <v>1190</v>
      </c>
      <c r="AG178" s="284"/>
      <c r="AH178" s="284">
        <v>44496</v>
      </c>
      <c r="AI178" s="284"/>
      <c r="AJ178" s="334">
        <f t="shared" ca="1" si="24"/>
        <v>44963</v>
      </c>
      <c r="AK178" s="342">
        <f t="shared" ca="1" si="25"/>
        <v>467</v>
      </c>
      <c r="AL178" s="342">
        <f t="shared" ca="1" si="26"/>
        <v>360</v>
      </c>
      <c r="AM178" s="284"/>
      <c r="AN178" s="284" t="s">
        <v>2915</v>
      </c>
      <c r="AO178" s="343">
        <v>10.555</v>
      </c>
      <c r="AP178" s="343">
        <v>10.565</v>
      </c>
      <c r="AQ178" s="343">
        <v>10.589999999999998</v>
      </c>
      <c r="AR178" s="343">
        <v>10.594999999999999</v>
      </c>
      <c r="AS178" s="331">
        <f t="shared" ca="1" si="27"/>
        <v>425</v>
      </c>
      <c r="AV178" s="331" t="s">
        <v>136</v>
      </c>
      <c r="BI178" s="347"/>
    </row>
    <row r="179" spans="1:61" s="331" customFormat="1" ht="18" customHeight="1" x14ac:dyDescent="0.35">
      <c r="A179" s="334"/>
      <c r="B179" s="335" t="e">
        <f ca="1">IF(A179="",(IF(ISNUMBER(SUBSTITUTE(LEFT(RIGHT(E179,LEN(E179)-MIN(SEARCH({1,2,3,4,5,6,7,8,9,0},E179&amp;"1234567890"))+1),10),".","/"))=TRUE,AJ179-(SUBSTITUTE(LEFT(RIGHT(E179,LEN(E179)-MIN(SEARCH({1,2,3,4,5,6,7,8,9,0},E179&amp;"1234567890"))+1),10),".","/")),IF((SUBSTITUTE(LEFT(RIGHT(E179,LEN(E179)-MIN(SEARCH({1,2,3,4,5,6,7,8,9,0},E179&amp;"1234567890"))+1),10),".","/"))="","",(AJ179)-(MID(RIGHT((SUBSTITUTE(LEFT(RIGHT(E179,LEN(E179)-MIN(SEARCH({1,2,3,4,5,6,7,8,9,0},E179&amp;"1234567890"))+1),10),".","/")),10),4,2)&amp;"/"&amp;LEFT((RIGHT((SUBSTITUTE(LEFT(RIGHT(E179,LEN(E179)-MIN(SEARCH({1,2,3,4,5,6,7,8,9,0},E179&amp;"1234567890"))+1),10),".","/")),10)),2)&amp;"/"&amp;RIGHT((SUBSTITUTE(LEFT(RIGHT(E179,LEN(E179)-MIN(SEARCH({1,2,3,4,5,6,7,8,9,0},E179&amp;"1234567890"))+1),10),".","/")),4))))),(AJ179-A179))</f>
        <v>#VALUE!</v>
      </c>
      <c r="C179" s="334"/>
      <c r="D179" s="294" t="str">
        <f t="shared" si="23"/>
        <v>FGC-304L/2B-001X759</v>
      </c>
      <c r="E179" s="294" t="s">
        <v>3681</v>
      </c>
      <c r="F179" s="294" t="s">
        <v>2913</v>
      </c>
      <c r="G179" s="294" t="s">
        <v>3688</v>
      </c>
      <c r="H179" s="294" t="s">
        <v>230</v>
      </c>
      <c r="I179" s="337" t="s">
        <v>116</v>
      </c>
      <c r="J179" s="149">
        <v>2.76</v>
      </c>
      <c r="K179" s="149">
        <v>0.6</v>
      </c>
      <c r="L179" s="149"/>
      <c r="M179" s="149"/>
      <c r="N179" s="335">
        <v>770</v>
      </c>
      <c r="O179" s="296">
        <v>5.37</v>
      </c>
      <c r="P179" s="345"/>
      <c r="Q179" s="138">
        <v>759</v>
      </c>
      <c r="R179" s="339"/>
      <c r="S179" s="339"/>
      <c r="T179" s="299" t="s">
        <v>3689</v>
      </c>
      <c r="U179" s="282" t="s">
        <v>1143</v>
      </c>
      <c r="V179" s="282"/>
      <c r="W179" s="138" t="s">
        <v>116</v>
      </c>
      <c r="X179" s="340">
        <v>44615</v>
      </c>
      <c r="Y179" s="340">
        <v>44616</v>
      </c>
      <c r="Z179" s="340">
        <v>44617</v>
      </c>
      <c r="AA179" s="340"/>
      <c r="AB179" s="340"/>
      <c r="AC179" s="341"/>
      <c r="AD179" s="342" t="s">
        <v>64</v>
      </c>
      <c r="AE179" s="342" t="s">
        <v>154</v>
      </c>
      <c r="AF179" s="284" t="s">
        <v>1190</v>
      </c>
      <c r="AG179" s="284"/>
      <c r="AH179" s="284">
        <v>44496</v>
      </c>
      <c r="AI179" s="284"/>
      <c r="AJ179" s="334">
        <f ca="1">TODAY()</f>
        <v>44963</v>
      </c>
      <c r="AK179" s="342">
        <f t="shared" ca="1" si="25"/>
        <v>467</v>
      </c>
      <c r="AL179" s="342">
        <f t="shared" ca="1" si="26"/>
        <v>346</v>
      </c>
      <c r="AM179" s="284"/>
      <c r="AN179" s="284" t="s">
        <v>2915</v>
      </c>
      <c r="AO179" s="343">
        <v>10.54</v>
      </c>
      <c r="AP179" s="343">
        <v>10.55</v>
      </c>
      <c r="AQ179" s="343">
        <v>10.574999999999999</v>
      </c>
      <c r="AR179" s="343">
        <v>10.58</v>
      </c>
      <c r="AS179" s="331">
        <f t="shared" ca="1" si="27"/>
        <v>347</v>
      </c>
      <c r="AV179" s="331" t="s">
        <v>136</v>
      </c>
      <c r="BI179" s="347"/>
    </row>
    <row r="180" spans="1:61" s="331" customFormat="1" ht="18" customHeight="1" x14ac:dyDescent="0.35">
      <c r="A180" s="320"/>
      <c r="B180" s="319"/>
      <c r="C180" s="320"/>
      <c r="D180" s="302"/>
      <c r="E180" s="302"/>
      <c r="F180" s="302"/>
      <c r="G180" s="302"/>
      <c r="H180" s="302"/>
      <c r="I180" s="260"/>
      <c r="J180" s="321"/>
      <c r="K180" s="321"/>
      <c r="L180" s="321"/>
      <c r="M180" s="321"/>
      <c r="N180" s="319"/>
      <c r="O180" s="322">
        <f>SUM(O156:O179)</f>
        <v>130.655</v>
      </c>
      <c r="P180" s="323"/>
      <c r="Q180" s="301"/>
      <c r="R180" s="301"/>
      <c r="S180" s="326"/>
      <c r="T180" s="370"/>
      <c r="U180" s="328"/>
      <c r="V180" s="328"/>
      <c r="W180" s="301"/>
      <c r="X180" s="329"/>
      <c r="Y180" s="329"/>
      <c r="Z180" s="329"/>
      <c r="AA180" s="329"/>
      <c r="AB180" s="329"/>
      <c r="AC180" s="330"/>
      <c r="AF180" s="332"/>
      <c r="AG180" s="332"/>
      <c r="AH180" s="332"/>
      <c r="AI180" s="332"/>
      <c r="AJ180" s="320"/>
      <c r="AM180" s="332"/>
      <c r="AN180" s="332"/>
      <c r="AO180" s="333"/>
      <c r="AP180" s="333"/>
      <c r="AQ180" s="333"/>
      <c r="AR180" s="333"/>
    </row>
    <row r="181" spans="1:61" s="331" customFormat="1" ht="18" customHeight="1" x14ac:dyDescent="0.35">
      <c r="A181" s="320"/>
      <c r="B181" s="319"/>
      <c r="C181" s="320"/>
      <c r="D181" s="302"/>
      <c r="E181" s="302"/>
      <c r="F181" s="302"/>
      <c r="G181" s="302"/>
      <c r="H181" s="302"/>
      <c r="I181" s="260"/>
      <c r="J181" s="321"/>
      <c r="K181" s="321"/>
      <c r="L181" s="321"/>
      <c r="M181" s="321"/>
      <c r="N181" s="319"/>
      <c r="O181" s="322"/>
      <c r="P181" s="323"/>
      <c r="Q181" s="301"/>
      <c r="R181" s="301"/>
      <c r="S181" s="326"/>
      <c r="T181" s="370"/>
      <c r="U181" s="328"/>
      <c r="V181" s="328"/>
      <c r="W181" s="301"/>
      <c r="X181" s="329"/>
      <c r="Y181" s="329"/>
      <c r="Z181" s="329"/>
      <c r="AA181" s="329"/>
      <c r="AB181" s="329"/>
      <c r="AC181" s="330"/>
      <c r="AF181" s="332"/>
      <c r="AG181" s="332"/>
      <c r="AH181" s="332"/>
      <c r="AI181" s="332"/>
      <c r="AJ181" s="320"/>
      <c r="AM181" s="332"/>
      <c r="AN181" s="332"/>
      <c r="AO181" s="333"/>
      <c r="AP181" s="333"/>
      <c r="AQ181" s="333"/>
      <c r="AR181" s="333"/>
    </row>
    <row r="182" spans="1:61" s="331" customFormat="1" ht="18" customHeight="1" x14ac:dyDescent="0.35">
      <c r="A182" s="365" t="s">
        <v>4051</v>
      </c>
      <c r="B182" s="319"/>
      <c r="C182" s="320"/>
      <c r="D182" s="302"/>
      <c r="E182" s="302"/>
      <c r="F182" s="302"/>
      <c r="G182" s="302"/>
      <c r="H182" s="302"/>
      <c r="I182" s="260"/>
      <c r="J182" s="321"/>
      <c r="K182" s="321"/>
      <c r="L182" s="321"/>
      <c r="M182" s="321"/>
      <c r="N182" s="319"/>
      <c r="O182" s="322"/>
      <c r="P182" s="323"/>
      <c r="Q182" s="301"/>
      <c r="R182" s="301"/>
      <c r="S182" s="326"/>
      <c r="T182" s="370"/>
      <c r="U182" s="328"/>
      <c r="V182" s="328"/>
      <c r="W182" s="301"/>
      <c r="X182" s="329"/>
      <c r="Y182" s="329"/>
      <c r="Z182" s="329"/>
      <c r="AA182" s="329"/>
      <c r="AB182" s="329"/>
      <c r="AC182" s="330"/>
      <c r="AF182" s="332"/>
      <c r="AG182" s="332"/>
      <c r="AH182" s="332"/>
      <c r="AI182" s="332"/>
      <c r="AJ182" s="320"/>
      <c r="AM182" s="332"/>
      <c r="AN182" s="332"/>
      <c r="AO182" s="333"/>
      <c r="AP182" s="333"/>
      <c r="AQ182" s="333"/>
      <c r="AR182" s="333"/>
    </row>
    <row r="183" spans="1:61" s="331" customFormat="1" ht="18" customHeight="1" x14ac:dyDescent="0.35">
      <c r="A183" s="334">
        <v>44606</v>
      </c>
      <c r="B183" s="335">
        <f ca="1">IF(A183="",(IF(ISNUMBER(SUBSTITUTE(LEFT(RIGHT(E183,LEN(E183)-MIN(SEARCH({1,2,3,4,5,6,7,8,9,0},E183&amp;"1234567890"))+1),10),".","/"))=TRUE,AJ183-(SUBSTITUTE(LEFT(RIGHT(E183,LEN(E183)-MIN(SEARCH({1,2,3,4,5,6,7,8,9,0},E183&amp;"1234567890"))+1),10),".","/")),IF((SUBSTITUTE(LEFT(RIGHT(E183,LEN(E183)-MIN(SEARCH({1,2,3,4,5,6,7,8,9,0},E183&amp;"1234567890"))+1),10),".","/"))="","",(AJ183)-(MID(RIGHT((SUBSTITUTE(LEFT(RIGHT(E183,LEN(E183)-MIN(SEARCH({1,2,3,4,5,6,7,8,9,0},E183&amp;"1234567890"))+1),10),".","/")),10),4,2)&amp;"/"&amp;LEFT((RIGHT((SUBSTITUTE(LEFT(RIGHT(E183,LEN(E183)-MIN(SEARCH({1,2,3,4,5,6,7,8,9,0},E183&amp;"1234567890"))+1),10),".","/")),10)),2)&amp;"/"&amp;RIGHT((SUBSTITUTE(LEFT(RIGHT(E183,LEN(E183)-MIN(SEARCH({1,2,3,4,5,6,7,8,9,0},E183&amp;"1234567890"))+1),10),".","/")),4))))),(AJ183-A183))</f>
        <v>357</v>
      </c>
      <c r="C183" s="334"/>
      <c r="D183" s="294" t="str">
        <f t="shared" ref="D183:D205" si="28">IF(Q183="MULTI","FGM","FGC")&amp;"-"&amp;H183&amp;"/"&amp;I183&amp;"-"&amp;TEXT(K183,"0.00")&amp;"X"&amp;IF(Q183="MULTI",N183,Q183)</f>
        <v>FGC-304L/2B-002X759</v>
      </c>
      <c r="E183" s="294" t="s">
        <v>3592</v>
      </c>
      <c r="F183" s="294" t="s">
        <v>3237</v>
      </c>
      <c r="G183" s="294" t="s">
        <v>3593</v>
      </c>
      <c r="H183" s="294" t="s">
        <v>230</v>
      </c>
      <c r="I183" s="337" t="s">
        <v>116</v>
      </c>
      <c r="J183" s="149">
        <v>3.8</v>
      </c>
      <c r="K183" s="149">
        <v>1.5</v>
      </c>
      <c r="L183" s="149">
        <v>1.5</v>
      </c>
      <c r="M183" s="149">
        <v>1.53</v>
      </c>
      <c r="N183" s="335">
        <v>768</v>
      </c>
      <c r="O183" s="296">
        <v>5.2750000000000004</v>
      </c>
      <c r="P183" s="345">
        <v>5.31</v>
      </c>
      <c r="Q183" s="138">
        <v>759</v>
      </c>
      <c r="R183" s="339"/>
      <c r="S183" s="339"/>
      <c r="T183" s="299" t="s">
        <v>3594</v>
      </c>
      <c r="U183" s="282" t="s">
        <v>1143</v>
      </c>
      <c r="V183" s="282"/>
      <c r="W183" s="138" t="s">
        <v>116</v>
      </c>
      <c r="X183" s="340">
        <v>44535</v>
      </c>
      <c r="Y183" s="340">
        <v>44535</v>
      </c>
      <c r="Z183" s="340">
        <v>44602</v>
      </c>
      <c r="AA183" s="340"/>
      <c r="AB183" s="340"/>
      <c r="AC183" s="341"/>
      <c r="AD183" s="342" t="s">
        <v>64</v>
      </c>
      <c r="AE183" s="342" t="s">
        <v>154</v>
      </c>
      <c r="AF183" s="284" t="s">
        <v>1296</v>
      </c>
      <c r="AG183" s="284"/>
      <c r="AH183" s="284">
        <v>44516</v>
      </c>
      <c r="AI183" s="284"/>
      <c r="AJ183" s="334">
        <f t="shared" ref="AJ183:AJ204" ca="1" si="29">TODAY()</f>
        <v>44963</v>
      </c>
      <c r="AK183" s="342">
        <f t="shared" ref="AK183:AK205" ca="1" si="30">IF(AH183&lt;&gt;0,AJ183-AH183,0)</f>
        <v>447</v>
      </c>
      <c r="AL183" s="342">
        <f t="shared" ref="AL183:AL205" ca="1" si="31">IF(ISNUMBER(Z183)=TRUE,AJ183-Z183,IF(Z183="","",(AJ183)-(MID(RIGHT(Z183,10),4,2)&amp;"/"&amp;LEFT((RIGHT(Z183,10)),2)&amp;"/"&amp;RIGHT(Z183,4))))</f>
        <v>361</v>
      </c>
      <c r="AM183" s="284"/>
      <c r="AN183" s="284" t="s">
        <v>3239</v>
      </c>
      <c r="AO183" s="343">
        <v>10.49</v>
      </c>
      <c r="AP183" s="343">
        <v>10.5</v>
      </c>
      <c r="AQ183" s="343">
        <v>10.524999999999999</v>
      </c>
      <c r="AR183" s="343">
        <v>10.53</v>
      </c>
      <c r="AS183" s="331">
        <f t="shared" ref="AS183:AS205" ca="1" si="32">IF(ISNUMBER(Y183)=TRUE,AJ183-Y183,IF(Y183="","",(AJ183)-(MID(RIGHT(Y183,10),4,2)&amp;"/"&amp;LEFT((RIGHT(Y183,10)),2)&amp;"/"&amp;RIGHT(Y183,4))))</f>
        <v>428</v>
      </c>
      <c r="AV183" s="331" t="s">
        <v>136</v>
      </c>
      <c r="BI183" s="347"/>
    </row>
    <row r="184" spans="1:61" s="331" customFormat="1" ht="18" customHeight="1" x14ac:dyDescent="0.35">
      <c r="A184" s="334">
        <v>44606</v>
      </c>
      <c r="B184" s="335">
        <f ca="1">IF(A184="",(IF(ISNUMBER(SUBSTITUTE(LEFT(RIGHT(E184,LEN(E184)-MIN(SEARCH({1,2,3,4,5,6,7,8,9,0},E184&amp;"1234567890"))+1),10),".","/"))=TRUE,AJ184-(SUBSTITUTE(LEFT(RIGHT(E184,LEN(E184)-MIN(SEARCH({1,2,3,4,5,6,7,8,9,0},E184&amp;"1234567890"))+1),10),".","/")),IF((SUBSTITUTE(LEFT(RIGHT(E184,LEN(E184)-MIN(SEARCH({1,2,3,4,5,6,7,8,9,0},E184&amp;"1234567890"))+1),10),".","/"))="","",(AJ184)-(MID(RIGHT((SUBSTITUTE(LEFT(RIGHT(E184,LEN(E184)-MIN(SEARCH({1,2,3,4,5,6,7,8,9,0},E184&amp;"1234567890"))+1),10),".","/")),10),4,2)&amp;"/"&amp;LEFT((RIGHT((SUBSTITUTE(LEFT(RIGHT(E184,LEN(E184)-MIN(SEARCH({1,2,3,4,5,6,7,8,9,0},E184&amp;"1234567890"))+1),10),".","/")),10)),2)&amp;"/"&amp;RIGHT((SUBSTITUTE(LEFT(RIGHT(E184,LEN(E184)-MIN(SEARCH({1,2,3,4,5,6,7,8,9,0},E184&amp;"1234567890"))+1),10),".","/")),4))))),(AJ184-A184))</f>
        <v>357</v>
      </c>
      <c r="C184" s="334"/>
      <c r="D184" s="294" t="str">
        <f t="shared" si="28"/>
        <v>FGC-304L/2B-002X759</v>
      </c>
      <c r="E184" s="294" t="s">
        <v>3592</v>
      </c>
      <c r="F184" s="294" t="s">
        <v>3234</v>
      </c>
      <c r="G184" s="294" t="s">
        <v>4052</v>
      </c>
      <c r="H184" s="294" t="s">
        <v>230</v>
      </c>
      <c r="I184" s="337" t="s">
        <v>116</v>
      </c>
      <c r="J184" s="149">
        <v>3.79</v>
      </c>
      <c r="K184" s="149">
        <v>1.5</v>
      </c>
      <c r="L184" s="149">
        <v>1.5</v>
      </c>
      <c r="M184" s="149">
        <v>1.54</v>
      </c>
      <c r="N184" s="335">
        <v>769</v>
      </c>
      <c r="O184" s="296">
        <f>5.04</f>
        <v>5.04</v>
      </c>
      <c r="P184" s="345">
        <v>5.08</v>
      </c>
      <c r="Q184" s="138">
        <v>759</v>
      </c>
      <c r="R184" s="339"/>
      <c r="S184" s="339"/>
      <c r="T184" s="299" t="s">
        <v>3594</v>
      </c>
      <c r="U184" s="282" t="s">
        <v>1143</v>
      </c>
      <c r="V184" s="282"/>
      <c r="W184" s="138" t="s">
        <v>116</v>
      </c>
      <c r="X184" s="340">
        <v>44535</v>
      </c>
      <c r="Y184" s="340">
        <v>44536</v>
      </c>
      <c r="Z184" s="340">
        <v>44602</v>
      </c>
      <c r="AA184" s="340"/>
      <c r="AB184" s="340"/>
      <c r="AC184" s="341"/>
      <c r="AD184" s="342" t="s">
        <v>64</v>
      </c>
      <c r="AE184" s="342" t="s">
        <v>154</v>
      </c>
      <c r="AF184" s="284" t="s">
        <v>1296</v>
      </c>
      <c r="AG184" s="284"/>
      <c r="AH184" s="284">
        <v>44516</v>
      </c>
      <c r="AI184" s="284"/>
      <c r="AJ184" s="334">
        <f t="shared" ca="1" si="29"/>
        <v>44963</v>
      </c>
      <c r="AK184" s="342">
        <f t="shared" ca="1" si="30"/>
        <v>447</v>
      </c>
      <c r="AL184" s="342">
        <f t="shared" ca="1" si="31"/>
        <v>361</v>
      </c>
      <c r="AM184" s="284"/>
      <c r="AN184" s="284" t="s">
        <v>3236</v>
      </c>
      <c r="AO184" s="343">
        <v>12.185</v>
      </c>
      <c r="AP184" s="343">
        <v>12.195</v>
      </c>
      <c r="AQ184" s="343">
        <v>12.219999999999999</v>
      </c>
      <c r="AR184" s="343">
        <v>12.225</v>
      </c>
      <c r="AS184" s="331">
        <f t="shared" ca="1" si="32"/>
        <v>427</v>
      </c>
      <c r="AV184" s="331" t="s">
        <v>136</v>
      </c>
      <c r="BI184" s="347"/>
    </row>
    <row r="185" spans="1:61" s="331" customFormat="1" ht="18" customHeight="1" x14ac:dyDescent="0.35">
      <c r="A185" s="334">
        <v>44606</v>
      </c>
      <c r="B185" s="335">
        <f ca="1">IF(A185="",(IF(ISNUMBER(SUBSTITUTE(LEFT(RIGHT(E185,LEN(E185)-MIN(SEARCH({1,2,3,4,5,6,7,8,9,0},E185&amp;"1234567890"))+1),10),".","/"))=TRUE,AJ185-(SUBSTITUTE(LEFT(RIGHT(E185,LEN(E185)-MIN(SEARCH({1,2,3,4,5,6,7,8,9,0},E185&amp;"1234567890"))+1),10),".","/")),IF((SUBSTITUTE(LEFT(RIGHT(E185,LEN(E185)-MIN(SEARCH({1,2,3,4,5,6,7,8,9,0},E185&amp;"1234567890"))+1),10),".","/"))="","",(AJ185)-(MID(RIGHT((SUBSTITUTE(LEFT(RIGHT(E185,LEN(E185)-MIN(SEARCH({1,2,3,4,5,6,7,8,9,0},E185&amp;"1234567890"))+1),10),".","/")),10),4,2)&amp;"/"&amp;LEFT((RIGHT((SUBSTITUTE(LEFT(RIGHT(E185,LEN(E185)-MIN(SEARCH({1,2,3,4,5,6,7,8,9,0},E185&amp;"1234567890"))+1),10),".","/")),10)),2)&amp;"/"&amp;RIGHT((SUBSTITUTE(LEFT(RIGHT(E185,LEN(E185)-MIN(SEARCH({1,2,3,4,5,6,7,8,9,0},E185&amp;"1234567890"))+1),10),".","/")),4))))),(AJ185-A185))</f>
        <v>357</v>
      </c>
      <c r="C185" s="334"/>
      <c r="D185" s="294" t="str">
        <f t="shared" si="28"/>
        <v>FGC-304L/2B-002X759</v>
      </c>
      <c r="E185" s="294" t="s">
        <v>3592</v>
      </c>
      <c r="F185" s="294" t="s">
        <v>3234</v>
      </c>
      <c r="G185" s="294" t="s">
        <v>4053</v>
      </c>
      <c r="H185" s="294" t="s">
        <v>230</v>
      </c>
      <c r="I185" s="337" t="s">
        <v>116</v>
      </c>
      <c r="J185" s="149">
        <v>3.79</v>
      </c>
      <c r="K185" s="149">
        <v>1.5</v>
      </c>
      <c r="L185" s="149">
        <v>1.5</v>
      </c>
      <c r="M185" s="149">
        <v>1.54</v>
      </c>
      <c r="N185" s="335">
        <v>769</v>
      </c>
      <c r="O185" s="296">
        <v>6.9</v>
      </c>
      <c r="P185" s="345">
        <v>6.9450000000000003</v>
      </c>
      <c r="Q185" s="138">
        <v>759</v>
      </c>
      <c r="R185" s="339"/>
      <c r="S185" s="339"/>
      <c r="T185" s="299" t="s">
        <v>3594</v>
      </c>
      <c r="U185" s="282" t="s">
        <v>1143</v>
      </c>
      <c r="V185" s="282"/>
      <c r="W185" s="138" t="s">
        <v>116</v>
      </c>
      <c r="X185" s="340">
        <v>44535</v>
      </c>
      <c r="Y185" s="340">
        <v>44536</v>
      </c>
      <c r="Z185" s="340">
        <v>44602</v>
      </c>
      <c r="AA185" s="340"/>
      <c r="AB185" s="340"/>
      <c r="AC185" s="341"/>
      <c r="AD185" s="342" t="s">
        <v>64</v>
      </c>
      <c r="AE185" s="342" t="s">
        <v>154</v>
      </c>
      <c r="AF185" s="284" t="s">
        <v>1296</v>
      </c>
      <c r="AG185" s="284"/>
      <c r="AH185" s="284">
        <v>44516</v>
      </c>
      <c r="AI185" s="284"/>
      <c r="AJ185" s="334">
        <f t="shared" ca="1" si="29"/>
        <v>44963</v>
      </c>
      <c r="AK185" s="342">
        <f t="shared" ca="1" si="30"/>
        <v>447</v>
      </c>
      <c r="AL185" s="342">
        <f t="shared" ca="1" si="31"/>
        <v>361</v>
      </c>
      <c r="AM185" s="284"/>
      <c r="AN185" s="284" t="s">
        <v>3236</v>
      </c>
      <c r="AO185" s="343">
        <v>12.185</v>
      </c>
      <c r="AP185" s="343">
        <v>12.195</v>
      </c>
      <c r="AQ185" s="343">
        <v>12.219999999999999</v>
      </c>
      <c r="AR185" s="343">
        <v>12.225</v>
      </c>
      <c r="AS185" s="331">
        <f t="shared" ca="1" si="32"/>
        <v>427</v>
      </c>
      <c r="AV185" s="331" t="s">
        <v>136</v>
      </c>
      <c r="BI185" s="347"/>
    </row>
    <row r="186" spans="1:61" s="331" customFormat="1" ht="18" customHeight="1" x14ac:dyDescent="0.35">
      <c r="A186" s="334">
        <v>44606</v>
      </c>
      <c r="B186" s="335">
        <f ca="1">IF(A186="",(IF(ISNUMBER(SUBSTITUTE(LEFT(RIGHT(E186,LEN(E186)-MIN(SEARCH({1,2,3,4,5,6,7,8,9,0},E186&amp;"1234567890"))+1),10),".","/"))=TRUE,AJ186-(SUBSTITUTE(LEFT(RIGHT(E186,LEN(E186)-MIN(SEARCH({1,2,3,4,5,6,7,8,9,0},E186&amp;"1234567890"))+1),10),".","/")),IF((SUBSTITUTE(LEFT(RIGHT(E186,LEN(E186)-MIN(SEARCH({1,2,3,4,5,6,7,8,9,0},E186&amp;"1234567890"))+1),10),".","/"))="","",(AJ186)-(MID(RIGHT((SUBSTITUTE(LEFT(RIGHT(E186,LEN(E186)-MIN(SEARCH({1,2,3,4,5,6,7,8,9,0},E186&amp;"1234567890"))+1),10),".","/")),10),4,2)&amp;"/"&amp;LEFT((RIGHT((SUBSTITUTE(LEFT(RIGHT(E186,LEN(E186)-MIN(SEARCH({1,2,3,4,5,6,7,8,9,0},E186&amp;"1234567890"))+1),10),".","/")),10)),2)&amp;"/"&amp;RIGHT((SUBSTITUTE(LEFT(RIGHT(E186,LEN(E186)-MIN(SEARCH({1,2,3,4,5,6,7,8,9,0},E186&amp;"1234567890"))+1),10),".","/")),4))))),(AJ186-A186))</f>
        <v>357</v>
      </c>
      <c r="C186" s="334"/>
      <c r="D186" s="294" t="str">
        <f t="shared" si="28"/>
        <v>FGC-304L/2B-002X759</v>
      </c>
      <c r="E186" s="294" t="s">
        <v>3592</v>
      </c>
      <c r="F186" s="294" t="s">
        <v>3219</v>
      </c>
      <c r="G186" s="294" t="s">
        <v>4054</v>
      </c>
      <c r="H186" s="294" t="s">
        <v>230</v>
      </c>
      <c r="I186" s="337" t="s">
        <v>116</v>
      </c>
      <c r="J186" s="149">
        <v>3.78</v>
      </c>
      <c r="K186" s="149">
        <v>1.5</v>
      </c>
      <c r="L186" s="149">
        <v>1.48</v>
      </c>
      <c r="M186" s="149">
        <v>1.5</v>
      </c>
      <c r="N186" s="335">
        <v>768</v>
      </c>
      <c r="O186" s="296">
        <f>5.05</f>
        <v>5.05</v>
      </c>
      <c r="P186" s="345">
        <v>5.085</v>
      </c>
      <c r="Q186" s="138">
        <v>759</v>
      </c>
      <c r="R186" s="339"/>
      <c r="S186" s="339"/>
      <c r="T186" s="299" t="s">
        <v>3594</v>
      </c>
      <c r="U186" s="282" t="s">
        <v>1143</v>
      </c>
      <c r="V186" s="282"/>
      <c r="W186" s="138" t="s">
        <v>116</v>
      </c>
      <c r="X186" s="340">
        <v>44535</v>
      </c>
      <c r="Y186" s="340">
        <v>44535</v>
      </c>
      <c r="Z186" s="340">
        <v>44601</v>
      </c>
      <c r="AA186" s="340"/>
      <c r="AB186" s="340"/>
      <c r="AC186" s="341"/>
      <c r="AD186" s="342" t="s">
        <v>64</v>
      </c>
      <c r="AE186" s="342" t="s">
        <v>154</v>
      </c>
      <c r="AF186" s="284" t="s">
        <v>1330</v>
      </c>
      <c r="AG186" s="284"/>
      <c r="AH186" s="284">
        <v>44516</v>
      </c>
      <c r="AI186" s="284"/>
      <c r="AJ186" s="334">
        <f t="shared" ca="1" si="29"/>
        <v>44963</v>
      </c>
      <c r="AK186" s="342">
        <f t="shared" ca="1" si="30"/>
        <v>447</v>
      </c>
      <c r="AL186" s="342">
        <f t="shared" ca="1" si="31"/>
        <v>362</v>
      </c>
      <c r="AM186" s="284"/>
      <c r="AN186" s="284" t="s">
        <v>3080</v>
      </c>
      <c r="AO186" s="343">
        <v>12.03</v>
      </c>
      <c r="AP186" s="343">
        <v>12.04</v>
      </c>
      <c r="AQ186" s="343">
        <v>12.064999999999998</v>
      </c>
      <c r="AR186" s="343">
        <v>12.069999999999999</v>
      </c>
      <c r="AS186" s="331">
        <f t="shared" ca="1" si="32"/>
        <v>428</v>
      </c>
      <c r="AV186" s="331" t="s">
        <v>136</v>
      </c>
      <c r="BI186" s="347"/>
    </row>
    <row r="187" spans="1:61" s="331" customFormat="1" ht="18" customHeight="1" x14ac:dyDescent="0.35">
      <c r="A187" s="334">
        <v>44606</v>
      </c>
      <c r="B187" s="335">
        <f ca="1">IF(A187="",(IF(ISNUMBER(SUBSTITUTE(LEFT(RIGHT(E187,LEN(E187)-MIN(SEARCH({1,2,3,4,5,6,7,8,9,0},E187&amp;"1234567890"))+1),10),".","/"))=TRUE,AJ187-(SUBSTITUTE(LEFT(RIGHT(E187,LEN(E187)-MIN(SEARCH({1,2,3,4,5,6,7,8,9,0},E187&amp;"1234567890"))+1),10),".","/")),IF((SUBSTITUTE(LEFT(RIGHT(E187,LEN(E187)-MIN(SEARCH({1,2,3,4,5,6,7,8,9,0},E187&amp;"1234567890"))+1),10),".","/"))="","",(AJ187)-(MID(RIGHT((SUBSTITUTE(LEFT(RIGHT(E187,LEN(E187)-MIN(SEARCH({1,2,3,4,5,6,7,8,9,0},E187&amp;"1234567890"))+1),10),".","/")),10),4,2)&amp;"/"&amp;LEFT((RIGHT((SUBSTITUTE(LEFT(RIGHT(E187,LEN(E187)-MIN(SEARCH({1,2,3,4,5,6,7,8,9,0},E187&amp;"1234567890"))+1),10),".","/")),10)),2)&amp;"/"&amp;RIGHT((SUBSTITUTE(LEFT(RIGHT(E187,LEN(E187)-MIN(SEARCH({1,2,3,4,5,6,7,8,9,0},E187&amp;"1234567890"))+1),10),".","/")),4))))),(AJ187-A187))</f>
        <v>357</v>
      </c>
      <c r="C187" s="334"/>
      <c r="D187" s="294" t="str">
        <f t="shared" si="28"/>
        <v>FGC-304L/2B-002X759</v>
      </c>
      <c r="E187" s="294" t="s">
        <v>3592</v>
      </c>
      <c r="F187" s="294" t="s">
        <v>3219</v>
      </c>
      <c r="G187" s="294" t="s">
        <v>4055</v>
      </c>
      <c r="H187" s="294" t="s">
        <v>230</v>
      </c>
      <c r="I187" s="337" t="s">
        <v>116</v>
      </c>
      <c r="J187" s="149">
        <v>3.78</v>
      </c>
      <c r="K187" s="149">
        <v>1.5</v>
      </c>
      <c r="L187" s="149">
        <v>1.48</v>
      </c>
      <c r="M187" s="149">
        <v>1.5</v>
      </c>
      <c r="N187" s="335">
        <v>768</v>
      </c>
      <c r="O187" s="296">
        <v>6.8049999999999997</v>
      </c>
      <c r="P187" s="345">
        <v>6.84</v>
      </c>
      <c r="Q187" s="138">
        <v>759</v>
      </c>
      <c r="R187" s="339"/>
      <c r="S187" s="339"/>
      <c r="T187" s="299" t="s">
        <v>3594</v>
      </c>
      <c r="U187" s="282" t="s">
        <v>1143</v>
      </c>
      <c r="V187" s="282"/>
      <c r="W187" s="138" t="s">
        <v>116</v>
      </c>
      <c r="X187" s="340">
        <v>44535</v>
      </c>
      <c r="Y187" s="340">
        <v>44535</v>
      </c>
      <c r="Z187" s="340">
        <v>44601</v>
      </c>
      <c r="AA187" s="340"/>
      <c r="AB187" s="340"/>
      <c r="AC187" s="341"/>
      <c r="AD187" s="342" t="s">
        <v>64</v>
      </c>
      <c r="AE187" s="342" t="s">
        <v>154</v>
      </c>
      <c r="AF187" s="284" t="s">
        <v>1330</v>
      </c>
      <c r="AG187" s="284"/>
      <c r="AH187" s="284">
        <v>44516</v>
      </c>
      <c r="AI187" s="284"/>
      <c r="AJ187" s="334">
        <f t="shared" ca="1" si="29"/>
        <v>44963</v>
      </c>
      <c r="AK187" s="342">
        <f t="shared" ca="1" si="30"/>
        <v>447</v>
      </c>
      <c r="AL187" s="342">
        <f t="shared" ca="1" si="31"/>
        <v>362</v>
      </c>
      <c r="AM187" s="284"/>
      <c r="AN187" s="284" t="s">
        <v>3080</v>
      </c>
      <c r="AO187" s="343">
        <v>12.03</v>
      </c>
      <c r="AP187" s="343">
        <v>12.04</v>
      </c>
      <c r="AQ187" s="343">
        <v>12.064999999999998</v>
      </c>
      <c r="AR187" s="343">
        <v>12.069999999999999</v>
      </c>
      <c r="AS187" s="331">
        <f t="shared" ca="1" si="32"/>
        <v>428</v>
      </c>
      <c r="AV187" s="331" t="s">
        <v>136</v>
      </c>
      <c r="BI187" s="347"/>
    </row>
    <row r="188" spans="1:61" s="331" customFormat="1" ht="18" customHeight="1" x14ac:dyDescent="0.35">
      <c r="A188" s="334"/>
      <c r="B188" s="335" t="e">
        <f ca="1">IF(A188="",(IF(ISNUMBER(SUBSTITUTE(LEFT(RIGHT(E188,LEN(E188)-MIN(SEARCH({1,2,3,4,5,6,7,8,9,0},E188&amp;"1234567890"))+1),10),".","/"))=TRUE,AJ188-(SUBSTITUTE(LEFT(RIGHT(E188,LEN(E188)-MIN(SEARCH({1,2,3,4,5,6,7,8,9,0},E188&amp;"1234567890"))+1),10),".","/")),IF((SUBSTITUTE(LEFT(RIGHT(E188,LEN(E188)-MIN(SEARCH({1,2,3,4,5,6,7,8,9,0},E188&amp;"1234567890"))+1),10),".","/"))="","",(AJ188)-(MID(RIGHT((SUBSTITUTE(LEFT(RIGHT(E188,LEN(E188)-MIN(SEARCH({1,2,3,4,5,6,7,8,9,0},E188&amp;"1234567890"))+1),10),".","/")),10),4,2)&amp;"/"&amp;LEFT((RIGHT((SUBSTITUTE(LEFT(RIGHT(E188,LEN(E188)-MIN(SEARCH({1,2,3,4,5,6,7,8,9,0},E188&amp;"1234567890"))+1),10),".","/")),10)),2)&amp;"/"&amp;RIGHT((SUBSTITUTE(LEFT(RIGHT(E188,LEN(E188)-MIN(SEARCH({1,2,3,4,5,6,7,8,9,0},E188&amp;"1234567890"))+1),10),".","/")),4))))),(AJ188-A188))</f>
        <v>#VALUE!</v>
      </c>
      <c r="C188" s="334"/>
      <c r="D188" s="294" t="str">
        <f t="shared" si="28"/>
        <v>FGC-304L/2B-002X759</v>
      </c>
      <c r="E188" s="294" t="s">
        <v>3601</v>
      </c>
      <c r="F188" s="294" t="s">
        <v>3216</v>
      </c>
      <c r="G188" s="294" t="s">
        <v>4056</v>
      </c>
      <c r="H188" s="294" t="s">
        <v>230</v>
      </c>
      <c r="I188" s="337" t="s">
        <v>116</v>
      </c>
      <c r="J188" s="149">
        <v>3.69</v>
      </c>
      <c r="K188" s="149">
        <v>1.5</v>
      </c>
      <c r="L188" s="149">
        <v>1.49</v>
      </c>
      <c r="M188" s="149">
        <v>1.51</v>
      </c>
      <c r="N188" s="335">
        <v>770</v>
      </c>
      <c r="O188" s="296">
        <f>6.07</f>
        <v>6.07</v>
      </c>
      <c r="P188" s="345"/>
      <c r="Q188" s="138">
        <v>759</v>
      </c>
      <c r="R188" s="348"/>
      <c r="S188" s="339"/>
      <c r="T188" s="299" t="s">
        <v>3594</v>
      </c>
      <c r="U188" s="282" t="s">
        <v>1143</v>
      </c>
      <c r="V188" s="282"/>
      <c r="W188" s="138" t="s">
        <v>116</v>
      </c>
      <c r="X188" s="340">
        <v>44535</v>
      </c>
      <c r="Y188" s="340">
        <v>44535</v>
      </c>
      <c r="Z188" s="340">
        <v>44601</v>
      </c>
      <c r="AA188" s="340"/>
      <c r="AB188" s="340"/>
      <c r="AC188" s="341"/>
      <c r="AD188" s="342" t="s">
        <v>64</v>
      </c>
      <c r="AE188" s="342" t="s">
        <v>154</v>
      </c>
      <c r="AF188" s="284" t="s">
        <v>1256</v>
      </c>
      <c r="AG188" s="284"/>
      <c r="AH188" s="284">
        <v>44496</v>
      </c>
      <c r="AI188" s="284"/>
      <c r="AJ188" s="334">
        <f t="shared" ca="1" si="29"/>
        <v>44963</v>
      </c>
      <c r="AK188" s="342">
        <f t="shared" ca="1" si="30"/>
        <v>467</v>
      </c>
      <c r="AL188" s="342">
        <f t="shared" ca="1" si="31"/>
        <v>362</v>
      </c>
      <c r="AM188" s="284"/>
      <c r="AN188" s="284" t="s">
        <v>3218</v>
      </c>
      <c r="AO188" s="343">
        <v>12.13</v>
      </c>
      <c r="AP188" s="343">
        <v>12.14</v>
      </c>
      <c r="AQ188" s="343">
        <v>12.164999999999999</v>
      </c>
      <c r="AR188" s="343">
        <v>12.17</v>
      </c>
      <c r="AS188" s="331">
        <f t="shared" ca="1" si="32"/>
        <v>428</v>
      </c>
      <c r="AV188" s="331" t="s">
        <v>136</v>
      </c>
      <c r="BI188" s="347"/>
    </row>
    <row r="189" spans="1:61" s="331" customFormat="1" ht="18" customHeight="1" x14ac:dyDescent="0.35">
      <c r="A189" s="334"/>
      <c r="B189" s="335" t="e">
        <f ca="1">IF(A189="",(IF(ISNUMBER(SUBSTITUTE(LEFT(RIGHT(E189,LEN(E189)-MIN(SEARCH({1,2,3,4,5,6,7,8,9,0},E189&amp;"1234567890"))+1),10),".","/"))=TRUE,AJ189-(SUBSTITUTE(LEFT(RIGHT(E189,LEN(E189)-MIN(SEARCH({1,2,3,4,5,6,7,8,9,0},E189&amp;"1234567890"))+1),10),".","/")),IF((SUBSTITUTE(LEFT(RIGHT(E189,LEN(E189)-MIN(SEARCH({1,2,3,4,5,6,7,8,9,0},E189&amp;"1234567890"))+1),10),".","/"))="","",(AJ189)-(MID(RIGHT((SUBSTITUTE(LEFT(RIGHT(E189,LEN(E189)-MIN(SEARCH({1,2,3,4,5,6,7,8,9,0},E189&amp;"1234567890"))+1),10),".","/")),10),4,2)&amp;"/"&amp;LEFT((RIGHT((SUBSTITUTE(LEFT(RIGHT(E189,LEN(E189)-MIN(SEARCH({1,2,3,4,5,6,7,8,9,0},E189&amp;"1234567890"))+1),10),".","/")),10)),2)&amp;"/"&amp;RIGHT((SUBSTITUTE(LEFT(RIGHT(E189,LEN(E189)-MIN(SEARCH({1,2,3,4,5,6,7,8,9,0},E189&amp;"1234567890"))+1),10),".","/")),4))))),(AJ189-A189))</f>
        <v>#VALUE!</v>
      </c>
      <c r="C189" s="334"/>
      <c r="D189" s="294" t="str">
        <f t="shared" si="28"/>
        <v>FGC-304L/2B-002X759</v>
      </c>
      <c r="E189" s="294" t="s">
        <v>3601</v>
      </c>
      <c r="F189" s="294" t="s">
        <v>3216</v>
      </c>
      <c r="G189" s="294" t="s">
        <v>4057</v>
      </c>
      <c r="H189" s="294" t="s">
        <v>230</v>
      </c>
      <c r="I189" s="337" t="s">
        <v>116</v>
      </c>
      <c r="J189" s="149">
        <v>3.69</v>
      </c>
      <c r="K189" s="149">
        <v>1.5</v>
      </c>
      <c r="L189" s="149">
        <v>1.49</v>
      </c>
      <c r="M189" s="149">
        <v>1.51</v>
      </c>
      <c r="N189" s="335">
        <v>770</v>
      </c>
      <c r="O189" s="296">
        <v>5.6849999999999996</v>
      </c>
      <c r="P189" s="345"/>
      <c r="Q189" s="138">
        <v>759</v>
      </c>
      <c r="R189" s="348"/>
      <c r="S189" s="339"/>
      <c r="T189" s="299" t="s">
        <v>3594</v>
      </c>
      <c r="U189" s="282" t="s">
        <v>1143</v>
      </c>
      <c r="V189" s="282"/>
      <c r="W189" s="138" t="s">
        <v>116</v>
      </c>
      <c r="X189" s="340">
        <v>44535</v>
      </c>
      <c r="Y189" s="340">
        <v>44535</v>
      </c>
      <c r="Z189" s="340">
        <v>44601</v>
      </c>
      <c r="AA189" s="340"/>
      <c r="AB189" s="340"/>
      <c r="AC189" s="341"/>
      <c r="AD189" s="342" t="s">
        <v>64</v>
      </c>
      <c r="AE189" s="342" t="s">
        <v>154</v>
      </c>
      <c r="AF189" s="284" t="s">
        <v>1256</v>
      </c>
      <c r="AG189" s="284"/>
      <c r="AH189" s="284">
        <v>44496</v>
      </c>
      <c r="AI189" s="284"/>
      <c r="AJ189" s="334">
        <f t="shared" ca="1" si="29"/>
        <v>44963</v>
      </c>
      <c r="AK189" s="342">
        <f t="shared" ca="1" si="30"/>
        <v>467</v>
      </c>
      <c r="AL189" s="342">
        <f t="shared" ca="1" si="31"/>
        <v>362</v>
      </c>
      <c r="AM189" s="284"/>
      <c r="AN189" s="284" t="s">
        <v>3218</v>
      </c>
      <c r="AO189" s="343">
        <v>12.13</v>
      </c>
      <c r="AP189" s="343">
        <v>12.14</v>
      </c>
      <c r="AQ189" s="343">
        <v>12.164999999999999</v>
      </c>
      <c r="AR189" s="343">
        <v>12.17</v>
      </c>
      <c r="AS189" s="331">
        <f t="shared" ca="1" si="32"/>
        <v>428</v>
      </c>
      <c r="AV189" s="331" t="s">
        <v>136</v>
      </c>
      <c r="BI189" s="347"/>
    </row>
    <row r="190" spans="1:61" s="331" customFormat="1" ht="18" customHeight="1" x14ac:dyDescent="0.35">
      <c r="A190" s="334">
        <v>44614</v>
      </c>
      <c r="B190" s="335">
        <f ca="1">IF(A190="",(IF(ISNUMBER(SUBSTITUTE(LEFT(RIGHT(E190,LEN(E190)-MIN(SEARCH({1,2,3,4,5,6,7,8,9,0},E190&amp;"1234567890"))+1),10),".","/"))=TRUE,AJ190-(SUBSTITUTE(LEFT(RIGHT(E190,LEN(E190)-MIN(SEARCH({1,2,3,4,5,6,7,8,9,0},E190&amp;"1234567890"))+1),10),".","/")),IF((SUBSTITUTE(LEFT(RIGHT(E190,LEN(E190)-MIN(SEARCH({1,2,3,4,5,6,7,8,9,0},E190&amp;"1234567890"))+1),10),".","/"))="","",(AJ190)-(MID(RIGHT((SUBSTITUTE(LEFT(RIGHT(E190,LEN(E190)-MIN(SEARCH({1,2,3,4,5,6,7,8,9,0},E190&amp;"1234567890"))+1),10),".","/")),10),4,2)&amp;"/"&amp;LEFT((RIGHT((SUBSTITUTE(LEFT(RIGHT(E190,LEN(E190)-MIN(SEARCH({1,2,3,4,5,6,7,8,9,0},E190&amp;"1234567890"))+1),10),".","/")),10)),2)&amp;"/"&amp;RIGHT((SUBSTITUTE(LEFT(RIGHT(E190,LEN(E190)-MIN(SEARCH({1,2,3,4,5,6,7,8,9,0},E190&amp;"1234567890"))+1),10),".","/")),4))))),(AJ190-A190))</f>
        <v>349</v>
      </c>
      <c r="C190" s="334"/>
      <c r="D190" s="294" t="str">
        <f t="shared" si="28"/>
        <v>FGC-304L/2B-002X759</v>
      </c>
      <c r="E190" s="294" t="s">
        <v>3620</v>
      </c>
      <c r="F190" s="294" t="s">
        <v>3231</v>
      </c>
      <c r="G190" s="294" t="s">
        <v>4058</v>
      </c>
      <c r="H190" s="294" t="s">
        <v>230</v>
      </c>
      <c r="I190" s="337" t="s">
        <v>116</v>
      </c>
      <c r="J190" s="149">
        <v>3.78</v>
      </c>
      <c r="K190" s="149">
        <v>1.5</v>
      </c>
      <c r="L190" s="149">
        <v>1.51</v>
      </c>
      <c r="M190" s="149">
        <v>1.53</v>
      </c>
      <c r="N190" s="335">
        <v>773</v>
      </c>
      <c r="O190" s="296">
        <f>5.015</f>
        <v>5.0149999999999997</v>
      </c>
      <c r="P190" s="345">
        <v>5.04</v>
      </c>
      <c r="Q190" s="138">
        <v>759</v>
      </c>
      <c r="R190" s="339"/>
      <c r="S190" s="339"/>
      <c r="T190" s="299" t="s">
        <v>3594</v>
      </c>
      <c r="U190" s="282" t="s">
        <v>1143</v>
      </c>
      <c r="V190" s="282"/>
      <c r="W190" s="138" t="s">
        <v>116</v>
      </c>
      <c r="X190" s="340">
        <v>44536</v>
      </c>
      <c r="Y190" s="340">
        <v>44536</v>
      </c>
      <c r="Z190" s="340">
        <v>44602</v>
      </c>
      <c r="AA190" s="340"/>
      <c r="AB190" s="340"/>
      <c r="AC190" s="341"/>
      <c r="AD190" s="342" t="s">
        <v>64</v>
      </c>
      <c r="AE190" s="342" t="s">
        <v>154</v>
      </c>
      <c r="AF190" s="284" t="s">
        <v>1296</v>
      </c>
      <c r="AG190" s="284"/>
      <c r="AH190" s="284">
        <v>44516</v>
      </c>
      <c r="AI190" s="284"/>
      <c r="AJ190" s="334">
        <f t="shared" ca="1" si="29"/>
        <v>44963</v>
      </c>
      <c r="AK190" s="342">
        <f t="shared" ca="1" si="30"/>
        <v>447</v>
      </c>
      <c r="AL190" s="342">
        <f t="shared" ca="1" si="31"/>
        <v>361</v>
      </c>
      <c r="AM190" s="284"/>
      <c r="AN190" s="284" t="s">
        <v>3233</v>
      </c>
      <c r="AO190" s="343">
        <v>10.525</v>
      </c>
      <c r="AP190" s="343">
        <v>10.535</v>
      </c>
      <c r="AQ190" s="343">
        <v>10.559999999999999</v>
      </c>
      <c r="AR190" s="343">
        <v>10.565</v>
      </c>
      <c r="AS190" s="331">
        <f t="shared" ca="1" si="32"/>
        <v>427</v>
      </c>
      <c r="AV190" s="331" t="s">
        <v>136</v>
      </c>
      <c r="BI190" s="347"/>
    </row>
    <row r="191" spans="1:61" s="331" customFormat="1" ht="18" customHeight="1" x14ac:dyDescent="0.35">
      <c r="A191" s="334">
        <v>44615</v>
      </c>
      <c r="B191" s="335">
        <f ca="1">IF(A191="",(IF(ISNUMBER(SUBSTITUTE(LEFT(RIGHT(E191,LEN(E191)-MIN(SEARCH({1,2,3,4,5,6,7,8,9,0},E191&amp;"1234567890"))+1),10),".","/"))=TRUE,AJ191-(SUBSTITUTE(LEFT(RIGHT(E191,LEN(E191)-MIN(SEARCH({1,2,3,4,5,6,7,8,9,0},E191&amp;"1234567890"))+1),10),".","/")),IF((SUBSTITUTE(LEFT(RIGHT(E191,LEN(E191)-MIN(SEARCH({1,2,3,4,5,6,7,8,9,0},E191&amp;"1234567890"))+1),10),".","/"))="","",(AJ191)-(MID(RIGHT((SUBSTITUTE(LEFT(RIGHT(E191,LEN(E191)-MIN(SEARCH({1,2,3,4,5,6,7,8,9,0},E191&amp;"1234567890"))+1),10),".","/")),10),4,2)&amp;"/"&amp;LEFT((RIGHT((SUBSTITUTE(LEFT(RIGHT(E191,LEN(E191)-MIN(SEARCH({1,2,3,4,5,6,7,8,9,0},E191&amp;"1234567890"))+1),10),".","/")),10)),2)&amp;"/"&amp;RIGHT((SUBSTITUTE(LEFT(RIGHT(E191,LEN(E191)-MIN(SEARCH({1,2,3,4,5,6,7,8,9,0},E191&amp;"1234567890"))+1),10),".","/")),4))))),(AJ191-A191))</f>
        <v>348</v>
      </c>
      <c r="C191" s="334"/>
      <c r="D191" s="294" t="str">
        <f t="shared" si="28"/>
        <v>FGC-304L/2B-002X759</v>
      </c>
      <c r="E191" s="294" t="s">
        <v>3620</v>
      </c>
      <c r="F191" s="294" t="s">
        <v>3231</v>
      </c>
      <c r="G191" s="294" t="s">
        <v>4059</v>
      </c>
      <c r="H191" s="294" t="s">
        <v>230</v>
      </c>
      <c r="I191" s="337" t="s">
        <v>116</v>
      </c>
      <c r="J191" s="149">
        <v>3.78</v>
      </c>
      <c r="K191" s="149">
        <v>1.5</v>
      </c>
      <c r="L191" s="149">
        <v>1.51</v>
      </c>
      <c r="M191" s="149">
        <v>1.53</v>
      </c>
      <c r="N191" s="335">
        <v>773</v>
      </c>
      <c r="O191" s="296">
        <v>5.2850000000000001</v>
      </c>
      <c r="P191" s="345">
        <v>5.36</v>
      </c>
      <c r="Q191" s="138">
        <v>759</v>
      </c>
      <c r="R191" s="339"/>
      <c r="S191" s="339"/>
      <c r="T191" s="299" t="s">
        <v>3594</v>
      </c>
      <c r="U191" s="282" t="s">
        <v>1143</v>
      </c>
      <c r="V191" s="282"/>
      <c r="W191" s="138" t="s">
        <v>116</v>
      </c>
      <c r="X191" s="340">
        <v>44536</v>
      </c>
      <c r="Y191" s="340">
        <v>44536</v>
      </c>
      <c r="Z191" s="340">
        <v>44602</v>
      </c>
      <c r="AA191" s="340"/>
      <c r="AB191" s="340"/>
      <c r="AC191" s="341"/>
      <c r="AD191" s="342" t="s">
        <v>64</v>
      </c>
      <c r="AE191" s="342" t="s">
        <v>154</v>
      </c>
      <c r="AF191" s="284" t="s">
        <v>1296</v>
      </c>
      <c r="AG191" s="284"/>
      <c r="AH191" s="284">
        <v>44516</v>
      </c>
      <c r="AI191" s="284"/>
      <c r="AJ191" s="334">
        <f t="shared" ca="1" si="29"/>
        <v>44963</v>
      </c>
      <c r="AK191" s="342">
        <f t="shared" ca="1" si="30"/>
        <v>447</v>
      </c>
      <c r="AL191" s="342">
        <f t="shared" ca="1" si="31"/>
        <v>361</v>
      </c>
      <c r="AM191" s="284"/>
      <c r="AN191" s="284" t="s">
        <v>3233</v>
      </c>
      <c r="AO191" s="343">
        <v>10.525</v>
      </c>
      <c r="AP191" s="343">
        <v>10.535</v>
      </c>
      <c r="AQ191" s="343">
        <v>10.559999999999999</v>
      </c>
      <c r="AR191" s="343">
        <v>10.565</v>
      </c>
      <c r="AS191" s="331">
        <f t="shared" ca="1" si="32"/>
        <v>427</v>
      </c>
      <c r="AV191" s="331" t="s">
        <v>136</v>
      </c>
      <c r="BI191" s="347"/>
    </row>
    <row r="192" spans="1:61" s="331" customFormat="1" ht="18" customHeight="1" x14ac:dyDescent="0.35">
      <c r="A192" s="334">
        <v>44615</v>
      </c>
      <c r="B192" s="335">
        <f ca="1">IF(A192="",(IF(ISNUMBER(SUBSTITUTE(LEFT(RIGHT(E192,LEN(E192)-MIN(SEARCH({1,2,3,4,5,6,7,8,9,0},E192&amp;"1234567890"))+1),10),".","/"))=TRUE,AJ192-(SUBSTITUTE(LEFT(RIGHT(E192,LEN(E192)-MIN(SEARCH({1,2,3,4,5,6,7,8,9,0},E192&amp;"1234567890"))+1),10),".","/")),IF((SUBSTITUTE(LEFT(RIGHT(E192,LEN(E192)-MIN(SEARCH({1,2,3,4,5,6,7,8,9,0},E192&amp;"1234567890"))+1),10),".","/"))="","",(AJ192)-(MID(RIGHT((SUBSTITUTE(LEFT(RIGHT(E192,LEN(E192)-MIN(SEARCH({1,2,3,4,5,6,7,8,9,0},E192&amp;"1234567890"))+1),10),".","/")),10),4,2)&amp;"/"&amp;LEFT((RIGHT((SUBSTITUTE(LEFT(RIGHT(E192,LEN(E192)-MIN(SEARCH({1,2,3,4,5,6,7,8,9,0},E192&amp;"1234567890"))+1),10),".","/")),10)),2)&amp;"/"&amp;RIGHT((SUBSTITUTE(LEFT(RIGHT(E192,LEN(E192)-MIN(SEARCH({1,2,3,4,5,6,7,8,9,0},E192&amp;"1234567890"))+1),10),".","/")),4))))),(AJ192-A192))</f>
        <v>348</v>
      </c>
      <c r="C192" s="334"/>
      <c r="D192" s="294" t="str">
        <f t="shared" si="28"/>
        <v>FGC-304L/2B-002X759</v>
      </c>
      <c r="E192" s="294" t="s">
        <v>3620</v>
      </c>
      <c r="F192" s="294" t="s">
        <v>3228</v>
      </c>
      <c r="G192" s="294" t="s">
        <v>4060</v>
      </c>
      <c r="H192" s="294" t="s">
        <v>230</v>
      </c>
      <c r="I192" s="337" t="s">
        <v>116</v>
      </c>
      <c r="J192" s="149">
        <v>3.8</v>
      </c>
      <c r="K192" s="149">
        <v>1.5</v>
      </c>
      <c r="L192" s="149">
        <v>1.48</v>
      </c>
      <c r="M192" s="149">
        <v>1.5</v>
      </c>
      <c r="N192" s="335">
        <v>776</v>
      </c>
      <c r="O192" s="296">
        <f>5.005</f>
        <v>5.0049999999999999</v>
      </c>
      <c r="P192" s="345">
        <v>5.0750000000000002</v>
      </c>
      <c r="Q192" s="138">
        <v>759</v>
      </c>
      <c r="R192" s="339"/>
      <c r="S192" s="339"/>
      <c r="T192" s="299" t="s">
        <v>3594</v>
      </c>
      <c r="U192" s="282" t="s">
        <v>1143</v>
      </c>
      <c r="V192" s="282"/>
      <c r="W192" s="138" t="s">
        <v>116</v>
      </c>
      <c r="X192" s="340">
        <v>44536</v>
      </c>
      <c r="Y192" s="340">
        <v>44536</v>
      </c>
      <c r="Z192" s="340">
        <v>44602</v>
      </c>
      <c r="AA192" s="340"/>
      <c r="AB192" s="340"/>
      <c r="AC192" s="341"/>
      <c r="AD192" s="342" t="s">
        <v>64</v>
      </c>
      <c r="AE192" s="342" t="s">
        <v>154</v>
      </c>
      <c r="AF192" s="284" t="s">
        <v>1330</v>
      </c>
      <c r="AG192" s="284"/>
      <c r="AH192" s="284">
        <v>44516</v>
      </c>
      <c r="AI192" s="284"/>
      <c r="AJ192" s="334">
        <f t="shared" ca="1" si="29"/>
        <v>44963</v>
      </c>
      <c r="AK192" s="342">
        <f t="shared" ca="1" si="30"/>
        <v>447</v>
      </c>
      <c r="AL192" s="342">
        <f t="shared" ca="1" si="31"/>
        <v>361</v>
      </c>
      <c r="AM192" s="284"/>
      <c r="AN192" s="284" t="s">
        <v>3230</v>
      </c>
      <c r="AO192" s="343">
        <v>10.525</v>
      </c>
      <c r="AP192" s="343">
        <v>10.535</v>
      </c>
      <c r="AQ192" s="343">
        <v>10.559999999999999</v>
      </c>
      <c r="AR192" s="343">
        <v>10.565</v>
      </c>
      <c r="AS192" s="331">
        <f t="shared" ca="1" si="32"/>
        <v>427</v>
      </c>
      <c r="AV192" s="331" t="s">
        <v>136</v>
      </c>
      <c r="BI192" s="347"/>
    </row>
    <row r="193" spans="1:61" s="331" customFormat="1" ht="18" customHeight="1" x14ac:dyDescent="0.35">
      <c r="A193" s="334">
        <v>44614</v>
      </c>
      <c r="B193" s="335">
        <f ca="1">IF(A193="",(IF(ISNUMBER(SUBSTITUTE(LEFT(RIGHT(E193,LEN(E193)-MIN(SEARCH({1,2,3,4,5,6,7,8,9,0},E193&amp;"1234567890"))+1),10),".","/"))=TRUE,AJ193-(SUBSTITUTE(LEFT(RIGHT(E193,LEN(E193)-MIN(SEARCH({1,2,3,4,5,6,7,8,9,0},E193&amp;"1234567890"))+1),10),".","/")),IF((SUBSTITUTE(LEFT(RIGHT(E193,LEN(E193)-MIN(SEARCH({1,2,3,4,5,6,7,8,9,0},E193&amp;"1234567890"))+1),10),".","/"))="","",(AJ193)-(MID(RIGHT((SUBSTITUTE(LEFT(RIGHT(E193,LEN(E193)-MIN(SEARCH({1,2,3,4,5,6,7,8,9,0},E193&amp;"1234567890"))+1),10),".","/")),10),4,2)&amp;"/"&amp;LEFT((RIGHT((SUBSTITUTE(LEFT(RIGHT(E193,LEN(E193)-MIN(SEARCH({1,2,3,4,5,6,7,8,9,0},E193&amp;"1234567890"))+1),10),".","/")),10)),2)&amp;"/"&amp;RIGHT((SUBSTITUTE(LEFT(RIGHT(E193,LEN(E193)-MIN(SEARCH({1,2,3,4,5,6,7,8,9,0},E193&amp;"1234567890"))+1),10),".","/")),4))))),(AJ193-A193))</f>
        <v>349</v>
      </c>
      <c r="C193" s="334"/>
      <c r="D193" s="294" t="str">
        <f t="shared" si="28"/>
        <v>FGC-304L/2B-002X759</v>
      </c>
      <c r="E193" s="294" t="s">
        <v>3620</v>
      </c>
      <c r="F193" s="294" t="s">
        <v>3228</v>
      </c>
      <c r="G193" s="294" t="s">
        <v>4061</v>
      </c>
      <c r="H193" s="294" t="s">
        <v>230</v>
      </c>
      <c r="I193" s="337" t="s">
        <v>116</v>
      </c>
      <c r="J193" s="149">
        <v>3.8</v>
      </c>
      <c r="K193" s="149">
        <v>1.5</v>
      </c>
      <c r="L193" s="149">
        <v>1.48</v>
      </c>
      <c r="M193" s="149">
        <v>1.5</v>
      </c>
      <c r="N193" s="335">
        <v>776</v>
      </c>
      <c r="O193" s="296">
        <v>5.2450000000000001</v>
      </c>
      <c r="P193" s="345">
        <v>5.2750000000000004</v>
      </c>
      <c r="Q193" s="138">
        <v>759</v>
      </c>
      <c r="R193" s="339"/>
      <c r="S193" s="339"/>
      <c r="T193" s="299" t="s">
        <v>3594</v>
      </c>
      <c r="U193" s="282" t="s">
        <v>1143</v>
      </c>
      <c r="V193" s="282"/>
      <c r="W193" s="138" t="s">
        <v>116</v>
      </c>
      <c r="X193" s="340">
        <v>44536</v>
      </c>
      <c r="Y193" s="340">
        <v>44536</v>
      </c>
      <c r="Z193" s="340">
        <v>44602</v>
      </c>
      <c r="AA193" s="340"/>
      <c r="AB193" s="340"/>
      <c r="AC193" s="341"/>
      <c r="AD193" s="342" t="s">
        <v>64</v>
      </c>
      <c r="AE193" s="342" t="s">
        <v>154</v>
      </c>
      <c r="AF193" s="284" t="s">
        <v>1330</v>
      </c>
      <c r="AG193" s="284"/>
      <c r="AH193" s="284">
        <v>44516</v>
      </c>
      <c r="AI193" s="284"/>
      <c r="AJ193" s="334">
        <f t="shared" ca="1" si="29"/>
        <v>44963</v>
      </c>
      <c r="AK193" s="342">
        <f t="shared" ca="1" si="30"/>
        <v>447</v>
      </c>
      <c r="AL193" s="342">
        <f t="shared" ca="1" si="31"/>
        <v>361</v>
      </c>
      <c r="AM193" s="284"/>
      <c r="AN193" s="284" t="s">
        <v>3230</v>
      </c>
      <c r="AO193" s="343">
        <v>10.525</v>
      </c>
      <c r="AP193" s="343">
        <v>10.535</v>
      </c>
      <c r="AQ193" s="343">
        <v>10.559999999999999</v>
      </c>
      <c r="AR193" s="343">
        <v>10.565</v>
      </c>
      <c r="AS193" s="331">
        <f t="shared" ca="1" si="32"/>
        <v>427</v>
      </c>
      <c r="AV193" s="331" t="s">
        <v>136</v>
      </c>
      <c r="BI193" s="347"/>
    </row>
    <row r="194" spans="1:61" s="331" customFormat="1" ht="18" customHeight="1" x14ac:dyDescent="0.35">
      <c r="A194" s="334">
        <v>44614</v>
      </c>
      <c r="B194" s="335">
        <f ca="1">IF(A194="",(IF(ISNUMBER(SUBSTITUTE(LEFT(RIGHT(E194,LEN(E194)-MIN(SEARCH({1,2,3,4,5,6,7,8,9,0},E194&amp;"1234567890"))+1),10),".","/"))=TRUE,AJ194-(SUBSTITUTE(LEFT(RIGHT(E194,LEN(E194)-MIN(SEARCH({1,2,3,4,5,6,7,8,9,0},E194&amp;"1234567890"))+1),10),".","/")),IF((SUBSTITUTE(LEFT(RIGHT(E194,LEN(E194)-MIN(SEARCH({1,2,3,4,5,6,7,8,9,0},E194&amp;"1234567890"))+1),10),".","/"))="","",(AJ194)-(MID(RIGHT((SUBSTITUTE(LEFT(RIGHT(E194,LEN(E194)-MIN(SEARCH({1,2,3,4,5,6,7,8,9,0},E194&amp;"1234567890"))+1),10),".","/")),10),4,2)&amp;"/"&amp;LEFT((RIGHT((SUBSTITUTE(LEFT(RIGHT(E194,LEN(E194)-MIN(SEARCH({1,2,3,4,5,6,7,8,9,0},E194&amp;"1234567890"))+1),10),".","/")),10)),2)&amp;"/"&amp;RIGHT((SUBSTITUTE(LEFT(RIGHT(E194,LEN(E194)-MIN(SEARCH({1,2,3,4,5,6,7,8,9,0},E194&amp;"1234567890"))+1),10),".","/")),4))))),(AJ194-A194))</f>
        <v>349</v>
      </c>
      <c r="C194" s="334"/>
      <c r="D194" s="294" t="str">
        <f t="shared" si="28"/>
        <v>FGC-304L/2B-002X759</v>
      </c>
      <c r="E194" s="294" t="s">
        <v>3620</v>
      </c>
      <c r="F194" s="294" t="s">
        <v>3225</v>
      </c>
      <c r="G194" s="294" t="s">
        <v>4062</v>
      </c>
      <c r="H194" s="294" t="s">
        <v>230</v>
      </c>
      <c r="I194" s="337" t="s">
        <v>116</v>
      </c>
      <c r="J194" s="149">
        <v>3.98</v>
      </c>
      <c r="K194" s="149">
        <v>1.5</v>
      </c>
      <c r="L194" s="149">
        <v>1.49</v>
      </c>
      <c r="M194" s="149">
        <v>1.51</v>
      </c>
      <c r="N194" s="335">
        <v>773</v>
      </c>
      <c r="O194" s="296">
        <f>5.135</f>
        <v>5.1349999999999998</v>
      </c>
      <c r="P194" s="345">
        <v>5.1749999999999998</v>
      </c>
      <c r="Q194" s="138">
        <v>759</v>
      </c>
      <c r="R194" s="339"/>
      <c r="S194" s="339"/>
      <c r="T194" s="299" t="s">
        <v>3594</v>
      </c>
      <c r="U194" s="282" t="s">
        <v>1143</v>
      </c>
      <c r="V194" s="282"/>
      <c r="W194" s="138" t="s">
        <v>116</v>
      </c>
      <c r="X194" s="340">
        <v>44535</v>
      </c>
      <c r="Y194" s="340">
        <v>44535</v>
      </c>
      <c r="Z194" s="340">
        <v>44602</v>
      </c>
      <c r="AA194" s="340"/>
      <c r="AB194" s="340"/>
      <c r="AC194" s="341"/>
      <c r="AD194" s="342" t="s">
        <v>64</v>
      </c>
      <c r="AE194" s="342" t="s">
        <v>154</v>
      </c>
      <c r="AF194" s="284" t="s">
        <v>1330</v>
      </c>
      <c r="AG194" s="284"/>
      <c r="AH194" s="284">
        <v>44516</v>
      </c>
      <c r="AI194" s="284"/>
      <c r="AJ194" s="334">
        <f t="shared" ca="1" si="29"/>
        <v>44963</v>
      </c>
      <c r="AK194" s="342">
        <f t="shared" ca="1" si="30"/>
        <v>447</v>
      </c>
      <c r="AL194" s="342">
        <f t="shared" ca="1" si="31"/>
        <v>361</v>
      </c>
      <c r="AM194" s="284"/>
      <c r="AN194" s="284" t="s">
        <v>3227</v>
      </c>
      <c r="AO194" s="343">
        <v>12.005000000000001</v>
      </c>
      <c r="AP194" s="343">
        <v>12.015000000000001</v>
      </c>
      <c r="AQ194" s="343">
        <v>12.04</v>
      </c>
      <c r="AR194" s="343">
        <v>12.045</v>
      </c>
      <c r="AS194" s="331">
        <f t="shared" ca="1" si="32"/>
        <v>428</v>
      </c>
      <c r="AV194" s="331" t="s">
        <v>136</v>
      </c>
      <c r="BI194" s="347"/>
    </row>
    <row r="195" spans="1:61" s="331" customFormat="1" ht="18" customHeight="1" x14ac:dyDescent="0.35">
      <c r="A195" s="334">
        <v>44614</v>
      </c>
      <c r="B195" s="335">
        <f ca="1">IF(A195="",(IF(ISNUMBER(SUBSTITUTE(LEFT(RIGHT(E195,LEN(E195)-MIN(SEARCH({1,2,3,4,5,6,7,8,9,0},E195&amp;"1234567890"))+1),10),".","/"))=TRUE,AJ195-(SUBSTITUTE(LEFT(RIGHT(E195,LEN(E195)-MIN(SEARCH({1,2,3,4,5,6,7,8,9,0},E195&amp;"1234567890"))+1),10),".","/")),IF((SUBSTITUTE(LEFT(RIGHT(E195,LEN(E195)-MIN(SEARCH({1,2,3,4,5,6,7,8,9,0},E195&amp;"1234567890"))+1),10),".","/"))="","",(AJ195)-(MID(RIGHT((SUBSTITUTE(LEFT(RIGHT(E195,LEN(E195)-MIN(SEARCH({1,2,3,4,5,6,7,8,9,0},E195&amp;"1234567890"))+1),10),".","/")),10),4,2)&amp;"/"&amp;LEFT((RIGHT((SUBSTITUTE(LEFT(RIGHT(E195,LEN(E195)-MIN(SEARCH({1,2,3,4,5,6,7,8,9,0},E195&amp;"1234567890"))+1),10),".","/")),10)),2)&amp;"/"&amp;RIGHT((SUBSTITUTE(LEFT(RIGHT(E195,LEN(E195)-MIN(SEARCH({1,2,3,4,5,6,7,8,9,0},E195&amp;"1234567890"))+1),10),".","/")),4))))),(AJ195-A195))</f>
        <v>349</v>
      </c>
      <c r="C195" s="334"/>
      <c r="D195" s="294" t="str">
        <f t="shared" si="28"/>
        <v>FGC-304L/2B-002X759</v>
      </c>
      <c r="E195" s="294" t="s">
        <v>3620</v>
      </c>
      <c r="F195" s="294" t="s">
        <v>3225</v>
      </c>
      <c r="G195" s="294" t="s">
        <v>4063</v>
      </c>
      <c r="H195" s="294" t="s">
        <v>230</v>
      </c>
      <c r="I195" s="337" t="s">
        <v>116</v>
      </c>
      <c r="J195" s="149">
        <v>3.98</v>
      </c>
      <c r="K195" s="149">
        <v>1.5</v>
      </c>
      <c r="L195" s="149">
        <v>1.49</v>
      </c>
      <c r="M195" s="149">
        <v>1.51</v>
      </c>
      <c r="N195" s="335">
        <v>773</v>
      </c>
      <c r="O195" s="296">
        <v>6.5650000000000004</v>
      </c>
      <c r="P195" s="345">
        <v>6.5949999999999998</v>
      </c>
      <c r="Q195" s="138">
        <v>759</v>
      </c>
      <c r="R195" s="339"/>
      <c r="S195" s="339"/>
      <c r="T195" s="299" t="s">
        <v>3594</v>
      </c>
      <c r="U195" s="282" t="s">
        <v>1143</v>
      </c>
      <c r="V195" s="282"/>
      <c r="W195" s="138" t="s">
        <v>116</v>
      </c>
      <c r="X195" s="340">
        <v>44535</v>
      </c>
      <c r="Y195" s="340">
        <v>44535</v>
      </c>
      <c r="Z195" s="340">
        <v>44602</v>
      </c>
      <c r="AA195" s="340"/>
      <c r="AB195" s="340"/>
      <c r="AC195" s="341"/>
      <c r="AD195" s="342" t="s">
        <v>64</v>
      </c>
      <c r="AE195" s="342" t="s">
        <v>154</v>
      </c>
      <c r="AF195" s="284" t="s">
        <v>1330</v>
      </c>
      <c r="AG195" s="284"/>
      <c r="AH195" s="284">
        <v>44516</v>
      </c>
      <c r="AI195" s="284"/>
      <c r="AJ195" s="334">
        <f t="shared" ca="1" si="29"/>
        <v>44963</v>
      </c>
      <c r="AK195" s="342">
        <f t="shared" ca="1" si="30"/>
        <v>447</v>
      </c>
      <c r="AL195" s="342">
        <f t="shared" ca="1" si="31"/>
        <v>361</v>
      </c>
      <c r="AM195" s="284"/>
      <c r="AN195" s="284" t="s">
        <v>3227</v>
      </c>
      <c r="AO195" s="343">
        <v>12.005000000000001</v>
      </c>
      <c r="AP195" s="343">
        <v>12.015000000000001</v>
      </c>
      <c r="AQ195" s="343">
        <v>12.04</v>
      </c>
      <c r="AR195" s="343">
        <v>12.045</v>
      </c>
      <c r="AS195" s="331">
        <f t="shared" ca="1" si="32"/>
        <v>428</v>
      </c>
      <c r="AV195" s="331" t="s">
        <v>136</v>
      </c>
      <c r="BI195" s="347"/>
    </row>
    <row r="196" spans="1:61" s="331" customFormat="1" ht="18" customHeight="1" x14ac:dyDescent="0.35">
      <c r="A196" s="334">
        <v>44615</v>
      </c>
      <c r="B196" s="335">
        <f ca="1">IF(A196="",(IF(ISNUMBER(SUBSTITUTE(LEFT(RIGHT(E196,LEN(E196)-MIN(SEARCH({1,2,3,4,5,6,7,8,9,0},E196&amp;"1234567890"))+1),10),".","/"))=TRUE,AJ196-(SUBSTITUTE(LEFT(RIGHT(E196,LEN(E196)-MIN(SEARCH({1,2,3,4,5,6,7,8,9,0},E196&amp;"1234567890"))+1),10),".","/")),IF((SUBSTITUTE(LEFT(RIGHT(E196,LEN(E196)-MIN(SEARCH({1,2,3,4,5,6,7,8,9,0},E196&amp;"1234567890"))+1),10),".","/"))="","",(AJ196)-(MID(RIGHT((SUBSTITUTE(LEFT(RIGHT(E196,LEN(E196)-MIN(SEARCH({1,2,3,4,5,6,7,8,9,0},E196&amp;"1234567890"))+1),10),".","/")),10),4,2)&amp;"/"&amp;LEFT((RIGHT((SUBSTITUTE(LEFT(RIGHT(E196,LEN(E196)-MIN(SEARCH({1,2,3,4,5,6,7,8,9,0},E196&amp;"1234567890"))+1),10),".","/")),10)),2)&amp;"/"&amp;RIGHT((SUBSTITUTE(LEFT(RIGHT(E196,LEN(E196)-MIN(SEARCH({1,2,3,4,5,6,7,8,9,0},E196&amp;"1234567890"))+1),10),".","/")),4))))),(AJ196-A196))</f>
        <v>348</v>
      </c>
      <c r="C196" s="334"/>
      <c r="D196" s="294" t="str">
        <f t="shared" si="28"/>
        <v>FGC-304L/2B-002X759</v>
      </c>
      <c r="E196" s="294" t="s">
        <v>3620</v>
      </c>
      <c r="F196" s="294" t="s">
        <v>3209</v>
      </c>
      <c r="G196" s="294" t="s">
        <v>4064</v>
      </c>
      <c r="H196" s="294" t="s">
        <v>230</v>
      </c>
      <c r="I196" s="337" t="s">
        <v>116</v>
      </c>
      <c r="J196" s="149">
        <v>3.99</v>
      </c>
      <c r="K196" s="149">
        <v>1.5</v>
      </c>
      <c r="L196" s="149">
        <v>1.45</v>
      </c>
      <c r="M196" s="149">
        <v>1.48</v>
      </c>
      <c r="N196" s="335">
        <v>777</v>
      </c>
      <c r="O196" s="296">
        <f>4.965</f>
        <v>4.9649999999999999</v>
      </c>
      <c r="P196" s="345">
        <v>5.04</v>
      </c>
      <c r="Q196" s="138">
        <v>759</v>
      </c>
      <c r="R196" s="345"/>
      <c r="S196" s="339"/>
      <c r="T196" s="299" t="s">
        <v>3594</v>
      </c>
      <c r="U196" s="282" t="s">
        <v>1143</v>
      </c>
      <c r="V196" s="282"/>
      <c r="W196" s="138" t="s">
        <v>116</v>
      </c>
      <c r="X196" s="340">
        <v>44536</v>
      </c>
      <c r="Y196" s="340">
        <v>44536</v>
      </c>
      <c r="Z196" s="340">
        <v>44601</v>
      </c>
      <c r="AA196" s="340"/>
      <c r="AB196" s="340"/>
      <c r="AC196" s="341"/>
      <c r="AD196" s="342" t="s">
        <v>64</v>
      </c>
      <c r="AE196" s="342" t="s">
        <v>154</v>
      </c>
      <c r="AF196" s="284" t="s">
        <v>1330</v>
      </c>
      <c r="AG196" s="284"/>
      <c r="AH196" s="284">
        <v>44516</v>
      </c>
      <c r="AI196" s="284"/>
      <c r="AJ196" s="334">
        <f t="shared" ca="1" si="29"/>
        <v>44963</v>
      </c>
      <c r="AK196" s="342">
        <f t="shared" ca="1" si="30"/>
        <v>447</v>
      </c>
      <c r="AL196" s="342">
        <f t="shared" ca="1" si="31"/>
        <v>362</v>
      </c>
      <c r="AM196" s="284"/>
      <c r="AN196" s="284" t="s">
        <v>3211</v>
      </c>
      <c r="AO196" s="343">
        <v>12.05</v>
      </c>
      <c r="AP196" s="343">
        <v>12.06</v>
      </c>
      <c r="AQ196" s="343">
        <v>12.084999999999999</v>
      </c>
      <c r="AR196" s="343">
        <v>12.09</v>
      </c>
      <c r="AS196" s="331">
        <f t="shared" ca="1" si="32"/>
        <v>427</v>
      </c>
      <c r="AV196" s="331" t="s">
        <v>136</v>
      </c>
      <c r="BI196" s="347"/>
    </row>
    <row r="197" spans="1:61" s="331" customFormat="1" ht="18" customHeight="1" x14ac:dyDescent="0.35">
      <c r="A197" s="334">
        <v>44614</v>
      </c>
      <c r="B197" s="335">
        <f ca="1">IF(A197="",(IF(ISNUMBER(SUBSTITUTE(LEFT(RIGHT(E197,LEN(E197)-MIN(SEARCH({1,2,3,4,5,6,7,8,9,0},E197&amp;"1234567890"))+1),10),".","/"))=TRUE,AJ197-(SUBSTITUTE(LEFT(RIGHT(E197,LEN(E197)-MIN(SEARCH({1,2,3,4,5,6,7,8,9,0},E197&amp;"1234567890"))+1),10),".","/")),IF((SUBSTITUTE(LEFT(RIGHT(E197,LEN(E197)-MIN(SEARCH({1,2,3,4,5,6,7,8,9,0},E197&amp;"1234567890"))+1),10),".","/"))="","",(AJ197)-(MID(RIGHT((SUBSTITUTE(LEFT(RIGHT(E197,LEN(E197)-MIN(SEARCH({1,2,3,4,5,6,7,8,9,0},E197&amp;"1234567890"))+1),10),".","/")),10),4,2)&amp;"/"&amp;LEFT((RIGHT((SUBSTITUTE(LEFT(RIGHT(E197,LEN(E197)-MIN(SEARCH({1,2,3,4,5,6,7,8,9,0},E197&amp;"1234567890"))+1),10),".","/")),10)),2)&amp;"/"&amp;RIGHT((SUBSTITUTE(LEFT(RIGHT(E197,LEN(E197)-MIN(SEARCH({1,2,3,4,5,6,7,8,9,0},E197&amp;"1234567890"))+1),10),".","/")),4))))),(AJ197-A197))</f>
        <v>349</v>
      </c>
      <c r="C197" s="334"/>
      <c r="D197" s="294" t="str">
        <f t="shared" si="28"/>
        <v>FGC-304L/2B-002X759</v>
      </c>
      <c r="E197" s="294" t="s">
        <v>3620</v>
      </c>
      <c r="F197" s="294" t="s">
        <v>3209</v>
      </c>
      <c r="G197" s="294" t="s">
        <v>4065</v>
      </c>
      <c r="H197" s="294" t="s">
        <v>230</v>
      </c>
      <c r="I197" s="337" t="s">
        <v>116</v>
      </c>
      <c r="J197" s="149">
        <v>3.99</v>
      </c>
      <c r="K197" s="149">
        <v>1.5</v>
      </c>
      <c r="L197" s="149">
        <v>1.45</v>
      </c>
      <c r="M197" s="149">
        <v>1.48</v>
      </c>
      <c r="N197" s="335">
        <v>777</v>
      </c>
      <c r="O197" s="296">
        <v>6.7549999999999999</v>
      </c>
      <c r="P197" s="345">
        <v>6.7850000000000001</v>
      </c>
      <c r="Q197" s="138">
        <v>759</v>
      </c>
      <c r="R197" s="339"/>
      <c r="S197" s="339"/>
      <c r="T197" s="299" t="s">
        <v>3594</v>
      </c>
      <c r="U197" s="282" t="s">
        <v>1143</v>
      </c>
      <c r="V197" s="282"/>
      <c r="W197" s="138" t="s">
        <v>116</v>
      </c>
      <c r="X197" s="340">
        <v>44536</v>
      </c>
      <c r="Y197" s="340">
        <v>44536</v>
      </c>
      <c r="Z197" s="340">
        <v>44601</v>
      </c>
      <c r="AA197" s="340"/>
      <c r="AB197" s="340"/>
      <c r="AC197" s="341"/>
      <c r="AD197" s="342" t="s">
        <v>64</v>
      </c>
      <c r="AE197" s="342" t="s">
        <v>154</v>
      </c>
      <c r="AF197" s="284" t="s">
        <v>1330</v>
      </c>
      <c r="AG197" s="284"/>
      <c r="AH197" s="284">
        <v>44516</v>
      </c>
      <c r="AI197" s="284"/>
      <c r="AJ197" s="334">
        <f t="shared" ca="1" si="29"/>
        <v>44963</v>
      </c>
      <c r="AK197" s="342">
        <f t="shared" ca="1" si="30"/>
        <v>447</v>
      </c>
      <c r="AL197" s="342">
        <f t="shared" ca="1" si="31"/>
        <v>362</v>
      </c>
      <c r="AM197" s="284"/>
      <c r="AN197" s="284" t="s">
        <v>3211</v>
      </c>
      <c r="AO197" s="343">
        <v>12.05</v>
      </c>
      <c r="AP197" s="343">
        <v>12.06</v>
      </c>
      <c r="AQ197" s="343">
        <v>12.084999999999999</v>
      </c>
      <c r="AR197" s="343">
        <v>12.09</v>
      </c>
      <c r="AS197" s="331">
        <f t="shared" ca="1" si="32"/>
        <v>427</v>
      </c>
      <c r="AV197" s="331" t="s">
        <v>136</v>
      </c>
      <c r="BI197" s="347"/>
    </row>
    <row r="198" spans="1:61" s="331" customFormat="1" ht="18" customHeight="1" x14ac:dyDescent="0.35">
      <c r="A198" s="334">
        <v>44615</v>
      </c>
      <c r="B198" s="335">
        <f ca="1">IF(A198="",(IF(ISNUMBER(SUBSTITUTE(LEFT(RIGHT(E198,LEN(E198)-MIN(SEARCH({1,2,3,4,5,6,7,8,9,0},E198&amp;"1234567890"))+1),10),".","/"))=TRUE,AJ198-(SUBSTITUTE(LEFT(RIGHT(E198,LEN(E198)-MIN(SEARCH({1,2,3,4,5,6,7,8,9,0},E198&amp;"1234567890"))+1),10),".","/")),IF((SUBSTITUTE(LEFT(RIGHT(E198,LEN(E198)-MIN(SEARCH({1,2,3,4,5,6,7,8,9,0},E198&amp;"1234567890"))+1),10),".","/"))="","",(AJ198)-(MID(RIGHT((SUBSTITUTE(LEFT(RIGHT(E198,LEN(E198)-MIN(SEARCH({1,2,3,4,5,6,7,8,9,0},E198&amp;"1234567890"))+1),10),".","/")),10),4,2)&amp;"/"&amp;LEFT((RIGHT((SUBSTITUTE(LEFT(RIGHT(E198,LEN(E198)-MIN(SEARCH({1,2,3,4,5,6,7,8,9,0},E198&amp;"1234567890"))+1),10),".","/")),10)),2)&amp;"/"&amp;RIGHT((SUBSTITUTE(LEFT(RIGHT(E198,LEN(E198)-MIN(SEARCH({1,2,3,4,5,6,7,8,9,0},E198&amp;"1234567890"))+1),10),".","/")),4))))),(AJ198-A198))</f>
        <v>348</v>
      </c>
      <c r="C198" s="334"/>
      <c r="D198" s="294" t="str">
        <f t="shared" si="28"/>
        <v>FGC-304L/2B-002X759</v>
      </c>
      <c r="E198" s="294" t="s">
        <v>3626</v>
      </c>
      <c r="F198" s="294" t="s">
        <v>3221</v>
      </c>
      <c r="G198" s="294" t="s">
        <v>4066</v>
      </c>
      <c r="H198" s="294" t="s">
        <v>230</v>
      </c>
      <c r="I198" s="337" t="s">
        <v>116</v>
      </c>
      <c r="J198" s="149">
        <v>3.79</v>
      </c>
      <c r="K198" s="149">
        <v>1.5</v>
      </c>
      <c r="L198" s="149">
        <v>1.49</v>
      </c>
      <c r="M198" s="149">
        <v>1.51</v>
      </c>
      <c r="N198" s="335">
        <v>773</v>
      </c>
      <c r="O198" s="296">
        <f>5.015</f>
        <v>5.0149999999999997</v>
      </c>
      <c r="P198" s="345">
        <v>5.0650000000000004</v>
      </c>
      <c r="Q198" s="138">
        <v>759</v>
      </c>
      <c r="R198" s="339"/>
      <c r="S198" s="339"/>
      <c r="T198" s="299" t="s">
        <v>3594</v>
      </c>
      <c r="U198" s="282" t="s">
        <v>1143</v>
      </c>
      <c r="V198" s="282"/>
      <c r="W198" s="138" t="s">
        <v>116</v>
      </c>
      <c r="X198" s="340">
        <v>44536</v>
      </c>
      <c r="Y198" s="340">
        <v>44536</v>
      </c>
      <c r="Z198" s="340">
        <v>44601</v>
      </c>
      <c r="AA198" s="340"/>
      <c r="AB198" s="340"/>
      <c r="AC198" s="341"/>
      <c r="AD198" s="342" t="s">
        <v>64</v>
      </c>
      <c r="AE198" s="342" t="s">
        <v>154</v>
      </c>
      <c r="AF198" s="284" t="s">
        <v>1330</v>
      </c>
      <c r="AG198" s="284"/>
      <c r="AH198" s="284">
        <v>44516</v>
      </c>
      <c r="AI198" s="284"/>
      <c r="AJ198" s="334">
        <f t="shared" ca="1" si="29"/>
        <v>44963</v>
      </c>
      <c r="AK198" s="342">
        <f t="shared" ca="1" si="30"/>
        <v>447</v>
      </c>
      <c r="AL198" s="342">
        <f t="shared" ca="1" si="31"/>
        <v>362</v>
      </c>
      <c r="AM198" s="284"/>
      <c r="AN198" s="284" t="s">
        <v>3223</v>
      </c>
      <c r="AO198" s="343">
        <v>10.41</v>
      </c>
      <c r="AP198" s="343">
        <v>10.42</v>
      </c>
      <c r="AQ198" s="343">
        <v>10.444999999999999</v>
      </c>
      <c r="AR198" s="343">
        <v>10.45</v>
      </c>
      <c r="AS198" s="331">
        <f t="shared" ca="1" si="32"/>
        <v>427</v>
      </c>
      <c r="AV198" s="331" t="s">
        <v>136</v>
      </c>
      <c r="BI198" s="347"/>
    </row>
    <row r="199" spans="1:61" s="331" customFormat="1" ht="18" customHeight="1" x14ac:dyDescent="0.35">
      <c r="A199" s="334">
        <v>44614</v>
      </c>
      <c r="B199" s="335">
        <f ca="1">IF(A199="",(IF(ISNUMBER(SUBSTITUTE(LEFT(RIGHT(E199,LEN(E199)-MIN(SEARCH({1,2,3,4,5,6,7,8,9,0},E199&amp;"1234567890"))+1),10),".","/"))=TRUE,AJ199-(SUBSTITUTE(LEFT(RIGHT(E199,LEN(E199)-MIN(SEARCH({1,2,3,4,5,6,7,8,9,0},E199&amp;"1234567890"))+1),10),".","/")),IF((SUBSTITUTE(LEFT(RIGHT(E199,LEN(E199)-MIN(SEARCH({1,2,3,4,5,6,7,8,9,0},E199&amp;"1234567890"))+1),10),".","/"))="","",(AJ199)-(MID(RIGHT((SUBSTITUTE(LEFT(RIGHT(E199,LEN(E199)-MIN(SEARCH({1,2,3,4,5,6,7,8,9,0},E199&amp;"1234567890"))+1),10),".","/")),10),4,2)&amp;"/"&amp;LEFT((RIGHT((SUBSTITUTE(LEFT(RIGHT(E199,LEN(E199)-MIN(SEARCH({1,2,3,4,5,6,7,8,9,0},E199&amp;"1234567890"))+1),10),".","/")),10)),2)&amp;"/"&amp;RIGHT((SUBSTITUTE(LEFT(RIGHT(E199,LEN(E199)-MIN(SEARCH({1,2,3,4,5,6,7,8,9,0},E199&amp;"1234567890"))+1),10),".","/")),4))))),(AJ199-A199))</f>
        <v>349</v>
      </c>
      <c r="C199" s="334"/>
      <c r="D199" s="294" t="str">
        <f t="shared" si="28"/>
        <v>FGC-304L/2B-002X759</v>
      </c>
      <c r="E199" s="294" t="s">
        <v>3626</v>
      </c>
      <c r="F199" s="294" t="s">
        <v>3221</v>
      </c>
      <c r="G199" s="294" t="s">
        <v>4067</v>
      </c>
      <c r="H199" s="294" t="s">
        <v>230</v>
      </c>
      <c r="I199" s="337" t="s">
        <v>116</v>
      </c>
      <c r="J199" s="149">
        <v>3.79</v>
      </c>
      <c r="K199" s="149">
        <v>1.5</v>
      </c>
      <c r="L199" s="149">
        <v>1.49</v>
      </c>
      <c r="M199" s="149">
        <v>1.51</v>
      </c>
      <c r="N199" s="335">
        <v>773</v>
      </c>
      <c r="O199" s="296">
        <v>5</v>
      </c>
      <c r="P199" s="345">
        <v>5.05</v>
      </c>
      <c r="Q199" s="138">
        <v>759</v>
      </c>
      <c r="R199" s="339"/>
      <c r="S199" s="339"/>
      <c r="T199" s="299" t="s">
        <v>3594</v>
      </c>
      <c r="U199" s="282" t="s">
        <v>1143</v>
      </c>
      <c r="V199" s="282"/>
      <c r="W199" s="138" t="s">
        <v>116</v>
      </c>
      <c r="X199" s="340">
        <v>44536</v>
      </c>
      <c r="Y199" s="340">
        <v>44536</v>
      </c>
      <c r="Z199" s="340">
        <v>44601</v>
      </c>
      <c r="AA199" s="340"/>
      <c r="AB199" s="340"/>
      <c r="AC199" s="341"/>
      <c r="AD199" s="342" t="s">
        <v>64</v>
      </c>
      <c r="AE199" s="342" t="s">
        <v>154</v>
      </c>
      <c r="AF199" s="284" t="s">
        <v>1330</v>
      </c>
      <c r="AG199" s="284"/>
      <c r="AH199" s="284">
        <v>44516</v>
      </c>
      <c r="AI199" s="284"/>
      <c r="AJ199" s="334">
        <f t="shared" ca="1" si="29"/>
        <v>44963</v>
      </c>
      <c r="AK199" s="342">
        <f t="shared" ca="1" si="30"/>
        <v>447</v>
      </c>
      <c r="AL199" s="342">
        <f t="shared" ca="1" si="31"/>
        <v>362</v>
      </c>
      <c r="AM199" s="284"/>
      <c r="AN199" s="284" t="s">
        <v>3223</v>
      </c>
      <c r="AO199" s="343">
        <v>10.41</v>
      </c>
      <c r="AP199" s="343">
        <v>10.42</v>
      </c>
      <c r="AQ199" s="343">
        <v>10.444999999999999</v>
      </c>
      <c r="AR199" s="343">
        <v>10.45</v>
      </c>
      <c r="AS199" s="331">
        <f t="shared" ca="1" si="32"/>
        <v>427</v>
      </c>
      <c r="AV199" s="331" t="s">
        <v>136</v>
      </c>
      <c r="BI199" s="347"/>
    </row>
    <row r="200" spans="1:61" s="331" customFormat="1" ht="18" customHeight="1" x14ac:dyDescent="0.35">
      <c r="A200" s="334">
        <v>44616</v>
      </c>
      <c r="B200" s="335">
        <f ca="1">IF(A200="",(IF(ISNUMBER(SUBSTITUTE(LEFT(RIGHT(E200,LEN(E200)-MIN(SEARCH({1,2,3,4,5,6,7,8,9,0},E200&amp;"1234567890"))+1),10),".","/"))=TRUE,AJ200-(SUBSTITUTE(LEFT(RIGHT(E200,LEN(E200)-MIN(SEARCH({1,2,3,4,5,6,7,8,9,0},E200&amp;"1234567890"))+1),10),".","/")),IF((SUBSTITUTE(LEFT(RIGHT(E200,LEN(E200)-MIN(SEARCH({1,2,3,4,5,6,7,8,9,0},E200&amp;"1234567890"))+1),10),".","/"))="","",(AJ200)-(MID(RIGHT((SUBSTITUTE(LEFT(RIGHT(E200,LEN(E200)-MIN(SEARCH({1,2,3,4,5,6,7,8,9,0},E200&amp;"1234567890"))+1),10),".","/")),10),4,2)&amp;"/"&amp;LEFT((RIGHT((SUBSTITUTE(LEFT(RIGHT(E200,LEN(E200)-MIN(SEARCH({1,2,3,4,5,6,7,8,9,0},E200&amp;"1234567890"))+1),10),".","/")),10)),2)&amp;"/"&amp;RIGHT((SUBSTITUTE(LEFT(RIGHT(E200,LEN(E200)-MIN(SEARCH({1,2,3,4,5,6,7,8,9,0},E200&amp;"1234567890"))+1),10),".","/")),4))))),(AJ200-A200))</f>
        <v>347</v>
      </c>
      <c r="C200" s="334"/>
      <c r="D200" s="294" t="str">
        <f t="shared" si="28"/>
        <v>FGC-304L/2B-002X759</v>
      </c>
      <c r="E200" s="294" t="s">
        <v>3629</v>
      </c>
      <c r="F200" s="294" t="s">
        <v>3242</v>
      </c>
      <c r="G200" s="294" t="s">
        <v>4068</v>
      </c>
      <c r="H200" s="294" t="s">
        <v>230</v>
      </c>
      <c r="I200" s="337" t="s">
        <v>116</v>
      </c>
      <c r="J200" s="149">
        <v>3.8</v>
      </c>
      <c r="K200" s="149">
        <v>1.5</v>
      </c>
      <c r="L200" s="149">
        <v>1.48</v>
      </c>
      <c r="M200" s="149">
        <v>1.5</v>
      </c>
      <c r="N200" s="335">
        <v>776</v>
      </c>
      <c r="O200" s="296">
        <f>5.02</f>
        <v>5.0199999999999996</v>
      </c>
      <c r="P200" s="345">
        <v>5.085</v>
      </c>
      <c r="Q200" s="138">
        <v>759</v>
      </c>
      <c r="R200" s="339"/>
      <c r="S200" s="339"/>
      <c r="T200" s="299" t="s">
        <v>3594</v>
      </c>
      <c r="U200" s="282" t="s">
        <v>1143</v>
      </c>
      <c r="V200" s="282"/>
      <c r="W200" s="138" t="s">
        <v>116</v>
      </c>
      <c r="X200" s="340">
        <v>44535</v>
      </c>
      <c r="Y200" s="340">
        <v>44536</v>
      </c>
      <c r="Z200" s="340">
        <v>44602</v>
      </c>
      <c r="AA200" s="340">
        <v>44610</v>
      </c>
      <c r="AB200" s="340"/>
      <c r="AC200" s="341"/>
      <c r="AD200" s="342" t="s">
        <v>64</v>
      </c>
      <c r="AE200" s="342" t="s">
        <v>154</v>
      </c>
      <c r="AF200" s="284" t="s">
        <v>1330</v>
      </c>
      <c r="AG200" s="284"/>
      <c r="AH200" s="284">
        <v>44516</v>
      </c>
      <c r="AI200" s="284"/>
      <c r="AJ200" s="334">
        <f t="shared" ca="1" si="29"/>
        <v>44963</v>
      </c>
      <c r="AK200" s="342">
        <f t="shared" ca="1" si="30"/>
        <v>447</v>
      </c>
      <c r="AL200" s="342">
        <f t="shared" ca="1" si="31"/>
        <v>361</v>
      </c>
      <c r="AM200" s="284"/>
      <c r="AN200" s="284" t="s">
        <v>3244</v>
      </c>
      <c r="AO200" s="343">
        <v>10.445</v>
      </c>
      <c r="AP200" s="343">
        <v>10.455</v>
      </c>
      <c r="AQ200" s="343">
        <v>10.479999999999999</v>
      </c>
      <c r="AR200" s="343">
        <v>10.484999999999999</v>
      </c>
      <c r="AS200" s="331">
        <f t="shared" ca="1" si="32"/>
        <v>427</v>
      </c>
      <c r="AV200" s="331" t="s">
        <v>136</v>
      </c>
      <c r="BI200" s="347"/>
    </row>
    <row r="201" spans="1:61" s="331" customFormat="1" ht="18" customHeight="1" x14ac:dyDescent="0.35">
      <c r="A201" s="334"/>
      <c r="B201" s="335" t="e">
        <f ca="1">IF(A201="",(IF(ISNUMBER(SUBSTITUTE(LEFT(RIGHT(E201,LEN(E201)-MIN(SEARCH({1,2,3,4,5,6,7,8,9,0},E201&amp;"1234567890"))+1),10),".","/"))=TRUE,AJ201-(SUBSTITUTE(LEFT(RIGHT(E201,LEN(E201)-MIN(SEARCH({1,2,3,4,5,6,7,8,9,0},E201&amp;"1234567890"))+1),10),".","/")),IF((SUBSTITUTE(LEFT(RIGHT(E201,LEN(E201)-MIN(SEARCH({1,2,3,4,5,6,7,8,9,0},E201&amp;"1234567890"))+1),10),".","/"))="","",(AJ201)-(MID(RIGHT((SUBSTITUTE(LEFT(RIGHT(E201,LEN(E201)-MIN(SEARCH({1,2,3,4,5,6,7,8,9,0},E201&amp;"1234567890"))+1),10),".","/")),10),4,2)&amp;"/"&amp;LEFT((RIGHT((SUBSTITUTE(LEFT(RIGHT(E201,LEN(E201)-MIN(SEARCH({1,2,3,4,5,6,7,8,9,0},E201&amp;"1234567890"))+1),10),".","/")),10)),2)&amp;"/"&amp;RIGHT((SUBSTITUTE(LEFT(RIGHT(E201,LEN(E201)-MIN(SEARCH({1,2,3,4,5,6,7,8,9,0},E201&amp;"1234567890"))+1),10),".","/")),4))))),(AJ201-A201))</f>
        <v>#VALUE!</v>
      </c>
      <c r="C201" s="334"/>
      <c r="D201" s="294" t="str">
        <f t="shared" si="28"/>
        <v>FGC-304L/2B-002X759</v>
      </c>
      <c r="E201" s="294" t="s">
        <v>3629</v>
      </c>
      <c r="F201" s="294" t="s">
        <v>3242</v>
      </c>
      <c r="G201" s="294" t="s">
        <v>4069</v>
      </c>
      <c r="H201" s="294" t="s">
        <v>230</v>
      </c>
      <c r="I201" s="337" t="s">
        <v>116</v>
      </c>
      <c r="J201" s="149">
        <v>3.8</v>
      </c>
      <c r="K201" s="149">
        <v>1.5</v>
      </c>
      <c r="L201" s="149">
        <v>1.48</v>
      </c>
      <c r="M201" s="149">
        <v>1.5</v>
      </c>
      <c r="N201" s="335">
        <v>776</v>
      </c>
      <c r="O201" s="296">
        <v>4.8650000000000002</v>
      </c>
      <c r="P201" s="345"/>
      <c r="Q201" s="138">
        <v>759</v>
      </c>
      <c r="R201" s="339"/>
      <c r="S201" s="339"/>
      <c r="T201" s="299" t="s">
        <v>3594</v>
      </c>
      <c r="U201" s="282" t="s">
        <v>1143</v>
      </c>
      <c r="V201" s="282"/>
      <c r="W201" s="138" t="s">
        <v>116</v>
      </c>
      <c r="X201" s="340">
        <v>44535</v>
      </c>
      <c r="Y201" s="340">
        <v>44536</v>
      </c>
      <c r="Z201" s="340">
        <v>44602</v>
      </c>
      <c r="AA201" s="340">
        <v>44610</v>
      </c>
      <c r="AB201" s="340"/>
      <c r="AC201" s="341"/>
      <c r="AD201" s="342" t="s">
        <v>64</v>
      </c>
      <c r="AE201" s="342" t="s">
        <v>154</v>
      </c>
      <c r="AF201" s="284" t="s">
        <v>1330</v>
      </c>
      <c r="AG201" s="284"/>
      <c r="AH201" s="284">
        <v>44516</v>
      </c>
      <c r="AI201" s="284"/>
      <c r="AJ201" s="334">
        <f t="shared" ca="1" si="29"/>
        <v>44963</v>
      </c>
      <c r="AK201" s="342">
        <f t="shared" ca="1" si="30"/>
        <v>447</v>
      </c>
      <c r="AL201" s="342">
        <f t="shared" ca="1" si="31"/>
        <v>361</v>
      </c>
      <c r="AM201" s="284"/>
      <c r="AN201" s="284" t="s">
        <v>3244</v>
      </c>
      <c r="AO201" s="343">
        <v>10.445</v>
      </c>
      <c r="AP201" s="343">
        <v>10.455</v>
      </c>
      <c r="AQ201" s="343">
        <v>10.479999999999999</v>
      </c>
      <c r="AR201" s="343">
        <v>10.484999999999999</v>
      </c>
      <c r="AS201" s="331">
        <f t="shared" ca="1" si="32"/>
        <v>427</v>
      </c>
      <c r="AV201" s="331" t="s">
        <v>136</v>
      </c>
      <c r="BI201" s="347"/>
    </row>
    <row r="202" spans="1:61" s="331" customFormat="1" ht="18" customHeight="1" x14ac:dyDescent="0.35">
      <c r="A202" s="334"/>
      <c r="B202" s="335" t="e">
        <f ca="1">IF(A202="",(IF(ISNUMBER(SUBSTITUTE(LEFT(RIGHT(E202,LEN(E202)-MIN(SEARCH({1,2,3,4,5,6,7,8,9,0},E202&amp;"1234567890"))+1),10),".","/"))=TRUE,AJ202-(SUBSTITUTE(LEFT(RIGHT(E202,LEN(E202)-MIN(SEARCH({1,2,3,4,5,6,7,8,9,0},E202&amp;"1234567890"))+1),10),".","/")),IF((SUBSTITUTE(LEFT(RIGHT(E202,LEN(E202)-MIN(SEARCH({1,2,3,4,5,6,7,8,9,0},E202&amp;"1234567890"))+1),10),".","/"))="","",(AJ202)-(MID(RIGHT((SUBSTITUTE(LEFT(RIGHT(E202,LEN(E202)-MIN(SEARCH({1,2,3,4,5,6,7,8,9,0},E202&amp;"1234567890"))+1),10),".","/")),10),4,2)&amp;"/"&amp;LEFT((RIGHT((SUBSTITUTE(LEFT(RIGHT(E202,LEN(E202)-MIN(SEARCH({1,2,3,4,5,6,7,8,9,0},E202&amp;"1234567890"))+1),10),".","/")),10)),2)&amp;"/"&amp;RIGHT((SUBSTITUTE(LEFT(RIGHT(E202,LEN(E202)-MIN(SEARCH({1,2,3,4,5,6,7,8,9,0},E202&amp;"1234567890"))+1),10),".","/")),4))))),(AJ202-A202))</f>
        <v>#VALUE!</v>
      </c>
      <c r="C202" s="334"/>
      <c r="D202" s="294" t="str">
        <f t="shared" si="28"/>
        <v>FGC-304L/2B-002X759</v>
      </c>
      <c r="E202" s="294" t="s">
        <v>3626</v>
      </c>
      <c r="F202" s="294" t="s">
        <v>3213</v>
      </c>
      <c r="G202" s="294" t="s">
        <v>4070</v>
      </c>
      <c r="H202" s="294" t="s">
        <v>230</v>
      </c>
      <c r="I202" s="337" t="s">
        <v>116</v>
      </c>
      <c r="J202" s="149">
        <v>3.79</v>
      </c>
      <c r="K202" s="149">
        <v>1.5</v>
      </c>
      <c r="L202" s="149">
        <v>1.48</v>
      </c>
      <c r="M202" s="149">
        <v>1.5</v>
      </c>
      <c r="N202" s="335">
        <v>767</v>
      </c>
      <c r="O202" s="296">
        <f>4.97</f>
        <v>4.97</v>
      </c>
      <c r="P202" s="345"/>
      <c r="Q202" s="138">
        <v>759</v>
      </c>
      <c r="R202" s="339"/>
      <c r="S202" s="339"/>
      <c r="T202" s="299" t="s">
        <v>3594</v>
      </c>
      <c r="U202" s="282" t="s">
        <v>1143</v>
      </c>
      <c r="V202" s="282"/>
      <c r="W202" s="138" t="s">
        <v>116</v>
      </c>
      <c r="X202" s="340">
        <v>44535</v>
      </c>
      <c r="Y202" s="340">
        <v>44536</v>
      </c>
      <c r="Z202" s="340">
        <v>44601</v>
      </c>
      <c r="AA202" s="340"/>
      <c r="AB202" s="340"/>
      <c r="AC202" s="341"/>
      <c r="AD202" s="342" t="s">
        <v>64</v>
      </c>
      <c r="AE202" s="342" t="s">
        <v>154</v>
      </c>
      <c r="AF202" s="284" t="s">
        <v>1330</v>
      </c>
      <c r="AG202" s="284"/>
      <c r="AH202" s="284">
        <v>44516</v>
      </c>
      <c r="AI202" s="284"/>
      <c r="AJ202" s="334">
        <f t="shared" ca="1" si="29"/>
        <v>44963</v>
      </c>
      <c r="AK202" s="342">
        <f t="shared" ca="1" si="30"/>
        <v>447</v>
      </c>
      <c r="AL202" s="342">
        <f t="shared" ca="1" si="31"/>
        <v>362</v>
      </c>
      <c r="AM202" s="284"/>
      <c r="AN202" s="284" t="s">
        <v>3215</v>
      </c>
      <c r="AO202" s="343">
        <v>12.095000000000001</v>
      </c>
      <c r="AP202" s="343">
        <v>12.105</v>
      </c>
      <c r="AQ202" s="343">
        <v>12.129999999999999</v>
      </c>
      <c r="AR202" s="343">
        <v>12.135</v>
      </c>
      <c r="AS202" s="331">
        <f t="shared" ca="1" si="32"/>
        <v>427</v>
      </c>
      <c r="AV202" s="331" t="s">
        <v>136</v>
      </c>
      <c r="BI202" s="347"/>
    </row>
    <row r="203" spans="1:61" s="331" customFormat="1" ht="18" customHeight="1" x14ac:dyDescent="0.35">
      <c r="A203" s="334"/>
      <c r="B203" s="335" t="e">
        <f ca="1">IF(A203="",(IF(ISNUMBER(SUBSTITUTE(LEFT(RIGHT(E203,LEN(E203)-MIN(SEARCH({1,2,3,4,5,6,7,8,9,0},E203&amp;"1234567890"))+1),10),".","/"))=TRUE,AJ203-(SUBSTITUTE(LEFT(RIGHT(E203,LEN(E203)-MIN(SEARCH({1,2,3,4,5,6,7,8,9,0},E203&amp;"1234567890"))+1),10),".","/")),IF((SUBSTITUTE(LEFT(RIGHT(E203,LEN(E203)-MIN(SEARCH({1,2,3,4,5,6,7,8,9,0},E203&amp;"1234567890"))+1),10),".","/"))="","",(AJ203)-(MID(RIGHT((SUBSTITUTE(LEFT(RIGHT(E203,LEN(E203)-MIN(SEARCH({1,2,3,4,5,6,7,8,9,0},E203&amp;"1234567890"))+1),10),".","/")),10),4,2)&amp;"/"&amp;LEFT((RIGHT((SUBSTITUTE(LEFT(RIGHT(E203,LEN(E203)-MIN(SEARCH({1,2,3,4,5,6,7,8,9,0},E203&amp;"1234567890"))+1),10),".","/")),10)),2)&amp;"/"&amp;RIGHT((SUBSTITUTE(LEFT(RIGHT(E203,LEN(E203)-MIN(SEARCH({1,2,3,4,5,6,7,8,9,0},E203&amp;"1234567890"))+1),10),".","/")),4))))),(AJ203-A203))</f>
        <v>#VALUE!</v>
      </c>
      <c r="C203" s="334"/>
      <c r="D203" s="294" t="str">
        <f t="shared" si="28"/>
        <v>FGC-304L/2B-002X759</v>
      </c>
      <c r="E203" s="294" t="s">
        <v>3626</v>
      </c>
      <c r="F203" s="294" t="s">
        <v>3213</v>
      </c>
      <c r="G203" s="294" t="s">
        <v>4071</v>
      </c>
      <c r="H203" s="294" t="s">
        <v>230</v>
      </c>
      <c r="I203" s="337" t="s">
        <v>116</v>
      </c>
      <c r="J203" s="149">
        <v>3.79</v>
      </c>
      <c r="K203" s="149">
        <v>1.5</v>
      </c>
      <c r="L203" s="149">
        <v>1.48</v>
      </c>
      <c r="M203" s="149">
        <v>1.5</v>
      </c>
      <c r="N203" s="335">
        <v>767</v>
      </c>
      <c r="O203" s="296">
        <v>6.415</v>
      </c>
      <c r="P203" s="345"/>
      <c r="Q203" s="138">
        <v>759</v>
      </c>
      <c r="R203" s="339"/>
      <c r="S203" s="339"/>
      <c r="T203" s="299" t="s">
        <v>3594</v>
      </c>
      <c r="U203" s="282" t="s">
        <v>1143</v>
      </c>
      <c r="V203" s="282"/>
      <c r="W203" s="138" t="s">
        <v>116</v>
      </c>
      <c r="X203" s="340">
        <v>44535</v>
      </c>
      <c r="Y203" s="340">
        <v>44536</v>
      </c>
      <c r="Z203" s="340">
        <v>44601</v>
      </c>
      <c r="AA203" s="340"/>
      <c r="AB203" s="340"/>
      <c r="AC203" s="341"/>
      <c r="AD203" s="342" t="s">
        <v>64</v>
      </c>
      <c r="AE203" s="342" t="s">
        <v>154</v>
      </c>
      <c r="AF203" s="284" t="s">
        <v>1330</v>
      </c>
      <c r="AG203" s="284"/>
      <c r="AH203" s="284">
        <v>44516</v>
      </c>
      <c r="AI203" s="284"/>
      <c r="AJ203" s="334">
        <f t="shared" ca="1" si="29"/>
        <v>44963</v>
      </c>
      <c r="AK203" s="342">
        <f t="shared" ca="1" si="30"/>
        <v>447</v>
      </c>
      <c r="AL203" s="342">
        <f t="shared" ca="1" si="31"/>
        <v>362</v>
      </c>
      <c r="AM203" s="284"/>
      <c r="AN203" s="284" t="s">
        <v>3215</v>
      </c>
      <c r="AO203" s="343">
        <v>12.095000000000001</v>
      </c>
      <c r="AP203" s="343">
        <v>12.105</v>
      </c>
      <c r="AQ203" s="343">
        <v>12.129999999999999</v>
      </c>
      <c r="AR203" s="343">
        <v>12.135</v>
      </c>
      <c r="AS203" s="331">
        <f t="shared" ca="1" si="32"/>
        <v>427</v>
      </c>
      <c r="AV203" s="331" t="s">
        <v>136</v>
      </c>
      <c r="BI203" s="347"/>
    </row>
    <row r="204" spans="1:61" s="331" customFormat="1" ht="18" customHeight="1" x14ac:dyDescent="0.35">
      <c r="A204" s="334"/>
      <c r="B204" s="335" t="e">
        <f ca="1">IF(A204="",(IF(ISNUMBER(SUBSTITUTE(LEFT(RIGHT(E204,LEN(E204)-MIN(SEARCH({1,2,3,4,5,6,7,8,9,0},E204&amp;"1234567890"))+1),10),".","/"))=TRUE,AJ204-(SUBSTITUTE(LEFT(RIGHT(E204,LEN(E204)-MIN(SEARCH({1,2,3,4,5,6,7,8,9,0},E204&amp;"1234567890"))+1),10),".","/")),IF((SUBSTITUTE(LEFT(RIGHT(E204,LEN(E204)-MIN(SEARCH({1,2,3,4,5,6,7,8,9,0},E204&amp;"1234567890"))+1),10),".","/"))="","",(AJ204)-(MID(RIGHT((SUBSTITUTE(LEFT(RIGHT(E204,LEN(E204)-MIN(SEARCH({1,2,3,4,5,6,7,8,9,0},E204&amp;"1234567890"))+1),10),".","/")),10),4,2)&amp;"/"&amp;LEFT((RIGHT((SUBSTITUTE(LEFT(RIGHT(E204,LEN(E204)-MIN(SEARCH({1,2,3,4,5,6,7,8,9,0},E204&amp;"1234567890"))+1),10),".","/")),10)),2)&amp;"/"&amp;RIGHT((SUBSTITUTE(LEFT(RIGHT(E204,LEN(E204)-MIN(SEARCH({1,2,3,4,5,6,7,8,9,0},E204&amp;"1234567890"))+1),10),".","/")),4))))),(AJ204-A204))</f>
        <v>#VALUE!</v>
      </c>
      <c r="C204" s="334"/>
      <c r="D204" s="294" t="str">
        <f t="shared" si="28"/>
        <v>FGC-304L/2B-002X759</v>
      </c>
      <c r="E204" s="294" t="s">
        <v>3626</v>
      </c>
      <c r="F204" s="294" t="s">
        <v>2808</v>
      </c>
      <c r="G204" s="294" t="s">
        <v>3634</v>
      </c>
      <c r="H204" s="294" t="s">
        <v>230</v>
      </c>
      <c r="I204" s="337" t="s">
        <v>116</v>
      </c>
      <c r="J204" s="149">
        <v>3.78</v>
      </c>
      <c r="K204" s="149">
        <v>1.5</v>
      </c>
      <c r="L204" s="149">
        <v>1.48</v>
      </c>
      <c r="M204" s="149">
        <v>1.51</v>
      </c>
      <c r="N204" s="335">
        <v>774</v>
      </c>
      <c r="O204" s="296">
        <v>5.1849999999999996</v>
      </c>
      <c r="P204" s="345"/>
      <c r="Q204" s="138">
        <v>759</v>
      </c>
      <c r="R204" s="339"/>
      <c r="S204" s="339"/>
      <c r="T204" s="299" t="s">
        <v>3594</v>
      </c>
      <c r="U204" s="282" t="s">
        <v>1143</v>
      </c>
      <c r="V204" s="282"/>
      <c r="W204" s="138" t="s">
        <v>116</v>
      </c>
      <c r="X204" s="340">
        <v>44607</v>
      </c>
      <c r="Y204" s="340">
        <v>44607</v>
      </c>
      <c r="Z204" s="340">
        <v>44608</v>
      </c>
      <c r="AA204" s="340"/>
      <c r="AB204" s="340"/>
      <c r="AC204" s="341" t="s">
        <v>1395</v>
      </c>
      <c r="AD204" s="342" t="s">
        <v>64</v>
      </c>
      <c r="AE204" s="342" t="s">
        <v>154</v>
      </c>
      <c r="AF204" s="284" t="s">
        <v>1330</v>
      </c>
      <c r="AG204" s="284"/>
      <c r="AH204" s="284">
        <v>44554</v>
      </c>
      <c r="AI204" s="284"/>
      <c r="AJ204" s="334">
        <f t="shared" ca="1" si="29"/>
        <v>44963</v>
      </c>
      <c r="AK204" s="342">
        <f t="shared" ca="1" si="30"/>
        <v>409</v>
      </c>
      <c r="AL204" s="342">
        <f t="shared" ca="1" si="31"/>
        <v>355</v>
      </c>
      <c r="AM204" s="284"/>
      <c r="AN204" s="284" t="s">
        <v>2670</v>
      </c>
      <c r="AO204" s="343">
        <v>10.4</v>
      </c>
      <c r="AP204" s="343">
        <v>10.41</v>
      </c>
      <c r="AQ204" s="343">
        <v>10.434999999999999</v>
      </c>
      <c r="AR204" s="343">
        <v>10.44</v>
      </c>
      <c r="AS204" s="331">
        <f t="shared" ca="1" si="32"/>
        <v>356</v>
      </c>
      <c r="AV204" s="331" t="s">
        <v>136</v>
      </c>
      <c r="BI204" s="347"/>
    </row>
    <row r="205" spans="1:61" s="331" customFormat="1" ht="18" customHeight="1" x14ac:dyDescent="0.35">
      <c r="A205" s="334">
        <v>44615</v>
      </c>
      <c r="B205" s="335">
        <f ca="1">IF(A205="",(IF(ISNUMBER(SUBSTITUTE(LEFT(RIGHT(E205,LEN(E205)-MIN(SEARCH({1,2,3,4,5,6,7,8,9,0},E205&amp;"1234567890"))+1),10),".","/"))=TRUE,AJ205-(SUBSTITUTE(LEFT(RIGHT(E205,LEN(E205)-MIN(SEARCH({1,2,3,4,5,6,7,8,9,0},E205&amp;"1234567890"))+1),10),".","/")),IF((SUBSTITUTE(LEFT(RIGHT(E205,LEN(E205)-MIN(SEARCH({1,2,3,4,5,6,7,8,9,0},E205&amp;"1234567890"))+1),10),".","/"))="","",(AJ205)-(MID(RIGHT((SUBSTITUTE(LEFT(RIGHT(E205,LEN(E205)-MIN(SEARCH({1,2,3,4,5,6,7,8,9,0},E205&amp;"1234567890"))+1),10),".","/")),10),4,2)&amp;"/"&amp;LEFT((RIGHT((SUBSTITUTE(LEFT(RIGHT(E205,LEN(E205)-MIN(SEARCH({1,2,3,4,5,6,7,8,9,0},E205&amp;"1234567890"))+1),10),".","/")),10)),2)&amp;"/"&amp;RIGHT((SUBSTITUTE(LEFT(RIGHT(E205,LEN(E205)-MIN(SEARCH({1,2,3,4,5,6,7,8,9,0},E205&amp;"1234567890"))+1),10),".","/")),4))))),(AJ205-A205))</f>
        <v>348</v>
      </c>
      <c r="C205" s="334"/>
      <c r="D205" s="294" t="str">
        <f t="shared" si="28"/>
        <v>FGC-304L/2B-002X759</v>
      </c>
      <c r="E205" s="294" t="s">
        <v>3655</v>
      </c>
      <c r="F205" s="294" t="s">
        <v>2808</v>
      </c>
      <c r="G205" s="294" t="s">
        <v>3658</v>
      </c>
      <c r="H205" s="294" t="s">
        <v>230</v>
      </c>
      <c r="I205" s="337" t="s">
        <v>116</v>
      </c>
      <c r="J205" s="149">
        <v>3.78</v>
      </c>
      <c r="K205" s="149">
        <v>1.5</v>
      </c>
      <c r="L205" s="149">
        <v>1.48</v>
      </c>
      <c r="M205" s="149">
        <v>1.51</v>
      </c>
      <c r="N205" s="335">
        <v>774</v>
      </c>
      <c r="O205" s="296">
        <v>4.9649999999999999</v>
      </c>
      <c r="P205" s="345">
        <v>5.0199999999999996</v>
      </c>
      <c r="Q205" s="138">
        <v>759</v>
      </c>
      <c r="R205" s="339"/>
      <c r="S205" s="339"/>
      <c r="T205" s="299" t="s">
        <v>3594</v>
      </c>
      <c r="U205" s="282" t="s">
        <v>1143</v>
      </c>
      <c r="V205" s="282"/>
      <c r="W205" s="138" t="s">
        <v>116</v>
      </c>
      <c r="X205" s="340">
        <v>44607</v>
      </c>
      <c r="Y205" s="340">
        <v>44607</v>
      </c>
      <c r="Z205" s="340">
        <v>44608</v>
      </c>
      <c r="AA205" s="340"/>
      <c r="AB205" s="340"/>
      <c r="AC205" s="341" t="s">
        <v>1395</v>
      </c>
      <c r="AD205" s="342" t="s">
        <v>64</v>
      </c>
      <c r="AE205" s="342" t="s">
        <v>154</v>
      </c>
      <c r="AF205" s="284" t="s">
        <v>1330</v>
      </c>
      <c r="AG205" s="284"/>
      <c r="AH205" s="284">
        <v>44554</v>
      </c>
      <c r="AI205" s="284"/>
      <c r="AJ205" s="334">
        <f ca="1">TODAY()</f>
        <v>44963</v>
      </c>
      <c r="AK205" s="342">
        <f t="shared" ca="1" si="30"/>
        <v>409</v>
      </c>
      <c r="AL205" s="342">
        <f t="shared" ca="1" si="31"/>
        <v>355</v>
      </c>
      <c r="AM205" s="284"/>
      <c r="AN205" s="284" t="s">
        <v>2670</v>
      </c>
      <c r="AO205" s="343">
        <v>10.4</v>
      </c>
      <c r="AP205" s="343">
        <v>10.41</v>
      </c>
      <c r="AQ205" s="343">
        <v>10.434999999999999</v>
      </c>
      <c r="AR205" s="343">
        <v>10.44</v>
      </c>
      <c r="AS205" s="331">
        <f t="shared" ca="1" si="32"/>
        <v>356</v>
      </c>
      <c r="AV205" s="331" t="s">
        <v>136</v>
      </c>
      <c r="BI205" s="347"/>
    </row>
    <row r="206" spans="1:61" s="331" customFormat="1" ht="18" customHeight="1" x14ac:dyDescent="0.35">
      <c r="A206" s="320"/>
      <c r="B206" s="319"/>
      <c r="C206" s="320"/>
      <c r="D206" s="302"/>
      <c r="E206" s="302"/>
      <c r="F206" s="302"/>
      <c r="G206" s="302"/>
      <c r="H206" s="302"/>
      <c r="I206" s="260"/>
      <c r="J206" s="321"/>
      <c r="K206" s="321"/>
      <c r="L206" s="321"/>
      <c r="M206" s="321"/>
      <c r="N206" s="319"/>
      <c r="O206" s="322">
        <f>SUM(O183:O205)</f>
        <v>126.23</v>
      </c>
      <c r="P206" s="323"/>
      <c r="Q206" s="301"/>
      <c r="R206" s="326"/>
      <c r="S206" s="326"/>
      <c r="T206" s="327"/>
      <c r="U206" s="328"/>
      <c r="V206" s="328"/>
      <c r="W206" s="301"/>
      <c r="X206" s="329"/>
      <c r="Y206" s="329"/>
      <c r="Z206" s="329"/>
      <c r="AA206" s="329"/>
      <c r="AB206" s="329"/>
      <c r="AC206" s="330"/>
      <c r="AF206" s="332"/>
      <c r="AG206" s="332"/>
      <c r="AH206" s="332"/>
      <c r="AI206" s="332"/>
      <c r="AJ206" s="320"/>
      <c r="AM206" s="332"/>
      <c r="AN206" s="332"/>
      <c r="AO206" s="333"/>
      <c r="AP206" s="333"/>
      <c r="AQ206" s="333"/>
      <c r="AR206" s="333"/>
      <c r="BI206" s="368"/>
    </row>
    <row r="207" spans="1:61" s="331" customFormat="1" ht="18" customHeight="1" x14ac:dyDescent="0.35">
      <c r="A207" s="320"/>
      <c r="B207" s="319"/>
      <c r="C207" s="320"/>
      <c r="D207" s="302"/>
      <c r="E207" s="302"/>
      <c r="F207" s="302"/>
      <c r="G207" s="302"/>
      <c r="H207" s="302"/>
      <c r="I207" s="260"/>
      <c r="J207" s="321"/>
      <c r="K207" s="321"/>
      <c r="L207" s="321"/>
      <c r="M207" s="321"/>
      <c r="N207" s="319"/>
      <c r="O207" s="322"/>
      <c r="P207" s="323"/>
      <c r="Q207" s="301"/>
      <c r="R207" s="326"/>
      <c r="S207" s="326"/>
      <c r="T207" s="327"/>
      <c r="U207" s="328"/>
      <c r="V207" s="328"/>
      <c r="W207" s="301"/>
      <c r="X207" s="329"/>
      <c r="Y207" s="329"/>
      <c r="Z207" s="329"/>
      <c r="AA207" s="329"/>
      <c r="AB207" s="329"/>
      <c r="AC207" s="330"/>
      <c r="AF207" s="332"/>
      <c r="AG207" s="332"/>
      <c r="AH207" s="332"/>
      <c r="AI207" s="332"/>
      <c r="AJ207" s="320"/>
      <c r="AM207" s="332"/>
      <c r="AN207" s="332"/>
      <c r="AO207" s="333"/>
      <c r="AP207" s="333"/>
      <c r="AQ207" s="333"/>
      <c r="AR207" s="333"/>
      <c r="BI207" s="368"/>
    </row>
    <row r="208" spans="1:61" s="331" customFormat="1" ht="18" customHeight="1" x14ac:dyDescent="0.35">
      <c r="A208" s="371" t="s">
        <v>4072</v>
      </c>
      <c r="B208" s="319"/>
      <c r="C208" s="320"/>
      <c r="D208" s="302"/>
      <c r="E208" s="302"/>
      <c r="F208" s="302"/>
      <c r="G208" s="302"/>
      <c r="H208" s="302"/>
      <c r="I208" s="260"/>
      <c r="J208" s="321"/>
      <c r="K208" s="321"/>
      <c r="L208" s="321"/>
      <c r="M208" s="321"/>
      <c r="N208" s="319"/>
      <c r="O208" s="322"/>
      <c r="P208" s="323"/>
      <c r="Q208" s="301"/>
      <c r="R208" s="301"/>
      <c r="S208" s="326"/>
      <c r="T208" s="327"/>
      <c r="U208" s="328"/>
      <c r="V208" s="328"/>
      <c r="W208" s="301"/>
      <c r="X208" s="329"/>
      <c r="Y208" s="329"/>
      <c r="Z208" s="329"/>
      <c r="AA208" s="329"/>
      <c r="AB208" s="329"/>
      <c r="AC208" s="330"/>
      <c r="AF208" s="332"/>
      <c r="AG208" s="332"/>
      <c r="AH208" s="332"/>
      <c r="AI208" s="332"/>
      <c r="AJ208" s="320"/>
      <c r="AM208" s="332"/>
      <c r="AN208" s="332"/>
      <c r="AO208" s="333"/>
      <c r="AP208" s="333"/>
      <c r="AQ208" s="333"/>
      <c r="AR208" s="333"/>
      <c r="BI208" s="368"/>
    </row>
    <row r="209" spans="1:61" s="331" customFormat="1" ht="18" customHeight="1" x14ac:dyDescent="0.35">
      <c r="A209" s="334">
        <v>44595</v>
      </c>
      <c r="B209" s="335">
        <f ca="1">IF(A209="",(IF(ISNUMBER(SUBSTITUTE(LEFT(RIGHT(E209,LEN(E209)-MIN(SEARCH({1,2,3,4,5,6,7,8,9,0},E209&amp;"1234567890"))+1),10),".","/"))=TRUE,AJ209-(SUBSTITUTE(LEFT(RIGHT(E209,LEN(E209)-MIN(SEARCH({1,2,3,4,5,6,7,8,9,0},E209&amp;"1234567890"))+1),10),".","/")),IF((SUBSTITUTE(LEFT(RIGHT(E209,LEN(E209)-MIN(SEARCH({1,2,3,4,5,6,7,8,9,0},E209&amp;"1234567890"))+1),10),".","/"))="","",(AJ209)-(MID(RIGHT((SUBSTITUTE(LEFT(RIGHT(E209,LEN(E209)-MIN(SEARCH({1,2,3,4,5,6,7,8,9,0},E209&amp;"1234567890"))+1),10),".","/")),10),4,2)&amp;"/"&amp;LEFT((RIGHT((SUBSTITUTE(LEFT(RIGHT(E209,LEN(E209)-MIN(SEARCH({1,2,3,4,5,6,7,8,9,0},E209&amp;"1234567890"))+1),10),".","/")),10)),2)&amp;"/"&amp;RIGHT((SUBSTITUTE(LEFT(RIGHT(E209,LEN(E209)-MIN(SEARCH({1,2,3,4,5,6,7,8,9,0},E209&amp;"1234567890"))+1),10),".","/")),4))))),(AJ209-A209))</f>
        <v>368</v>
      </c>
      <c r="C209" s="334"/>
      <c r="D209" s="294" t="str">
        <f>IF(Q209="MULTI","FGM","FGC")&amp;"-"&amp;H209&amp;"/"&amp;I209&amp;"-"&amp;TEXT(K209,"0.00")&amp;"X"&amp;IF(Q209="MULTI",N209,Q209)</f>
        <v>FGC-304L/2B-002X760</v>
      </c>
      <c r="E209" s="294" t="s">
        <v>3058</v>
      </c>
      <c r="F209" s="294" t="s">
        <v>3078</v>
      </c>
      <c r="G209" s="294" t="s">
        <v>4073</v>
      </c>
      <c r="H209" s="294" t="s">
        <v>230</v>
      </c>
      <c r="I209" s="337" t="s">
        <v>116</v>
      </c>
      <c r="J209" s="149">
        <v>3.79</v>
      </c>
      <c r="K209" s="149">
        <v>1.5</v>
      </c>
      <c r="L209" s="149">
        <v>1.45</v>
      </c>
      <c r="M209" s="149">
        <v>1.48</v>
      </c>
      <c r="N209" s="335">
        <v>767</v>
      </c>
      <c r="O209" s="296">
        <v>4.01</v>
      </c>
      <c r="P209" s="345">
        <v>4.05</v>
      </c>
      <c r="Q209" s="138">
        <v>760</v>
      </c>
      <c r="R209" s="339"/>
      <c r="S209" s="339"/>
      <c r="T209" s="299" t="s">
        <v>4074</v>
      </c>
      <c r="U209" s="282" t="s">
        <v>3063</v>
      </c>
      <c r="V209" s="282" t="s">
        <v>1228</v>
      </c>
      <c r="W209" s="138" t="s">
        <v>116</v>
      </c>
      <c r="X209" s="340">
        <v>44539</v>
      </c>
      <c r="Y209" s="340">
        <v>44540</v>
      </c>
      <c r="Z209" s="340"/>
      <c r="AA209" s="340"/>
      <c r="AB209" s="340"/>
      <c r="AC209" s="341"/>
      <c r="AD209" s="342" t="s">
        <v>64</v>
      </c>
      <c r="AE209" s="342" t="s">
        <v>154</v>
      </c>
      <c r="AF209" s="284" t="s">
        <v>1330</v>
      </c>
      <c r="AG209" s="284"/>
      <c r="AH209" s="284">
        <v>44516</v>
      </c>
      <c r="AI209" s="284"/>
      <c r="AJ209" s="334">
        <f ca="1">TODAY()</f>
        <v>44963</v>
      </c>
      <c r="AK209" s="342">
        <f ca="1">IF(AH209&lt;&gt;0,AJ209-AH209,0)</f>
        <v>447</v>
      </c>
      <c r="AL209" s="342" t="str">
        <f>IF(ISNUMBER(Z209)=TRUE,AJ209-Z209,IF(Z209="","",(AJ209)-(MID(RIGHT(Z209,10),4,2)&amp;"/"&amp;LEFT((RIGHT(Z209,10)),2)&amp;"/"&amp;RIGHT(Z209,4))))</f>
        <v/>
      </c>
      <c r="AM209" s="284"/>
      <c r="AN209" s="284" t="s">
        <v>3080</v>
      </c>
      <c r="AO209" s="343">
        <v>11.99</v>
      </c>
      <c r="AP209" s="343">
        <v>12</v>
      </c>
      <c r="AQ209" s="343">
        <v>12.024999999999999</v>
      </c>
      <c r="AR209" s="343">
        <v>12.03</v>
      </c>
      <c r="AS209" s="331">
        <f ca="1">IF(ISNUMBER(Y209)=TRUE,AJ209-Y209,IF(Y209="","",(AJ209)-(MID(RIGHT(Y209,10),4,2)&amp;"/"&amp;LEFT((RIGHT(Y209,10)),2)&amp;"/"&amp;RIGHT(Y209,4))))</f>
        <v>423</v>
      </c>
      <c r="AV209" s="331" t="s">
        <v>136</v>
      </c>
      <c r="BI209" s="347"/>
    </row>
    <row r="210" spans="1:61" s="331" customFormat="1" ht="18" customHeight="1" x14ac:dyDescent="0.35">
      <c r="A210" s="320"/>
      <c r="B210" s="319"/>
      <c r="C210" s="320"/>
      <c r="D210" s="302"/>
      <c r="E210" s="302"/>
      <c r="F210" s="302"/>
      <c r="G210" s="302"/>
      <c r="H210" s="302"/>
      <c r="I210" s="260"/>
      <c r="J210" s="321"/>
      <c r="K210" s="321"/>
      <c r="L210" s="321"/>
      <c r="M210" s="321"/>
      <c r="N210" s="319"/>
      <c r="O210" s="322">
        <f>SUM(O209)</f>
        <v>4.01</v>
      </c>
      <c r="P210" s="323"/>
      <c r="Q210" s="301"/>
      <c r="R210" s="326"/>
      <c r="S210" s="326"/>
      <c r="T210" s="327"/>
      <c r="U210" s="328"/>
      <c r="V210" s="328"/>
      <c r="W210" s="301"/>
      <c r="X210" s="329"/>
      <c r="Y210" s="329"/>
      <c r="Z210" s="329"/>
      <c r="AA210" s="329"/>
      <c r="AB210" s="329"/>
      <c r="AC210" s="330"/>
      <c r="AF210" s="332"/>
      <c r="AG210" s="332"/>
      <c r="AH210" s="332"/>
      <c r="AI210" s="332"/>
      <c r="AJ210" s="320"/>
      <c r="AM210" s="332"/>
      <c r="AN210" s="332"/>
      <c r="AO210" s="333"/>
      <c r="AP210" s="333"/>
      <c r="AQ210" s="333"/>
      <c r="AR210" s="333"/>
      <c r="BI210" s="368"/>
    </row>
    <row r="211" spans="1:61" s="331" customFormat="1" ht="18" customHeight="1" x14ac:dyDescent="0.35">
      <c r="A211" s="320"/>
      <c r="B211" s="319"/>
      <c r="C211" s="320"/>
      <c r="D211" s="302"/>
      <c r="E211" s="302"/>
      <c r="F211" s="302"/>
      <c r="G211" s="302"/>
      <c r="H211" s="302"/>
      <c r="I211" s="260"/>
      <c r="J211" s="321"/>
      <c r="K211" s="321"/>
      <c r="L211" s="321"/>
      <c r="M211" s="321"/>
      <c r="N211" s="319"/>
      <c r="O211" s="322"/>
      <c r="P211" s="323"/>
      <c r="Q211" s="301"/>
      <c r="R211" s="326"/>
      <c r="S211" s="326"/>
      <c r="T211" s="327"/>
      <c r="U211" s="328"/>
      <c r="V211" s="328"/>
      <c r="W211" s="301"/>
      <c r="X211" s="329"/>
      <c r="Y211" s="329"/>
      <c r="Z211" s="329"/>
      <c r="AA211" s="329"/>
      <c r="AB211" s="329"/>
      <c r="AC211" s="330"/>
      <c r="AF211" s="332"/>
      <c r="AG211" s="332"/>
      <c r="AH211" s="332"/>
      <c r="AI211" s="332"/>
      <c r="AJ211" s="320"/>
      <c r="AM211" s="332"/>
      <c r="AN211" s="332"/>
      <c r="AO211" s="333"/>
      <c r="AP211" s="333"/>
      <c r="AQ211" s="333"/>
      <c r="AR211" s="333"/>
      <c r="BI211" s="368"/>
    </row>
    <row r="212" spans="1:61" s="331" customFormat="1" ht="18" customHeight="1" x14ac:dyDescent="0.35">
      <c r="A212" s="371" t="s">
        <v>993</v>
      </c>
      <c r="B212" s="319"/>
      <c r="C212" s="320"/>
      <c r="D212" s="302"/>
      <c r="E212" s="302"/>
      <c r="F212" s="302"/>
      <c r="G212" s="302"/>
      <c r="H212" s="302"/>
      <c r="I212" s="260"/>
      <c r="J212" s="321"/>
      <c r="K212" s="321"/>
      <c r="L212" s="321"/>
      <c r="M212" s="321"/>
      <c r="N212" s="319"/>
      <c r="O212" s="322"/>
      <c r="P212" s="323"/>
      <c r="Q212" s="301"/>
      <c r="R212" s="301"/>
      <c r="S212" s="326"/>
      <c r="T212" s="327"/>
      <c r="U212" s="328"/>
      <c r="V212" s="328"/>
      <c r="W212" s="301"/>
      <c r="X212" s="329"/>
      <c r="Y212" s="329"/>
      <c r="Z212" s="329"/>
      <c r="AA212" s="329"/>
      <c r="AB212" s="329"/>
      <c r="AC212" s="330"/>
      <c r="AF212" s="332"/>
      <c r="AG212" s="332"/>
      <c r="AH212" s="332"/>
      <c r="AI212" s="332"/>
      <c r="AJ212" s="320"/>
      <c r="AM212" s="332"/>
      <c r="AN212" s="332"/>
      <c r="AO212" s="333"/>
      <c r="AP212" s="333"/>
      <c r="AQ212" s="333"/>
      <c r="AR212" s="333"/>
      <c r="BI212" s="368"/>
    </row>
    <row r="213" spans="1:61" s="331" customFormat="1" ht="18" customHeight="1" x14ac:dyDescent="0.35">
      <c r="A213" s="334">
        <v>44602</v>
      </c>
      <c r="B213" s="335">
        <f ca="1">IF(A213="",(IF(ISNUMBER(SUBSTITUTE(LEFT(RIGHT(E213,LEN(E213)-MIN(SEARCH({1,2,3,4,5,6,7,8,9,0},E213&amp;"1234567890"))+1),10),".","/"))=TRUE,AJ213-(SUBSTITUTE(LEFT(RIGHT(E213,LEN(E213)-MIN(SEARCH({1,2,3,4,5,6,7,8,9,0},E213&amp;"1234567890"))+1),10),".","/")),IF((SUBSTITUTE(LEFT(RIGHT(E213,LEN(E213)-MIN(SEARCH({1,2,3,4,5,6,7,8,9,0},E213&amp;"1234567890"))+1),10),".","/"))="","",(AJ213)-(MID(RIGHT((SUBSTITUTE(LEFT(RIGHT(E213,LEN(E213)-MIN(SEARCH({1,2,3,4,5,6,7,8,9,0},E213&amp;"1234567890"))+1),10),".","/")),10),4,2)&amp;"/"&amp;LEFT((RIGHT((SUBSTITUTE(LEFT(RIGHT(E213,LEN(E213)-MIN(SEARCH({1,2,3,4,5,6,7,8,9,0},E213&amp;"1234567890"))+1),10),".","/")),10)),2)&amp;"/"&amp;RIGHT((SUBSTITUTE(LEFT(RIGHT(E213,LEN(E213)-MIN(SEARCH({1,2,3,4,5,6,7,8,9,0},E213&amp;"1234567890"))+1),10),".","/")),4))))),(AJ213-A213))</f>
        <v>361</v>
      </c>
      <c r="C213" s="334"/>
      <c r="D213" s="294" t="str">
        <f t="shared" ref="D213:D219" si="33">IF(Q213="MULTI","FGM","FGC")&amp;"-"&amp;H213&amp;"/"&amp;I213&amp;"-"&amp;TEXT(K213,"0.00")&amp;"X"&amp;IF(Q213="MULTI",N213,Q213)</f>
        <v>FGC-304L/2B-001X765</v>
      </c>
      <c r="E213" s="294" t="s">
        <v>3202</v>
      </c>
      <c r="F213" s="294" t="s">
        <v>2568</v>
      </c>
      <c r="G213" s="294" t="s">
        <v>4075</v>
      </c>
      <c r="H213" s="294" t="s">
        <v>230</v>
      </c>
      <c r="I213" s="337" t="s">
        <v>116</v>
      </c>
      <c r="J213" s="149">
        <v>2.91</v>
      </c>
      <c r="K213" s="149">
        <v>0.95</v>
      </c>
      <c r="L213" s="149">
        <v>0.94</v>
      </c>
      <c r="M213" s="149">
        <v>0.96</v>
      </c>
      <c r="N213" s="335">
        <v>769</v>
      </c>
      <c r="O213" s="296">
        <v>2.6850000000000001</v>
      </c>
      <c r="P213" s="345">
        <v>2.72</v>
      </c>
      <c r="Q213" s="138">
        <v>765</v>
      </c>
      <c r="R213" s="339"/>
      <c r="S213" s="339"/>
      <c r="T213" s="299" t="s">
        <v>3205</v>
      </c>
      <c r="U213" s="282" t="s">
        <v>993</v>
      </c>
      <c r="V213" s="282"/>
      <c r="W213" s="138" t="s">
        <v>116</v>
      </c>
      <c r="X213" s="340">
        <v>44577</v>
      </c>
      <c r="Y213" s="340">
        <v>44599</v>
      </c>
      <c r="Z213" s="340"/>
      <c r="AA213" s="340"/>
      <c r="AB213" s="340"/>
      <c r="AC213" s="341"/>
      <c r="AD213" s="342" t="s">
        <v>64</v>
      </c>
      <c r="AE213" s="342" t="s">
        <v>154</v>
      </c>
      <c r="AF213" s="284" t="s">
        <v>1296</v>
      </c>
      <c r="AG213" s="284"/>
      <c r="AH213" s="284">
        <v>44516</v>
      </c>
      <c r="AI213" s="284"/>
      <c r="AJ213" s="334">
        <f t="shared" ref="AJ213:AJ219" ca="1" si="34">TODAY()</f>
        <v>44963</v>
      </c>
      <c r="AK213" s="342">
        <f t="shared" ref="AK213:AK219" ca="1" si="35">IF(AH213&lt;&gt;0,AJ213-AH213,0)</f>
        <v>447</v>
      </c>
      <c r="AL213" s="342" t="str">
        <f t="shared" ref="AL213:AL219" si="36">IF(ISNUMBER(Z213)=TRUE,AJ213-Z213,IF(Z213="","",(AJ213)-(MID(RIGHT(Z213,10),4,2)&amp;"/"&amp;LEFT((RIGHT(Z213,10)),2)&amp;"/"&amp;RIGHT(Z213,4))))</f>
        <v/>
      </c>
      <c r="AM213" s="284"/>
      <c r="AN213" s="284" t="s">
        <v>2570</v>
      </c>
      <c r="AO213" s="343">
        <v>7.84</v>
      </c>
      <c r="AP213" s="343">
        <v>7.85</v>
      </c>
      <c r="AQ213" s="343">
        <v>7.875</v>
      </c>
      <c r="AR213" s="343">
        <v>7.88</v>
      </c>
      <c r="AS213" s="331">
        <f t="shared" ref="AS213:AS219" ca="1" si="37">IF(ISNUMBER(Y213)=TRUE,AJ213-Y213,IF(Y213="","",(AJ213)-(MID(RIGHT(Y213,10),4,2)&amp;"/"&amp;LEFT((RIGHT(Y213,10)),2)&amp;"/"&amp;RIGHT(Y213,4))))</f>
        <v>364</v>
      </c>
      <c r="AV213" s="331" t="s">
        <v>136</v>
      </c>
      <c r="BI213" s="347"/>
    </row>
    <row r="214" spans="1:61" s="331" customFormat="1" ht="18" customHeight="1" x14ac:dyDescent="0.35">
      <c r="A214" s="334">
        <v>44619</v>
      </c>
      <c r="B214" s="335">
        <f ca="1">IF(A214="",(IF(ISNUMBER(SUBSTITUTE(LEFT(RIGHT(E214,LEN(E214)-MIN(SEARCH({1,2,3,4,5,6,7,8,9,0},E214&amp;"1234567890"))+1),10),".","/"))=TRUE,AJ214-(SUBSTITUTE(LEFT(RIGHT(E214,LEN(E214)-MIN(SEARCH({1,2,3,4,5,6,7,8,9,0},E214&amp;"1234567890"))+1),10),".","/")),IF((SUBSTITUTE(LEFT(RIGHT(E214,LEN(E214)-MIN(SEARCH({1,2,3,4,5,6,7,8,9,0},E214&amp;"1234567890"))+1),10),".","/"))="","",(AJ214)-(MID(RIGHT((SUBSTITUTE(LEFT(RIGHT(E214,LEN(E214)-MIN(SEARCH({1,2,3,4,5,6,7,8,9,0},E214&amp;"1234567890"))+1),10),".","/")),10),4,2)&amp;"/"&amp;LEFT((RIGHT((SUBSTITUTE(LEFT(RIGHT(E214,LEN(E214)-MIN(SEARCH({1,2,3,4,5,6,7,8,9,0},E214&amp;"1234567890"))+1),10),".","/")),10)),2)&amp;"/"&amp;RIGHT((SUBSTITUTE(LEFT(RIGHT(E214,LEN(E214)-MIN(SEARCH({1,2,3,4,5,6,7,8,9,0},E214&amp;"1234567890"))+1),10),".","/")),4))))),(AJ214-A214))</f>
        <v>344</v>
      </c>
      <c r="C214" s="334"/>
      <c r="D214" s="294" t="str">
        <f t="shared" si="33"/>
        <v>FGC-304L/2B-001X765</v>
      </c>
      <c r="E214" s="294" t="s">
        <v>3467</v>
      </c>
      <c r="F214" s="294" t="s">
        <v>2604</v>
      </c>
      <c r="G214" s="294" t="s">
        <v>3474</v>
      </c>
      <c r="H214" s="294" t="s">
        <v>230</v>
      </c>
      <c r="I214" s="337" t="s">
        <v>116</v>
      </c>
      <c r="J214" s="149">
        <v>2.91</v>
      </c>
      <c r="K214" s="149">
        <v>0.95</v>
      </c>
      <c r="L214" s="149"/>
      <c r="M214" s="149"/>
      <c r="N214" s="335">
        <v>766</v>
      </c>
      <c r="O214" s="296">
        <v>2.4649999999999999</v>
      </c>
      <c r="P214" s="345">
        <v>2.4849999999999999</v>
      </c>
      <c r="Q214" s="138">
        <v>765</v>
      </c>
      <c r="R214" s="339"/>
      <c r="S214" s="339"/>
      <c r="T214" s="299" t="s">
        <v>3205</v>
      </c>
      <c r="U214" s="282" t="s">
        <v>993</v>
      </c>
      <c r="V214" s="282"/>
      <c r="W214" s="138" t="s">
        <v>116</v>
      </c>
      <c r="X214" s="340">
        <v>44600</v>
      </c>
      <c r="Y214" s="340">
        <v>44600</v>
      </c>
      <c r="Z214" s="340"/>
      <c r="AA214" s="340"/>
      <c r="AB214" s="340"/>
      <c r="AC214" s="341"/>
      <c r="AD214" s="342" t="s">
        <v>64</v>
      </c>
      <c r="AE214" s="342" t="s">
        <v>154</v>
      </c>
      <c r="AF214" s="284" t="s">
        <v>1296</v>
      </c>
      <c r="AG214" s="284"/>
      <c r="AH214" s="284">
        <v>44516</v>
      </c>
      <c r="AI214" s="284"/>
      <c r="AJ214" s="334">
        <f t="shared" ca="1" si="34"/>
        <v>44963</v>
      </c>
      <c r="AK214" s="342">
        <f t="shared" ca="1" si="35"/>
        <v>447</v>
      </c>
      <c r="AL214" s="342" t="str">
        <f t="shared" si="36"/>
        <v/>
      </c>
      <c r="AM214" s="284"/>
      <c r="AN214" s="284" t="s">
        <v>1304</v>
      </c>
      <c r="AO214" s="343">
        <v>8.5549999999999997</v>
      </c>
      <c r="AP214" s="343">
        <v>8.5649999999999995</v>
      </c>
      <c r="AQ214" s="343">
        <v>8.5899999999999981</v>
      </c>
      <c r="AR214" s="343">
        <v>8.5949999999999989</v>
      </c>
      <c r="AS214" s="331">
        <f t="shared" ca="1" si="37"/>
        <v>363</v>
      </c>
      <c r="AV214" s="331" t="s">
        <v>136</v>
      </c>
      <c r="BI214" s="347"/>
    </row>
    <row r="215" spans="1:61" s="331" customFormat="1" ht="18" customHeight="1" x14ac:dyDescent="0.35">
      <c r="A215" s="334">
        <v>44619</v>
      </c>
      <c r="B215" s="335">
        <f ca="1">IF(A215="",(IF(ISNUMBER(SUBSTITUTE(LEFT(RIGHT(E215,LEN(E215)-MIN(SEARCH({1,2,3,4,5,6,7,8,9,0},E215&amp;"1234567890"))+1),10),".","/"))=TRUE,AJ215-(SUBSTITUTE(LEFT(RIGHT(E215,LEN(E215)-MIN(SEARCH({1,2,3,4,5,6,7,8,9,0},E215&amp;"1234567890"))+1),10),".","/")),IF((SUBSTITUTE(LEFT(RIGHT(E215,LEN(E215)-MIN(SEARCH({1,2,3,4,5,6,7,8,9,0},E215&amp;"1234567890"))+1),10),".","/"))="","",(AJ215)-(MID(RIGHT((SUBSTITUTE(LEFT(RIGHT(E215,LEN(E215)-MIN(SEARCH({1,2,3,4,5,6,7,8,9,0},E215&amp;"1234567890"))+1),10),".","/")),10),4,2)&amp;"/"&amp;LEFT((RIGHT((SUBSTITUTE(LEFT(RIGHT(E215,LEN(E215)-MIN(SEARCH({1,2,3,4,5,6,7,8,9,0},E215&amp;"1234567890"))+1),10),".","/")),10)),2)&amp;"/"&amp;RIGHT((SUBSTITUTE(LEFT(RIGHT(E215,LEN(E215)-MIN(SEARCH({1,2,3,4,5,6,7,8,9,0},E215&amp;"1234567890"))+1),10),".","/")),4))))),(AJ215-A215))</f>
        <v>344</v>
      </c>
      <c r="C215" s="334"/>
      <c r="D215" s="294" t="str">
        <f t="shared" si="33"/>
        <v>FGC-304L/2B-001X765</v>
      </c>
      <c r="E215" s="294" t="s">
        <v>3477</v>
      </c>
      <c r="F215" s="294" t="s">
        <v>2604</v>
      </c>
      <c r="G215" s="294" t="s">
        <v>4076</v>
      </c>
      <c r="H215" s="294" t="s">
        <v>230</v>
      </c>
      <c r="I215" s="337" t="s">
        <v>116</v>
      </c>
      <c r="J215" s="149">
        <v>2.91</v>
      </c>
      <c r="K215" s="149">
        <v>0.95</v>
      </c>
      <c r="L215" s="149">
        <v>0.95</v>
      </c>
      <c r="M215" s="149">
        <v>0.97</v>
      </c>
      <c r="N215" s="335">
        <v>766</v>
      </c>
      <c r="O215" s="296">
        <f>3.02</f>
        <v>3.02</v>
      </c>
      <c r="P215" s="345">
        <v>3.06</v>
      </c>
      <c r="Q215" s="138">
        <v>765</v>
      </c>
      <c r="R215" s="339"/>
      <c r="S215" s="339"/>
      <c r="T215" s="299" t="s">
        <v>3205</v>
      </c>
      <c r="U215" s="282" t="s">
        <v>993</v>
      </c>
      <c r="V215" s="282"/>
      <c r="W215" s="138" t="s">
        <v>116</v>
      </c>
      <c r="X215" s="340">
        <v>44600</v>
      </c>
      <c r="Y215" s="340">
        <v>44600</v>
      </c>
      <c r="Z215" s="340"/>
      <c r="AA215" s="340"/>
      <c r="AB215" s="340"/>
      <c r="AC215" s="341"/>
      <c r="AD215" s="342" t="s">
        <v>64</v>
      </c>
      <c r="AE215" s="342" t="s">
        <v>154</v>
      </c>
      <c r="AF215" s="284" t="s">
        <v>1296</v>
      </c>
      <c r="AG215" s="284"/>
      <c r="AH215" s="284">
        <v>44516</v>
      </c>
      <c r="AI215" s="284"/>
      <c r="AJ215" s="334">
        <f t="shared" ca="1" si="34"/>
        <v>44963</v>
      </c>
      <c r="AK215" s="342">
        <f t="shared" ca="1" si="35"/>
        <v>447</v>
      </c>
      <c r="AL215" s="342" t="str">
        <f t="shared" si="36"/>
        <v/>
      </c>
      <c r="AM215" s="284"/>
      <c r="AN215" s="284" t="s">
        <v>1304</v>
      </c>
      <c r="AO215" s="343">
        <v>8.5549999999999997</v>
      </c>
      <c r="AP215" s="343">
        <v>8.5649999999999995</v>
      </c>
      <c r="AQ215" s="343">
        <v>8.5899999999999981</v>
      </c>
      <c r="AR215" s="343">
        <v>8.5949999999999989</v>
      </c>
      <c r="AS215" s="331">
        <f t="shared" ca="1" si="37"/>
        <v>363</v>
      </c>
      <c r="AV215" s="331" t="s">
        <v>136</v>
      </c>
      <c r="BI215" s="347"/>
    </row>
    <row r="216" spans="1:61" s="331" customFormat="1" ht="18" customHeight="1" x14ac:dyDescent="0.35">
      <c r="A216" s="334">
        <v>44619</v>
      </c>
      <c r="B216" s="335">
        <f ca="1">IF(A216="",(IF(ISNUMBER(SUBSTITUTE(LEFT(RIGHT(E216,LEN(E216)-MIN(SEARCH({1,2,3,4,5,6,7,8,9,0},E216&amp;"1234567890"))+1),10),".","/"))=TRUE,AJ216-(SUBSTITUTE(LEFT(RIGHT(E216,LEN(E216)-MIN(SEARCH({1,2,3,4,5,6,7,8,9,0},E216&amp;"1234567890"))+1),10),".","/")),IF((SUBSTITUTE(LEFT(RIGHT(E216,LEN(E216)-MIN(SEARCH({1,2,3,4,5,6,7,8,9,0},E216&amp;"1234567890"))+1),10),".","/"))="","",(AJ216)-(MID(RIGHT((SUBSTITUTE(LEFT(RIGHT(E216,LEN(E216)-MIN(SEARCH({1,2,3,4,5,6,7,8,9,0},E216&amp;"1234567890"))+1),10),".","/")),10),4,2)&amp;"/"&amp;LEFT((RIGHT((SUBSTITUTE(LEFT(RIGHT(E216,LEN(E216)-MIN(SEARCH({1,2,3,4,5,6,7,8,9,0},E216&amp;"1234567890"))+1),10),".","/")),10)),2)&amp;"/"&amp;RIGHT((SUBSTITUTE(LEFT(RIGHT(E216,LEN(E216)-MIN(SEARCH({1,2,3,4,5,6,7,8,9,0},E216&amp;"1234567890"))+1),10),".","/")),4))))),(AJ216-A216))</f>
        <v>344</v>
      </c>
      <c r="C216" s="334"/>
      <c r="D216" s="294" t="str">
        <f t="shared" si="33"/>
        <v>FGC-304L/2B-001X765</v>
      </c>
      <c r="E216" s="294" t="s">
        <v>3477</v>
      </c>
      <c r="F216" s="294" t="s">
        <v>2604</v>
      </c>
      <c r="G216" s="294" t="s">
        <v>4077</v>
      </c>
      <c r="H216" s="294" t="s">
        <v>230</v>
      </c>
      <c r="I216" s="337" t="s">
        <v>116</v>
      </c>
      <c r="J216" s="149">
        <v>2.91</v>
      </c>
      <c r="K216" s="149">
        <v>0.95</v>
      </c>
      <c r="L216" s="149">
        <v>0.95</v>
      </c>
      <c r="M216" s="149">
        <v>0.97</v>
      </c>
      <c r="N216" s="335">
        <v>766</v>
      </c>
      <c r="O216" s="296">
        <v>3.0249999999999999</v>
      </c>
      <c r="P216" s="345">
        <v>3.0649999999999999</v>
      </c>
      <c r="Q216" s="138">
        <v>765</v>
      </c>
      <c r="R216" s="339"/>
      <c r="S216" s="339"/>
      <c r="T216" s="299" t="s">
        <v>3205</v>
      </c>
      <c r="U216" s="282" t="s">
        <v>993</v>
      </c>
      <c r="V216" s="282"/>
      <c r="W216" s="138" t="s">
        <v>116</v>
      </c>
      <c r="X216" s="340">
        <v>44600</v>
      </c>
      <c r="Y216" s="340">
        <v>44600</v>
      </c>
      <c r="Z216" s="340"/>
      <c r="AA216" s="340"/>
      <c r="AB216" s="340"/>
      <c r="AC216" s="341"/>
      <c r="AD216" s="342" t="s">
        <v>64</v>
      </c>
      <c r="AE216" s="342" t="s">
        <v>154</v>
      </c>
      <c r="AF216" s="284" t="s">
        <v>1296</v>
      </c>
      <c r="AG216" s="284"/>
      <c r="AH216" s="284">
        <v>44516</v>
      </c>
      <c r="AI216" s="284"/>
      <c r="AJ216" s="334">
        <f t="shared" ca="1" si="34"/>
        <v>44963</v>
      </c>
      <c r="AK216" s="342">
        <f t="shared" ca="1" si="35"/>
        <v>447</v>
      </c>
      <c r="AL216" s="342" t="str">
        <f t="shared" si="36"/>
        <v/>
      </c>
      <c r="AM216" s="284"/>
      <c r="AN216" s="284" t="s">
        <v>1304</v>
      </c>
      <c r="AO216" s="343">
        <v>8.5549999999999997</v>
      </c>
      <c r="AP216" s="343">
        <v>8.5649999999999995</v>
      </c>
      <c r="AQ216" s="343">
        <v>8.5899999999999981</v>
      </c>
      <c r="AR216" s="343">
        <v>8.5949999999999989</v>
      </c>
      <c r="AS216" s="331">
        <f t="shared" ca="1" si="37"/>
        <v>363</v>
      </c>
      <c r="AV216" s="331" t="s">
        <v>136</v>
      </c>
      <c r="BI216" s="347"/>
    </row>
    <row r="217" spans="1:61" s="331" customFormat="1" ht="18" customHeight="1" x14ac:dyDescent="0.35">
      <c r="A217" s="334">
        <v>44619</v>
      </c>
      <c r="B217" s="335">
        <f ca="1">IF(A217="",(IF(ISNUMBER(SUBSTITUTE(LEFT(RIGHT(E217,LEN(E217)-MIN(SEARCH({1,2,3,4,5,6,7,8,9,0},E217&amp;"1234567890"))+1),10),".","/"))=TRUE,AJ217-(SUBSTITUTE(LEFT(RIGHT(E217,LEN(E217)-MIN(SEARCH({1,2,3,4,5,6,7,8,9,0},E217&amp;"1234567890"))+1),10),".","/")),IF((SUBSTITUTE(LEFT(RIGHT(E217,LEN(E217)-MIN(SEARCH({1,2,3,4,5,6,7,8,9,0},E217&amp;"1234567890"))+1),10),".","/"))="","",(AJ217)-(MID(RIGHT((SUBSTITUTE(LEFT(RIGHT(E217,LEN(E217)-MIN(SEARCH({1,2,3,4,5,6,7,8,9,0},E217&amp;"1234567890"))+1),10),".","/")),10),4,2)&amp;"/"&amp;LEFT((RIGHT((SUBSTITUTE(LEFT(RIGHT(E217,LEN(E217)-MIN(SEARCH({1,2,3,4,5,6,7,8,9,0},E217&amp;"1234567890"))+1),10),".","/")),10)),2)&amp;"/"&amp;RIGHT((SUBSTITUTE(LEFT(RIGHT(E217,LEN(E217)-MIN(SEARCH({1,2,3,4,5,6,7,8,9,0},E217&amp;"1234567890"))+1),10),".","/")),4))))),(AJ217-A217))</f>
        <v>344</v>
      </c>
      <c r="C217" s="334"/>
      <c r="D217" s="294" t="str">
        <f t="shared" si="33"/>
        <v>FGC-304L/2B-001X765</v>
      </c>
      <c r="E217" s="294" t="s">
        <v>3477</v>
      </c>
      <c r="F217" s="294" t="s">
        <v>2598</v>
      </c>
      <c r="G217" s="294" t="s">
        <v>4078</v>
      </c>
      <c r="H217" s="294" t="s">
        <v>230</v>
      </c>
      <c r="I217" s="337" t="s">
        <v>116</v>
      </c>
      <c r="J217" s="149">
        <v>2.91</v>
      </c>
      <c r="K217" s="149">
        <v>0.95</v>
      </c>
      <c r="L217" s="149">
        <v>0.91</v>
      </c>
      <c r="M217" s="149">
        <v>0.94</v>
      </c>
      <c r="N217" s="335">
        <v>769</v>
      </c>
      <c r="O217" s="296">
        <f>2.475</f>
        <v>2.4750000000000001</v>
      </c>
      <c r="P217" s="345">
        <v>2.5049999999999999</v>
      </c>
      <c r="Q217" s="138">
        <v>765</v>
      </c>
      <c r="R217" s="339"/>
      <c r="S217" s="339"/>
      <c r="T217" s="299" t="s">
        <v>3205</v>
      </c>
      <c r="U217" s="282" t="s">
        <v>993</v>
      </c>
      <c r="V217" s="282"/>
      <c r="W217" s="138" t="s">
        <v>116</v>
      </c>
      <c r="X217" s="340">
        <v>44600</v>
      </c>
      <c r="Y217" s="340">
        <v>44600</v>
      </c>
      <c r="Z217" s="340"/>
      <c r="AA217" s="340"/>
      <c r="AB217" s="340"/>
      <c r="AC217" s="341"/>
      <c r="AD217" s="342" t="s">
        <v>64</v>
      </c>
      <c r="AE217" s="342" t="s">
        <v>154</v>
      </c>
      <c r="AF217" s="284" t="s">
        <v>1296</v>
      </c>
      <c r="AG217" s="284"/>
      <c r="AH217" s="284">
        <v>44516</v>
      </c>
      <c r="AI217" s="284"/>
      <c r="AJ217" s="334">
        <f t="shared" ca="1" si="34"/>
        <v>44963</v>
      </c>
      <c r="AK217" s="342">
        <f t="shared" ca="1" si="35"/>
        <v>447</v>
      </c>
      <c r="AL217" s="342" t="str">
        <f t="shared" si="36"/>
        <v/>
      </c>
      <c r="AM217" s="284"/>
      <c r="AN217" s="284" t="s">
        <v>2570</v>
      </c>
      <c r="AO217" s="343">
        <v>7.83</v>
      </c>
      <c r="AP217" s="343">
        <v>7.84</v>
      </c>
      <c r="AQ217" s="343">
        <v>7.8650000000000002</v>
      </c>
      <c r="AR217" s="343">
        <v>7.87</v>
      </c>
      <c r="AS217" s="331">
        <f t="shared" ca="1" si="37"/>
        <v>363</v>
      </c>
      <c r="AV217" s="331" t="s">
        <v>136</v>
      </c>
      <c r="BI217" s="347"/>
    </row>
    <row r="218" spans="1:61" s="331" customFormat="1" ht="18" customHeight="1" x14ac:dyDescent="0.35">
      <c r="A218" s="334">
        <v>44619</v>
      </c>
      <c r="B218" s="335">
        <f ca="1">IF(A218="",(IF(ISNUMBER(SUBSTITUTE(LEFT(RIGHT(E218,LEN(E218)-MIN(SEARCH({1,2,3,4,5,6,7,8,9,0},E218&amp;"1234567890"))+1),10),".","/"))=TRUE,AJ218-(SUBSTITUTE(LEFT(RIGHT(E218,LEN(E218)-MIN(SEARCH({1,2,3,4,5,6,7,8,9,0},E218&amp;"1234567890"))+1),10),".","/")),IF((SUBSTITUTE(LEFT(RIGHT(E218,LEN(E218)-MIN(SEARCH({1,2,3,4,5,6,7,8,9,0},E218&amp;"1234567890"))+1),10),".","/"))="","",(AJ218)-(MID(RIGHT((SUBSTITUTE(LEFT(RIGHT(E218,LEN(E218)-MIN(SEARCH({1,2,3,4,5,6,7,8,9,0},E218&amp;"1234567890"))+1),10),".","/")),10),4,2)&amp;"/"&amp;LEFT((RIGHT((SUBSTITUTE(LEFT(RIGHT(E218,LEN(E218)-MIN(SEARCH({1,2,3,4,5,6,7,8,9,0},E218&amp;"1234567890"))+1),10),".","/")),10)),2)&amp;"/"&amp;RIGHT((SUBSTITUTE(LEFT(RIGHT(E218,LEN(E218)-MIN(SEARCH({1,2,3,4,5,6,7,8,9,0},E218&amp;"1234567890"))+1),10),".","/")),4))))),(AJ218-A218))</f>
        <v>344</v>
      </c>
      <c r="C218" s="334"/>
      <c r="D218" s="294" t="str">
        <f t="shared" si="33"/>
        <v>FGC-304L/2B-001X765</v>
      </c>
      <c r="E218" s="294" t="s">
        <v>3477</v>
      </c>
      <c r="F218" s="294" t="s">
        <v>2598</v>
      </c>
      <c r="G218" s="294" t="s">
        <v>4079</v>
      </c>
      <c r="H218" s="294" t="s">
        <v>230</v>
      </c>
      <c r="I218" s="337" t="s">
        <v>116</v>
      </c>
      <c r="J218" s="149">
        <v>2.91</v>
      </c>
      <c r="K218" s="149">
        <v>0.95</v>
      </c>
      <c r="L218" s="149">
        <v>0.91</v>
      </c>
      <c r="M218" s="149">
        <v>0.94</v>
      </c>
      <c r="N218" s="335">
        <v>769</v>
      </c>
      <c r="O218" s="296">
        <v>2.67</v>
      </c>
      <c r="P218" s="345">
        <v>2.7</v>
      </c>
      <c r="Q218" s="138">
        <v>765</v>
      </c>
      <c r="R218" s="339"/>
      <c r="S218" s="339"/>
      <c r="T218" s="299" t="s">
        <v>3205</v>
      </c>
      <c r="U218" s="282" t="s">
        <v>993</v>
      </c>
      <c r="V218" s="282"/>
      <c r="W218" s="138" t="s">
        <v>116</v>
      </c>
      <c r="X218" s="340">
        <v>44600</v>
      </c>
      <c r="Y218" s="340">
        <v>44600</v>
      </c>
      <c r="Z218" s="340"/>
      <c r="AA218" s="340"/>
      <c r="AB218" s="340"/>
      <c r="AC218" s="341"/>
      <c r="AD218" s="342" t="s">
        <v>64</v>
      </c>
      <c r="AE218" s="342" t="s">
        <v>154</v>
      </c>
      <c r="AF218" s="284" t="s">
        <v>1296</v>
      </c>
      <c r="AG218" s="284"/>
      <c r="AH218" s="284">
        <v>44516</v>
      </c>
      <c r="AI218" s="284"/>
      <c r="AJ218" s="334">
        <f t="shared" ca="1" si="34"/>
        <v>44963</v>
      </c>
      <c r="AK218" s="342">
        <f t="shared" ca="1" si="35"/>
        <v>447</v>
      </c>
      <c r="AL218" s="342" t="str">
        <f t="shared" si="36"/>
        <v/>
      </c>
      <c r="AM218" s="284"/>
      <c r="AN218" s="284" t="s">
        <v>2570</v>
      </c>
      <c r="AO218" s="343">
        <v>7.83</v>
      </c>
      <c r="AP218" s="343">
        <v>7.84</v>
      </c>
      <c r="AQ218" s="343">
        <v>7.8650000000000002</v>
      </c>
      <c r="AR218" s="343">
        <v>7.87</v>
      </c>
      <c r="AS218" s="331">
        <f t="shared" ca="1" si="37"/>
        <v>363</v>
      </c>
      <c r="AV218" s="331" t="s">
        <v>136</v>
      </c>
      <c r="BI218" s="347"/>
    </row>
    <row r="219" spans="1:61" s="331" customFormat="1" ht="18" customHeight="1" x14ac:dyDescent="0.35">
      <c r="A219" s="334">
        <v>44619</v>
      </c>
      <c r="B219" s="335">
        <f ca="1">IF(A219="",(IF(ISNUMBER(SUBSTITUTE(LEFT(RIGHT(E219,LEN(E219)-MIN(SEARCH({1,2,3,4,5,6,7,8,9,0},E219&amp;"1234567890"))+1),10),".","/"))=TRUE,AJ219-(SUBSTITUTE(LEFT(RIGHT(E219,LEN(E219)-MIN(SEARCH({1,2,3,4,5,6,7,8,9,0},E219&amp;"1234567890"))+1),10),".","/")),IF((SUBSTITUTE(LEFT(RIGHT(E219,LEN(E219)-MIN(SEARCH({1,2,3,4,5,6,7,8,9,0},E219&amp;"1234567890"))+1),10),".","/"))="","",(AJ219)-(MID(RIGHT((SUBSTITUTE(LEFT(RIGHT(E219,LEN(E219)-MIN(SEARCH({1,2,3,4,5,6,7,8,9,0},E219&amp;"1234567890"))+1),10),".","/")),10),4,2)&amp;"/"&amp;LEFT((RIGHT((SUBSTITUTE(LEFT(RIGHT(E219,LEN(E219)-MIN(SEARCH({1,2,3,4,5,6,7,8,9,0},E219&amp;"1234567890"))+1),10),".","/")),10)),2)&amp;"/"&amp;RIGHT((SUBSTITUTE(LEFT(RIGHT(E219,LEN(E219)-MIN(SEARCH({1,2,3,4,5,6,7,8,9,0},E219&amp;"1234567890"))+1),10),".","/")),4))))),(AJ219-A219))</f>
        <v>344</v>
      </c>
      <c r="C219" s="334"/>
      <c r="D219" s="294" t="str">
        <f t="shared" si="33"/>
        <v>FGC-304L/2B-001X765</v>
      </c>
      <c r="E219" s="294" t="s">
        <v>3477</v>
      </c>
      <c r="F219" s="294" t="s">
        <v>2598</v>
      </c>
      <c r="G219" s="294" t="s">
        <v>4080</v>
      </c>
      <c r="H219" s="294" t="s">
        <v>230</v>
      </c>
      <c r="I219" s="337" t="s">
        <v>116</v>
      </c>
      <c r="J219" s="149">
        <v>2.91</v>
      </c>
      <c r="K219" s="149">
        <v>0.95</v>
      </c>
      <c r="L219" s="149">
        <v>0.91</v>
      </c>
      <c r="M219" s="149">
        <v>0.94</v>
      </c>
      <c r="N219" s="335">
        <v>769</v>
      </c>
      <c r="O219" s="296">
        <v>2.6349999999999998</v>
      </c>
      <c r="P219" s="345">
        <v>2.665</v>
      </c>
      <c r="Q219" s="138">
        <v>765</v>
      </c>
      <c r="R219" s="339"/>
      <c r="S219" s="339"/>
      <c r="T219" s="299" t="s">
        <v>3205</v>
      </c>
      <c r="U219" s="282" t="s">
        <v>993</v>
      </c>
      <c r="V219" s="282"/>
      <c r="W219" s="138" t="s">
        <v>116</v>
      </c>
      <c r="X219" s="340">
        <v>44600</v>
      </c>
      <c r="Y219" s="340">
        <v>44600</v>
      </c>
      <c r="Z219" s="340"/>
      <c r="AA219" s="340"/>
      <c r="AB219" s="340"/>
      <c r="AC219" s="341"/>
      <c r="AD219" s="342" t="s">
        <v>64</v>
      </c>
      <c r="AE219" s="342" t="s">
        <v>154</v>
      </c>
      <c r="AF219" s="284" t="s">
        <v>1296</v>
      </c>
      <c r="AG219" s="284"/>
      <c r="AH219" s="284">
        <v>44516</v>
      </c>
      <c r="AI219" s="284"/>
      <c r="AJ219" s="334">
        <f t="shared" ca="1" si="34"/>
        <v>44963</v>
      </c>
      <c r="AK219" s="342">
        <f t="shared" ca="1" si="35"/>
        <v>447</v>
      </c>
      <c r="AL219" s="342" t="str">
        <f t="shared" si="36"/>
        <v/>
      </c>
      <c r="AM219" s="284"/>
      <c r="AN219" s="284" t="s">
        <v>2570</v>
      </c>
      <c r="AO219" s="343">
        <v>7.83</v>
      </c>
      <c r="AP219" s="343">
        <v>7.84</v>
      </c>
      <c r="AQ219" s="343">
        <v>7.8650000000000002</v>
      </c>
      <c r="AR219" s="343">
        <v>7.87</v>
      </c>
      <c r="AS219" s="331">
        <f t="shared" ca="1" si="37"/>
        <v>363</v>
      </c>
      <c r="AV219" s="331" t="s">
        <v>136</v>
      </c>
      <c r="BI219" s="347"/>
    </row>
    <row r="220" spans="1:61" s="331" customFormat="1" ht="18" customHeight="1" x14ac:dyDescent="0.35">
      <c r="A220" s="320"/>
      <c r="B220" s="319"/>
      <c r="C220" s="320"/>
      <c r="D220" s="302"/>
      <c r="E220" s="302"/>
      <c r="F220" s="302"/>
      <c r="G220" s="302"/>
      <c r="H220" s="302"/>
      <c r="I220" s="260"/>
      <c r="J220" s="321"/>
      <c r="K220" s="321"/>
      <c r="L220" s="321"/>
      <c r="M220" s="321"/>
      <c r="N220" s="319"/>
      <c r="O220" s="322">
        <f>SUM(O213:O219)</f>
        <v>18.975000000000001</v>
      </c>
      <c r="P220" s="323"/>
      <c r="Q220" s="301"/>
      <c r="R220" s="301"/>
      <c r="S220" s="326"/>
      <c r="T220" s="327"/>
      <c r="U220" s="328"/>
      <c r="V220" s="328"/>
      <c r="W220" s="301"/>
      <c r="X220" s="329"/>
      <c r="Y220" s="329"/>
      <c r="Z220" s="329"/>
      <c r="AA220" s="329"/>
      <c r="AB220" s="329"/>
      <c r="AC220" s="330"/>
      <c r="AF220" s="332"/>
      <c r="AG220" s="332"/>
      <c r="AH220" s="332"/>
      <c r="AI220" s="332"/>
      <c r="AJ220" s="320"/>
      <c r="AM220" s="332"/>
      <c r="AN220" s="332"/>
      <c r="AO220" s="333"/>
      <c r="AP220" s="333"/>
      <c r="AQ220" s="333"/>
      <c r="AR220" s="333"/>
      <c r="BI220" s="368"/>
    </row>
    <row r="221" spans="1:61" s="331" customFormat="1" ht="18" customHeight="1" x14ac:dyDescent="0.35">
      <c r="A221" s="320"/>
      <c r="B221" s="319"/>
      <c r="C221" s="320"/>
      <c r="D221" s="302"/>
      <c r="E221" s="302"/>
      <c r="F221" s="302"/>
      <c r="G221" s="302"/>
      <c r="H221" s="302"/>
      <c r="I221" s="260"/>
      <c r="J221" s="321"/>
      <c r="K221" s="321"/>
      <c r="L221" s="321"/>
      <c r="M221" s="321"/>
      <c r="N221" s="319"/>
      <c r="O221" s="322"/>
      <c r="P221" s="323"/>
      <c r="Q221" s="301"/>
      <c r="R221" s="301"/>
      <c r="S221" s="326"/>
      <c r="T221" s="327"/>
      <c r="U221" s="328"/>
      <c r="V221" s="328"/>
      <c r="W221" s="301"/>
      <c r="X221" s="329"/>
      <c r="Y221" s="329"/>
      <c r="Z221" s="329"/>
      <c r="AA221" s="329"/>
      <c r="AB221" s="329"/>
      <c r="AC221" s="330"/>
      <c r="AF221" s="332"/>
      <c r="AG221" s="332"/>
      <c r="AH221" s="332"/>
      <c r="AI221" s="332"/>
      <c r="AJ221" s="320"/>
      <c r="AM221" s="332"/>
      <c r="AN221" s="332"/>
      <c r="AO221" s="333"/>
      <c r="AP221" s="333"/>
      <c r="AQ221" s="333"/>
      <c r="AR221" s="333"/>
      <c r="BI221" s="368"/>
    </row>
    <row r="222" spans="1:61" s="331" customFormat="1" ht="18" customHeight="1" x14ac:dyDescent="0.35">
      <c r="A222" s="371" t="s">
        <v>2987</v>
      </c>
      <c r="B222" s="319"/>
      <c r="C222" s="320"/>
      <c r="D222" s="302"/>
      <c r="E222" s="302"/>
      <c r="F222" s="302"/>
      <c r="G222" s="302"/>
      <c r="H222" s="302"/>
      <c r="I222" s="260"/>
      <c r="J222" s="321"/>
      <c r="K222" s="321"/>
      <c r="L222" s="321"/>
      <c r="M222" s="321"/>
      <c r="N222" s="319"/>
      <c r="O222" s="322"/>
      <c r="P222" s="323"/>
      <c r="Q222" s="301"/>
      <c r="R222" s="301"/>
      <c r="S222" s="326"/>
      <c r="T222" s="327"/>
      <c r="U222" s="328"/>
      <c r="V222" s="328"/>
      <c r="W222" s="301"/>
      <c r="X222" s="329"/>
      <c r="Y222" s="329"/>
      <c r="Z222" s="329"/>
      <c r="AA222" s="329"/>
      <c r="AB222" s="329"/>
      <c r="AC222" s="330"/>
      <c r="AF222" s="332"/>
      <c r="AG222" s="332"/>
      <c r="AH222" s="332"/>
      <c r="AI222" s="332"/>
      <c r="AJ222" s="320"/>
      <c r="AM222" s="332"/>
      <c r="AN222" s="332"/>
      <c r="AO222" s="333"/>
      <c r="AP222" s="333"/>
      <c r="AQ222" s="333"/>
      <c r="AR222" s="333"/>
      <c r="BI222" s="368"/>
    </row>
    <row r="223" spans="1:61" s="331" customFormat="1" ht="18" customHeight="1" x14ac:dyDescent="0.35">
      <c r="A223" s="334">
        <v>44613</v>
      </c>
      <c r="B223" s="335">
        <f ca="1">IF(A223="",(IF(ISNUMBER(SUBSTITUTE(LEFT(RIGHT(E223,LEN(E223)-MIN(SEARCH({1,2,3,4,5,6,7,8,9,0},E223&amp;"1234567890"))+1),10),".","/"))=TRUE,AJ223-(SUBSTITUTE(LEFT(RIGHT(E223,LEN(E223)-MIN(SEARCH({1,2,3,4,5,6,7,8,9,0},E223&amp;"1234567890"))+1),10),".","/")),IF((SUBSTITUTE(LEFT(RIGHT(E223,LEN(E223)-MIN(SEARCH({1,2,3,4,5,6,7,8,9,0},E223&amp;"1234567890"))+1),10),".","/"))="","",(AJ223)-(MID(RIGHT((SUBSTITUTE(LEFT(RIGHT(E223,LEN(E223)-MIN(SEARCH({1,2,3,4,5,6,7,8,9,0},E223&amp;"1234567890"))+1),10),".","/")),10),4,2)&amp;"/"&amp;LEFT((RIGHT((SUBSTITUTE(LEFT(RIGHT(E223,LEN(E223)-MIN(SEARCH({1,2,3,4,5,6,7,8,9,0},E223&amp;"1234567890"))+1),10),".","/")),10)),2)&amp;"/"&amp;RIGHT((SUBSTITUTE(LEFT(RIGHT(E223,LEN(E223)-MIN(SEARCH({1,2,3,4,5,6,7,8,9,0},E223&amp;"1234567890"))+1),10),".","/")),4))))),(AJ223-A223))</f>
        <v>350</v>
      </c>
      <c r="C223" s="334"/>
      <c r="D223" s="294" t="str">
        <f t="shared" ref="D223:D229" si="38">IF(Q223="MULTI","FGM","FGC")&amp;"-"&amp;H223&amp;"/"&amp;I223&amp;"-"&amp;TEXT(K223,"0.00")&amp;"X"&amp;IF(Q223="MULTI",N223,Q223)</f>
        <v>FGC-304L/2B-001X760</v>
      </c>
      <c r="E223" s="294" t="s">
        <v>3395</v>
      </c>
      <c r="F223" s="294" t="s">
        <v>2772</v>
      </c>
      <c r="G223" s="294" t="s">
        <v>4081</v>
      </c>
      <c r="H223" s="294" t="s">
        <v>230</v>
      </c>
      <c r="I223" s="337" t="s">
        <v>116</v>
      </c>
      <c r="J223" s="149">
        <v>3</v>
      </c>
      <c r="K223" s="149">
        <v>1</v>
      </c>
      <c r="L223" s="149">
        <v>0.99</v>
      </c>
      <c r="M223" s="149">
        <v>1.03</v>
      </c>
      <c r="N223" s="335">
        <v>770</v>
      </c>
      <c r="O223" s="296">
        <f>4.53</f>
        <v>4.53</v>
      </c>
      <c r="P223" s="345">
        <v>4.5599999999999996</v>
      </c>
      <c r="Q223" s="138">
        <v>760</v>
      </c>
      <c r="R223" s="339"/>
      <c r="S223" s="339"/>
      <c r="T223" s="299" t="s">
        <v>3410</v>
      </c>
      <c r="U223" s="282" t="s">
        <v>2987</v>
      </c>
      <c r="V223" s="282"/>
      <c r="W223" s="138" t="s">
        <v>116</v>
      </c>
      <c r="X223" s="340">
        <v>44606</v>
      </c>
      <c r="Y223" s="340">
        <v>44606</v>
      </c>
      <c r="Z223" s="340"/>
      <c r="AA223" s="340"/>
      <c r="AB223" s="340"/>
      <c r="AC223" s="341"/>
      <c r="AD223" s="342" t="s">
        <v>64</v>
      </c>
      <c r="AE223" s="342" t="s">
        <v>154</v>
      </c>
      <c r="AF223" s="284" t="s">
        <v>1190</v>
      </c>
      <c r="AG223" s="284"/>
      <c r="AH223" s="284">
        <v>44496</v>
      </c>
      <c r="AI223" s="284"/>
      <c r="AJ223" s="334">
        <f t="shared" ref="AJ223:AJ229" ca="1" si="39">TODAY()</f>
        <v>44963</v>
      </c>
      <c r="AK223" s="342">
        <f t="shared" ref="AK223:AK229" ca="1" si="40">IF(AH223&lt;&gt;0,AJ223-AH223,0)</f>
        <v>467</v>
      </c>
      <c r="AL223" s="342" t="str">
        <f t="shared" ref="AL223:AL229" si="41">IF(ISNUMBER(Z223)=TRUE,AJ223-Z223,IF(Z223="","",(AJ223)-(MID(RIGHT(Z223,10),4,2)&amp;"/"&amp;LEFT((RIGHT(Z223,10)),2)&amp;"/"&amp;RIGHT(Z223,4))))</f>
        <v/>
      </c>
      <c r="AM223" s="284"/>
      <c r="AN223" s="284" t="s">
        <v>2774</v>
      </c>
      <c r="AO223" s="343">
        <v>10.47</v>
      </c>
      <c r="AP223" s="343">
        <v>10.48</v>
      </c>
      <c r="AQ223" s="343">
        <v>10.504999999999999</v>
      </c>
      <c r="AR223" s="343">
        <v>10.51</v>
      </c>
      <c r="AS223" s="331">
        <f t="shared" ref="AS223:AS229" ca="1" si="42">IF(ISNUMBER(Y223)=TRUE,AJ223-Y223,IF(Y223="","",(AJ223)-(MID(RIGHT(Y223,10),4,2)&amp;"/"&amp;LEFT((RIGHT(Y223,10)),2)&amp;"/"&amp;RIGHT(Y223,4))))</f>
        <v>357</v>
      </c>
      <c r="AV223" s="331" t="s">
        <v>136</v>
      </c>
      <c r="BI223" s="347"/>
    </row>
    <row r="224" spans="1:61" s="331" customFormat="1" ht="18" customHeight="1" x14ac:dyDescent="0.35">
      <c r="A224" s="334">
        <v>44613</v>
      </c>
      <c r="B224" s="335">
        <f ca="1">IF(A224="",(IF(ISNUMBER(SUBSTITUTE(LEFT(RIGHT(E224,LEN(E224)-MIN(SEARCH({1,2,3,4,5,6,7,8,9,0},E224&amp;"1234567890"))+1),10),".","/"))=TRUE,AJ224-(SUBSTITUTE(LEFT(RIGHT(E224,LEN(E224)-MIN(SEARCH({1,2,3,4,5,6,7,8,9,0},E224&amp;"1234567890"))+1),10),".","/")),IF((SUBSTITUTE(LEFT(RIGHT(E224,LEN(E224)-MIN(SEARCH({1,2,3,4,5,6,7,8,9,0},E224&amp;"1234567890"))+1),10),".","/"))="","",(AJ224)-(MID(RIGHT((SUBSTITUTE(LEFT(RIGHT(E224,LEN(E224)-MIN(SEARCH({1,2,3,4,5,6,7,8,9,0},E224&amp;"1234567890"))+1),10),".","/")),10),4,2)&amp;"/"&amp;LEFT((RIGHT((SUBSTITUTE(LEFT(RIGHT(E224,LEN(E224)-MIN(SEARCH({1,2,3,4,5,6,7,8,9,0},E224&amp;"1234567890"))+1),10),".","/")),10)),2)&amp;"/"&amp;RIGHT((SUBSTITUTE(LEFT(RIGHT(E224,LEN(E224)-MIN(SEARCH({1,2,3,4,5,6,7,8,9,0},E224&amp;"1234567890"))+1),10),".","/")),4))))),(AJ224-A224))</f>
        <v>350</v>
      </c>
      <c r="C224" s="334"/>
      <c r="D224" s="294" t="str">
        <f t="shared" si="38"/>
        <v>FGC-304L/2B-001X760</v>
      </c>
      <c r="E224" s="294" t="s">
        <v>3413</v>
      </c>
      <c r="F224" s="294" t="s">
        <v>2769</v>
      </c>
      <c r="G224" s="294" t="s">
        <v>3414</v>
      </c>
      <c r="H224" s="294" t="s">
        <v>230</v>
      </c>
      <c r="I224" s="337" t="s">
        <v>116</v>
      </c>
      <c r="J224" s="149">
        <v>3.37</v>
      </c>
      <c r="K224" s="149">
        <v>1.35</v>
      </c>
      <c r="L224" s="149">
        <v>1.35</v>
      </c>
      <c r="M224" s="149">
        <v>1.36</v>
      </c>
      <c r="N224" s="335">
        <v>772</v>
      </c>
      <c r="O224" s="296">
        <v>5.2249999999999996</v>
      </c>
      <c r="P224" s="345">
        <v>5.2549999999999999</v>
      </c>
      <c r="Q224" s="138">
        <v>760</v>
      </c>
      <c r="R224" s="339"/>
      <c r="S224" s="339"/>
      <c r="T224" s="299" t="s">
        <v>3415</v>
      </c>
      <c r="U224" s="282" t="s">
        <v>2987</v>
      </c>
      <c r="V224" s="282"/>
      <c r="W224" s="138" t="s">
        <v>116</v>
      </c>
      <c r="X224" s="340">
        <v>44606</v>
      </c>
      <c r="Y224" s="340">
        <v>44606</v>
      </c>
      <c r="Z224" s="340"/>
      <c r="AA224" s="340"/>
      <c r="AB224" s="340"/>
      <c r="AC224" s="341" t="s">
        <v>1395</v>
      </c>
      <c r="AD224" s="342" t="s">
        <v>64</v>
      </c>
      <c r="AE224" s="342" t="s">
        <v>154</v>
      </c>
      <c r="AF224" s="284" t="s">
        <v>1516</v>
      </c>
      <c r="AG224" s="284"/>
      <c r="AH224" s="284">
        <v>44554</v>
      </c>
      <c r="AI224" s="284"/>
      <c r="AJ224" s="334">
        <f t="shared" ca="1" si="39"/>
        <v>44963</v>
      </c>
      <c r="AK224" s="342">
        <f t="shared" ca="1" si="40"/>
        <v>409</v>
      </c>
      <c r="AL224" s="342" t="str">
        <f t="shared" si="41"/>
        <v/>
      </c>
      <c r="AM224" s="284"/>
      <c r="AN224" s="284" t="s">
        <v>2608</v>
      </c>
      <c r="AO224" s="343">
        <v>10.465</v>
      </c>
      <c r="AP224" s="343">
        <v>10.475</v>
      </c>
      <c r="AQ224" s="343">
        <v>10.499999999999998</v>
      </c>
      <c r="AR224" s="343">
        <v>10.504999999999999</v>
      </c>
      <c r="AS224" s="331">
        <f t="shared" ca="1" si="42"/>
        <v>357</v>
      </c>
      <c r="AV224" s="331" t="s">
        <v>136</v>
      </c>
      <c r="BI224" s="347"/>
    </row>
    <row r="225" spans="1:61" s="331" customFormat="1" ht="18" customHeight="1" x14ac:dyDescent="0.35">
      <c r="A225" s="334">
        <v>44613</v>
      </c>
      <c r="B225" s="335">
        <f ca="1">IF(A225="",(IF(ISNUMBER(SUBSTITUTE(LEFT(RIGHT(E225,LEN(E225)-MIN(SEARCH({1,2,3,4,5,6,7,8,9,0},E225&amp;"1234567890"))+1),10),".","/"))=TRUE,AJ225-(SUBSTITUTE(LEFT(RIGHT(E225,LEN(E225)-MIN(SEARCH({1,2,3,4,5,6,7,8,9,0},E225&amp;"1234567890"))+1),10),".","/")),IF((SUBSTITUTE(LEFT(RIGHT(E225,LEN(E225)-MIN(SEARCH({1,2,3,4,5,6,7,8,9,0},E225&amp;"1234567890"))+1),10),".","/"))="","",(AJ225)-(MID(RIGHT((SUBSTITUTE(LEFT(RIGHT(E225,LEN(E225)-MIN(SEARCH({1,2,3,4,5,6,7,8,9,0},E225&amp;"1234567890"))+1),10),".","/")),10),4,2)&amp;"/"&amp;LEFT((RIGHT((SUBSTITUTE(LEFT(RIGHT(E225,LEN(E225)-MIN(SEARCH({1,2,3,4,5,6,7,8,9,0},E225&amp;"1234567890"))+1),10),".","/")),10)),2)&amp;"/"&amp;RIGHT((SUBSTITUTE(LEFT(RIGHT(E225,LEN(E225)-MIN(SEARCH({1,2,3,4,5,6,7,8,9,0},E225&amp;"1234567890"))+1),10),".","/")),4))))),(AJ225-A225))</f>
        <v>350</v>
      </c>
      <c r="C225" s="334"/>
      <c r="D225" s="294" t="str">
        <f t="shared" si="38"/>
        <v>FGC-304L/2B-002X760</v>
      </c>
      <c r="E225" s="294" t="s">
        <v>3413</v>
      </c>
      <c r="F225" s="294" t="s">
        <v>2778</v>
      </c>
      <c r="G225" s="294" t="s">
        <v>4082</v>
      </c>
      <c r="H225" s="294" t="s">
        <v>230</v>
      </c>
      <c r="I225" s="337" t="s">
        <v>116</v>
      </c>
      <c r="J225" s="149">
        <v>3.78</v>
      </c>
      <c r="K225" s="149">
        <v>1.9</v>
      </c>
      <c r="L225" s="149">
        <v>1.88</v>
      </c>
      <c r="M225" s="149">
        <v>1.91</v>
      </c>
      <c r="N225" s="335">
        <v>773</v>
      </c>
      <c r="O225" s="296">
        <v>5.14</v>
      </c>
      <c r="P225" s="345">
        <v>5.19</v>
      </c>
      <c r="Q225" s="138">
        <v>760</v>
      </c>
      <c r="R225" s="339"/>
      <c r="S225" s="339"/>
      <c r="T225" s="299" t="s">
        <v>3415</v>
      </c>
      <c r="U225" s="282" t="s">
        <v>2987</v>
      </c>
      <c r="V225" s="282"/>
      <c r="W225" s="138" t="s">
        <v>116</v>
      </c>
      <c r="X225" s="340">
        <v>44606</v>
      </c>
      <c r="Y225" s="340">
        <v>44606</v>
      </c>
      <c r="Z225" s="340"/>
      <c r="AA225" s="340"/>
      <c r="AB225" s="340"/>
      <c r="AC225" s="341" t="s">
        <v>1395</v>
      </c>
      <c r="AD225" s="342" t="s">
        <v>64</v>
      </c>
      <c r="AE225" s="342" t="s">
        <v>154</v>
      </c>
      <c r="AF225" s="284" t="s">
        <v>1330</v>
      </c>
      <c r="AG225" s="284"/>
      <c r="AH225" s="284">
        <v>44554</v>
      </c>
      <c r="AI225" s="284"/>
      <c r="AJ225" s="334">
        <f t="shared" ca="1" si="39"/>
        <v>44963</v>
      </c>
      <c r="AK225" s="342">
        <f t="shared" ca="1" si="40"/>
        <v>409</v>
      </c>
      <c r="AL225" s="342" t="str">
        <f t="shared" si="41"/>
        <v/>
      </c>
      <c r="AM225" s="284"/>
      <c r="AN225" s="284" t="s">
        <v>1382</v>
      </c>
      <c r="AO225" s="343">
        <v>10.39</v>
      </c>
      <c r="AP225" s="343">
        <v>10.4</v>
      </c>
      <c r="AQ225" s="343">
        <v>10.424999999999999</v>
      </c>
      <c r="AR225" s="343">
        <v>10.43</v>
      </c>
      <c r="AS225" s="331">
        <f t="shared" ca="1" si="42"/>
        <v>357</v>
      </c>
      <c r="AV225" s="331" t="s">
        <v>136</v>
      </c>
      <c r="BI225" s="347"/>
    </row>
    <row r="226" spans="1:61" s="331" customFormat="1" ht="18" customHeight="1" x14ac:dyDescent="0.35">
      <c r="A226" s="334">
        <v>44613</v>
      </c>
      <c r="B226" s="335">
        <f ca="1">IF(A226="",(IF(ISNUMBER(SUBSTITUTE(LEFT(RIGHT(E226,LEN(E226)-MIN(SEARCH({1,2,3,4,5,6,7,8,9,0},E226&amp;"1234567890"))+1),10),".","/"))=TRUE,AJ226-(SUBSTITUTE(LEFT(RIGHT(E226,LEN(E226)-MIN(SEARCH({1,2,3,4,5,6,7,8,9,0},E226&amp;"1234567890"))+1),10),".","/")),IF((SUBSTITUTE(LEFT(RIGHT(E226,LEN(E226)-MIN(SEARCH({1,2,3,4,5,6,7,8,9,0},E226&amp;"1234567890"))+1),10),".","/"))="","",(AJ226)-(MID(RIGHT((SUBSTITUTE(LEFT(RIGHT(E226,LEN(E226)-MIN(SEARCH({1,2,3,4,5,6,7,8,9,0},E226&amp;"1234567890"))+1),10),".","/")),10),4,2)&amp;"/"&amp;LEFT((RIGHT((SUBSTITUTE(LEFT(RIGHT(E226,LEN(E226)-MIN(SEARCH({1,2,3,4,5,6,7,8,9,0},E226&amp;"1234567890"))+1),10),".","/")),10)),2)&amp;"/"&amp;RIGHT((SUBSTITUTE(LEFT(RIGHT(E226,LEN(E226)-MIN(SEARCH({1,2,3,4,5,6,7,8,9,0},E226&amp;"1234567890"))+1),10),".","/")),4))))),(AJ226-A226))</f>
        <v>350</v>
      </c>
      <c r="C226" s="334"/>
      <c r="D226" s="294" t="str">
        <f t="shared" si="38"/>
        <v>FGC-304L/2B-001X760</v>
      </c>
      <c r="E226" s="294" t="s">
        <v>3413</v>
      </c>
      <c r="F226" s="294" t="s">
        <v>2852</v>
      </c>
      <c r="G226" s="294" t="s">
        <v>4083</v>
      </c>
      <c r="H226" s="294" t="s">
        <v>230</v>
      </c>
      <c r="I226" s="337" t="s">
        <v>116</v>
      </c>
      <c r="J226" s="149">
        <v>3.34</v>
      </c>
      <c r="K226" s="149">
        <v>1.1000000000000001</v>
      </c>
      <c r="L226" s="149">
        <v>1.1000000000000001</v>
      </c>
      <c r="M226" s="149">
        <v>1.1200000000000001</v>
      </c>
      <c r="N226" s="335">
        <v>770</v>
      </c>
      <c r="O226" s="296">
        <v>5.22</v>
      </c>
      <c r="P226" s="345">
        <v>5.25</v>
      </c>
      <c r="Q226" s="138">
        <v>760</v>
      </c>
      <c r="R226" s="339"/>
      <c r="S226" s="339"/>
      <c r="T226" s="299" t="s">
        <v>3415</v>
      </c>
      <c r="U226" s="282" t="s">
        <v>2987</v>
      </c>
      <c r="V226" s="282"/>
      <c r="W226" s="138" t="s">
        <v>116</v>
      </c>
      <c r="X226" s="340">
        <v>44610</v>
      </c>
      <c r="Y226" s="340">
        <v>44611</v>
      </c>
      <c r="Z226" s="340"/>
      <c r="AA226" s="340"/>
      <c r="AB226" s="340"/>
      <c r="AC226" s="341" t="s">
        <v>1395</v>
      </c>
      <c r="AD226" s="342" t="s">
        <v>64</v>
      </c>
      <c r="AE226" s="342" t="s">
        <v>154</v>
      </c>
      <c r="AF226" s="284" t="s">
        <v>1330</v>
      </c>
      <c r="AG226" s="284"/>
      <c r="AH226" s="284">
        <v>44554</v>
      </c>
      <c r="AI226" s="284"/>
      <c r="AJ226" s="334">
        <f t="shared" ca="1" si="39"/>
        <v>44963</v>
      </c>
      <c r="AK226" s="342">
        <f t="shared" ca="1" si="40"/>
        <v>409</v>
      </c>
      <c r="AL226" s="342" t="str">
        <f t="shared" si="41"/>
        <v/>
      </c>
      <c r="AM226" s="284"/>
      <c r="AN226" s="284" t="s">
        <v>2788</v>
      </c>
      <c r="AO226" s="343">
        <v>10.43</v>
      </c>
      <c r="AP226" s="343">
        <v>10.44</v>
      </c>
      <c r="AQ226" s="343">
        <v>10.464999999999998</v>
      </c>
      <c r="AR226" s="343">
        <v>10.469999999999999</v>
      </c>
      <c r="AS226" s="331">
        <f t="shared" ca="1" si="42"/>
        <v>352</v>
      </c>
      <c r="AV226" s="331" t="s">
        <v>136</v>
      </c>
      <c r="BI226" s="347"/>
    </row>
    <row r="227" spans="1:61" s="331" customFormat="1" ht="18" customHeight="1" x14ac:dyDescent="0.35">
      <c r="A227" s="334"/>
      <c r="B227" s="335" t="e">
        <f ca="1">IF(A227="",(IF(ISNUMBER(SUBSTITUTE(LEFT(RIGHT(E227,LEN(E227)-MIN(SEARCH({1,2,3,4,5,6,7,8,9,0},E227&amp;"1234567890"))+1),10),".","/"))=TRUE,AJ227-(SUBSTITUTE(LEFT(RIGHT(E227,LEN(E227)-MIN(SEARCH({1,2,3,4,5,6,7,8,9,0},E227&amp;"1234567890"))+1),10),".","/")),IF((SUBSTITUTE(LEFT(RIGHT(E227,LEN(E227)-MIN(SEARCH({1,2,3,4,5,6,7,8,9,0},E227&amp;"1234567890"))+1),10),".","/"))="","",(AJ227)-(MID(RIGHT((SUBSTITUTE(LEFT(RIGHT(E227,LEN(E227)-MIN(SEARCH({1,2,3,4,5,6,7,8,9,0},E227&amp;"1234567890"))+1),10),".","/")),10),4,2)&amp;"/"&amp;LEFT((RIGHT((SUBSTITUTE(LEFT(RIGHT(E227,LEN(E227)-MIN(SEARCH({1,2,3,4,5,6,7,8,9,0},E227&amp;"1234567890"))+1),10),".","/")),10)),2)&amp;"/"&amp;RIGHT((SUBSTITUTE(LEFT(RIGHT(E227,LEN(E227)-MIN(SEARCH({1,2,3,4,5,6,7,8,9,0},E227&amp;"1234567890"))+1),10),".","/")),4))))),(AJ227-A227))</f>
        <v>#VALUE!</v>
      </c>
      <c r="C227" s="334"/>
      <c r="D227" s="294" t="str">
        <f t="shared" si="38"/>
        <v>FGC-304L/2B-001X760</v>
      </c>
      <c r="E227" s="294" t="s">
        <v>3673</v>
      </c>
      <c r="F227" s="294" t="s">
        <v>2752</v>
      </c>
      <c r="G227" s="294" t="s">
        <v>4084</v>
      </c>
      <c r="H227" s="294" t="s">
        <v>230</v>
      </c>
      <c r="I227" s="337" t="s">
        <v>116</v>
      </c>
      <c r="J227" s="149">
        <v>2.89</v>
      </c>
      <c r="K227" s="149">
        <v>1</v>
      </c>
      <c r="L227" s="149"/>
      <c r="M227" s="149"/>
      <c r="N227" s="335">
        <v>770</v>
      </c>
      <c r="O227" s="296">
        <f>4.205</f>
        <v>4.2050000000000001</v>
      </c>
      <c r="P227" s="345"/>
      <c r="Q227" s="138">
        <v>760</v>
      </c>
      <c r="R227" s="339"/>
      <c r="S227" s="339"/>
      <c r="T227" s="299" t="s">
        <v>3415</v>
      </c>
      <c r="U227" s="282" t="s">
        <v>2987</v>
      </c>
      <c r="V227" s="282"/>
      <c r="W227" s="138" t="s">
        <v>116</v>
      </c>
      <c r="X227" s="340">
        <v>44605</v>
      </c>
      <c r="Y227" s="340">
        <v>44605</v>
      </c>
      <c r="Z227" s="340">
        <v>44610</v>
      </c>
      <c r="AA227" s="340"/>
      <c r="AB227" s="340"/>
      <c r="AC227" s="341"/>
      <c r="AD227" s="342" t="s">
        <v>64</v>
      </c>
      <c r="AE227" s="342" t="s">
        <v>154</v>
      </c>
      <c r="AF227" s="284" t="s">
        <v>1190</v>
      </c>
      <c r="AG227" s="284"/>
      <c r="AH227" s="284">
        <v>44496</v>
      </c>
      <c r="AI227" s="284"/>
      <c r="AJ227" s="334">
        <f t="shared" ca="1" si="39"/>
        <v>44963</v>
      </c>
      <c r="AK227" s="342">
        <f t="shared" ca="1" si="40"/>
        <v>467</v>
      </c>
      <c r="AL227" s="342">
        <f t="shared" ca="1" si="41"/>
        <v>353</v>
      </c>
      <c r="AM227" s="284"/>
      <c r="AN227" s="284" t="s">
        <v>1222</v>
      </c>
      <c r="AO227" s="343">
        <v>12.065</v>
      </c>
      <c r="AP227" s="343">
        <v>12.074999999999999</v>
      </c>
      <c r="AQ227" s="343">
        <v>12.099999999999998</v>
      </c>
      <c r="AR227" s="343">
        <v>12.104999999999999</v>
      </c>
      <c r="AS227" s="331">
        <f t="shared" ca="1" si="42"/>
        <v>358</v>
      </c>
      <c r="AV227" s="331" t="s">
        <v>136</v>
      </c>
      <c r="BI227" s="347"/>
    </row>
    <row r="228" spans="1:61" s="331" customFormat="1" ht="18" customHeight="1" x14ac:dyDescent="0.35">
      <c r="A228" s="334"/>
      <c r="B228" s="335" t="e">
        <f ca="1">IF(A228="",(IF(ISNUMBER(SUBSTITUTE(LEFT(RIGHT(E228,LEN(E228)-MIN(SEARCH({1,2,3,4,5,6,7,8,9,0},E228&amp;"1234567890"))+1),10),".","/"))=TRUE,AJ228-(SUBSTITUTE(LEFT(RIGHT(E228,LEN(E228)-MIN(SEARCH({1,2,3,4,5,6,7,8,9,0},E228&amp;"1234567890"))+1),10),".","/")),IF((SUBSTITUTE(LEFT(RIGHT(E228,LEN(E228)-MIN(SEARCH({1,2,3,4,5,6,7,8,9,0},E228&amp;"1234567890"))+1),10),".","/"))="","",(AJ228)-(MID(RIGHT((SUBSTITUTE(LEFT(RIGHT(E228,LEN(E228)-MIN(SEARCH({1,2,3,4,5,6,7,8,9,0},E228&amp;"1234567890"))+1),10),".","/")),10),4,2)&amp;"/"&amp;LEFT((RIGHT((SUBSTITUTE(LEFT(RIGHT(E228,LEN(E228)-MIN(SEARCH({1,2,3,4,5,6,7,8,9,0},E228&amp;"1234567890"))+1),10),".","/")),10)),2)&amp;"/"&amp;RIGHT((SUBSTITUTE(LEFT(RIGHT(E228,LEN(E228)-MIN(SEARCH({1,2,3,4,5,6,7,8,9,0},E228&amp;"1234567890"))+1),10),".","/")),4))))),(AJ228-A228))</f>
        <v>#VALUE!</v>
      </c>
      <c r="C228" s="334"/>
      <c r="D228" s="294" t="str">
        <f t="shared" si="38"/>
        <v>FGC-304L/2B-001X760</v>
      </c>
      <c r="E228" s="294" t="s">
        <v>3673</v>
      </c>
      <c r="F228" s="294" t="s">
        <v>2752</v>
      </c>
      <c r="G228" s="294" t="s">
        <v>4085</v>
      </c>
      <c r="H228" s="294" t="s">
        <v>230</v>
      </c>
      <c r="I228" s="337" t="s">
        <v>116</v>
      </c>
      <c r="J228" s="149">
        <v>2.89</v>
      </c>
      <c r="K228" s="149">
        <v>1</v>
      </c>
      <c r="L228" s="149"/>
      <c r="M228" s="149"/>
      <c r="N228" s="335">
        <v>770</v>
      </c>
      <c r="O228" s="296">
        <v>1.78</v>
      </c>
      <c r="P228" s="345"/>
      <c r="Q228" s="138">
        <v>760</v>
      </c>
      <c r="R228" s="339"/>
      <c r="S228" s="339"/>
      <c r="T228" s="299" t="s">
        <v>3415</v>
      </c>
      <c r="U228" s="282" t="s">
        <v>2987</v>
      </c>
      <c r="V228" s="282"/>
      <c r="W228" s="138" t="s">
        <v>116</v>
      </c>
      <c r="X228" s="340">
        <v>44605</v>
      </c>
      <c r="Y228" s="340">
        <v>44605</v>
      </c>
      <c r="Z228" s="340">
        <v>44610</v>
      </c>
      <c r="AA228" s="340"/>
      <c r="AB228" s="340"/>
      <c r="AC228" s="341"/>
      <c r="AD228" s="342" t="s">
        <v>64</v>
      </c>
      <c r="AE228" s="342" t="s">
        <v>154</v>
      </c>
      <c r="AF228" s="284" t="s">
        <v>1190</v>
      </c>
      <c r="AG228" s="284"/>
      <c r="AH228" s="284">
        <v>44496</v>
      </c>
      <c r="AI228" s="284"/>
      <c r="AJ228" s="334">
        <f t="shared" ca="1" si="39"/>
        <v>44963</v>
      </c>
      <c r="AK228" s="342">
        <f t="shared" ca="1" si="40"/>
        <v>467</v>
      </c>
      <c r="AL228" s="342">
        <f t="shared" ca="1" si="41"/>
        <v>353</v>
      </c>
      <c r="AM228" s="284"/>
      <c r="AN228" s="284" t="s">
        <v>1222</v>
      </c>
      <c r="AO228" s="343">
        <v>12.065</v>
      </c>
      <c r="AP228" s="343">
        <v>12.074999999999999</v>
      </c>
      <c r="AQ228" s="343">
        <v>12.099999999999998</v>
      </c>
      <c r="AR228" s="343">
        <v>12.104999999999999</v>
      </c>
      <c r="AS228" s="331">
        <f t="shared" ca="1" si="42"/>
        <v>358</v>
      </c>
      <c r="AV228" s="331" t="s">
        <v>136</v>
      </c>
      <c r="BI228" s="347"/>
    </row>
    <row r="229" spans="1:61" s="331" customFormat="1" ht="18" customHeight="1" x14ac:dyDescent="0.35">
      <c r="A229" s="334">
        <v>44618</v>
      </c>
      <c r="B229" s="335">
        <f ca="1">IF(A229="",(IF(ISNUMBER(SUBSTITUTE(LEFT(RIGHT(E229,LEN(E229)-MIN(SEARCH({1,2,3,4,5,6,7,8,9,0},E229&amp;"1234567890"))+1),10),".","/"))=TRUE,AJ229-(SUBSTITUTE(LEFT(RIGHT(E229,LEN(E229)-MIN(SEARCH({1,2,3,4,5,6,7,8,9,0},E229&amp;"1234567890"))+1),10),".","/")),IF((SUBSTITUTE(LEFT(RIGHT(E229,LEN(E229)-MIN(SEARCH({1,2,3,4,5,6,7,8,9,0},E229&amp;"1234567890"))+1),10),".","/"))="","",(AJ229)-(MID(RIGHT((SUBSTITUTE(LEFT(RIGHT(E229,LEN(E229)-MIN(SEARCH({1,2,3,4,5,6,7,8,9,0},E229&amp;"1234567890"))+1),10),".","/")),10),4,2)&amp;"/"&amp;LEFT((RIGHT((SUBSTITUTE(LEFT(RIGHT(E229,LEN(E229)-MIN(SEARCH({1,2,3,4,5,6,7,8,9,0},E229&amp;"1234567890"))+1),10),".","/")),10)),2)&amp;"/"&amp;RIGHT((SUBSTITUTE(LEFT(RIGHT(E229,LEN(E229)-MIN(SEARCH({1,2,3,4,5,6,7,8,9,0},E229&amp;"1234567890"))+1),10),".","/")),4))))),(AJ229-A229))</f>
        <v>345</v>
      </c>
      <c r="C229" s="334"/>
      <c r="D229" s="294" t="str">
        <f t="shared" si="38"/>
        <v>FGC-304/2B-001X760</v>
      </c>
      <c r="E229" s="294" t="s">
        <v>3457</v>
      </c>
      <c r="F229" s="294" t="s">
        <v>2879</v>
      </c>
      <c r="G229" s="294" t="s">
        <v>4086</v>
      </c>
      <c r="H229" s="294">
        <v>304</v>
      </c>
      <c r="I229" s="337" t="s">
        <v>116</v>
      </c>
      <c r="J229" s="149">
        <v>3</v>
      </c>
      <c r="K229" s="149">
        <v>1.01</v>
      </c>
      <c r="L229" s="149"/>
      <c r="M229" s="149"/>
      <c r="N229" s="335">
        <v>768</v>
      </c>
      <c r="O229" s="296">
        <f>4.02</f>
        <v>4.0199999999999996</v>
      </c>
      <c r="P229" s="345">
        <v>4.0549999999999997</v>
      </c>
      <c r="Q229" s="138">
        <v>760</v>
      </c>
      <c r="R229" s="339"/>
      <c r="S229" s="339"/>
      <c r="T229" s="299" t="s">
        <v>4087</v>
      </c>
      <c r="U229" s="282" t="s">
        <v>2987</v>
      </c>
      <c r="V229" s="282"/>
      <c r="W229" s="138" t="s">
        <v>116</v>
      </c>
      <c r="X229" s="340">
        <v>44613</v>
      </c>
      <c r="Y229" s="340">
        <v>44614</v>
      </c>
      <c r="Z229" s="340"/>
      <c r="AA229" s="340"/>
      <c r="AB229" s="340"/>
      <c r="AC229" s="341"/>
      <c r="AD229" s="342" t="s">
        <v>64</v>
      </c>
      <c r="AE229" s="342" t="s">
        <v>154</v>
      </c>
      <c r="AF229" s="284" t="s">
        <v>1296</v>
      </c>
      <c r="AG229" s="284"/>
      <c r="AH229" s="284">
        <v>44516</v>
      </c>
      <c r="AI229" s="284"/>
      <c r="AJ229" s="334">
        <f t="shared" ca="1" si="39"/>
        <v>44963</v>
      </c>
      <c r="AK229" s="342">
        <f t="shared" ca="1" si="40"/>
        <v>447</v>
      </c>
      <c r="AL229" s="342" t="str">
        <f t="shared" si="41"/>
        <v/>
      </c>
      <c r="AM229" s="284"/>
      <c r="AN229" s="284" t="s">
        <v>2881</v>
      </c>
      <c r="AO229" s="343">
        <v>10.455</v>
      </c>
      <c r="AP229" s="343">
        <v>10.465</v>
      </c>
      <c r="AQ229" s="343">
        <v>10.489999999999998</v>
      </c>
      <c r="AR229" s="343">
        <v>10.494999999999999</v>
      </c>
      <c r="AS229" s="331">
        <f t="shared" ca="1" si="42"/>
        <v>349</v>
      </c>
      <c r="AV229" s="331" t="s">
        <v>136</v>
      </c>
      <c r="BI229" s="347"/>
    </row>
    <row r="230" spans="1:61" s="331" customFormat="1" ht="18" customHeight="1" x14ac:dyDescent="0.35">
      <c r="A230" s="334"/>
      <c r="B230" s="335" t="e">
        <f ca="1">IF(A230="",(IF(ISNUMBER(SUBSTITUTE(LEFT(RIGHT(E230,LEN(E230)-MIN(SEARCH({1,2,3,4,5,6,7,8,9,0},E230&amp;"1234567890"))+1),10),".","/"))=TRUE,AJ230-(SUBSTITUTE(LEFT(RIGHT(E230,LEN(E230)-MIN(SEARCH({1,2,3,4,5,6,7,8,9,0},E230&amp;"1234567890"))+1),10),".","/")),IF((SUBSTITUTE(LEFT(RIGHT(E230,LEN(E230)-MIN(SEARCH({1,2,3,4,5,6,7,8,9,0},E230&amp;"1234567890"))+1),10),".","/"))="","",(AJ230)-(MID(RIGHT((SUBSTITUTE(LEFT(RIGHT(E230,LEN(E230)-MIN(SEARCH({1,2,3,4,5,6,7,8,9,0},E230&amp;"1234567890"))+1),10),".","/")),10),4,2)&amp;"/"&amp;LEFT((RIGHT((SUBSTITUTE(LEFT(RIGHT(E230,LEN(E230)-MIN(SEARCH({1,2,3,4,5,6,7,8,9,0},E230&amp;"1234567890"))+1),10),".","/")),10)),2)&amp;"/"&amp;RIGHT((SUBSTITUTE(LEFT(RIGHT(E230,LEN(E230)-MIN(SEARCH({1,2,3,4,5,6,7,8,9,0},E230&amp;"1234567890"))+1),10),".","/")),4))))),(AJ230-A230))</f>
        <v>#VALUE!</v>
      </c>
      <c r="C230" s="334"/>
      <c r="D230" s="294" t="str">
        <f>IF(Q230="MULTI","FGM","FGC")&amp;"-"&amp;H230&amp;"/"&amp;I230&amp;"-"&amp;TEXT(K230,"0.00")&amp;"X"&amp;IF(Q230="MULTI",N230,Q230)</f>
        <v>FGC-304L/2B-001X760</v>
      </c>
      <c r="E230" s="294" t="s">
        <v>3477</v>
      </c>
      <c r="F230" s="294" t="s">
        <v>2938</v>
      </c>
      <c r="G230" s="294" t="s">
        <v>4088</v>
      </c>
      <c r="H230" s="294" t="s">
        <v>230</v>
      </c>
      <c r="I230" s="337" t="s">
        <v>116</v>
      </c>
      <c r="J230" s="149">
        <v>3</v>
      </c>
      <c r="K230" s="149">
        <v>0.8</v>
      </c>
      <c r="L230" s="149">
        <v>0.78</v>
      </c>
      <c r="M230" s="149">
        <v>0.79</v>
      </c>
      <c r="N230" s="335">
        <v>768</v>
      </c>
      <c r="O230" s="296">
        <f>5.16</f>
        <v>5.16</v>
      </c>
      <c r="P230" s="345"/>
      <c r="Q230" s="138">
        <v>760</v>
      </c>
      <c r="R230" s="339"/>
      <c r="S230" s="339"/>
      <c r="T230" s="299" t="s">
        <v>3410</v>
      </c>
      <c r="U230" s="282" t="s">
        <v>2987</v>
      </c>
      <c r="V230" s="282"/>
      <c r="W230" s="138" t="s">
        <v>116</v>
      </c>
      <c r="X230" s="340">
        <v>44616</v>
      </c>
      <c r="Y230" s="340">
        <v>44617</v>
      </c>
      <c r="Z230" s="340"/>
      <c r="AA230" s="340"/>
      <c r="AB230" s="340"/>
      <c r="AC230" s="341"/>
      <c r="AD230" s="342" t="s">
        <v>64</v>
      </c>
      <c r="AE230" s="342" t="s">
        <v>154</v>
      </c>
      <c r="AF230" s="284" t="s">
        <v>1330</v>
      </c>
      <c r="AG230" s="284"/>
      <c r="AH230" s="284">
        <v>44516</v>
      </c>
      <c r="AI230" s="284"/>
      <c r="AJ230" s="334">
        <f ca="1">TODAY()</f>
        <v>44963</v>
      </c>
      <c r="AK230" s="342">
        <f ca="1">IF(AH230&lt;&gt;0,AJ230-AH230,0)</f>
        <v>447</v>
      </c>
      <c r="AL230" s="342" t="str">
        <f>IF(ISNUMBER(Z230)=TRUE,AJ230-Z230,IF(Z230="","",(AJ230)-(MID(RIGHT(Z230,10),4,2)&amp;"/"&amp;LEFT((RIGHT(Z230,10)),2)&amp;"/"&amp;RIGHT(Z230,4))))</f>
        <v/>
      </c>
      <c r="AM230" s="284"/>
      <c r="AN230" s="284" t="s">
        <v>2858</v>
      </c>
      <c r="AO230" s="343">
        <v>10.205</v>
      </c>
      <c r="AP230" s="343">
        <v>10.215</v>
      </c>
      <c r="AQ230" s="343">
        <v>10.239999999999998</v>
      </c>
      <c r="AR230" s="343">
        <v>10.244999999999999</v>
      </c>
      <c r="AS230" s="331">
        <f ca="1">IF(ISNUMBER(Y230)=TRUE,AJ230-Y230,IF(Y230="","",(AJ230)-(MID(RIGHT(Y230,10),4,2)&amp;"/"&amp;LEFT((RIGHT(Y230,10)),2)&amp;"/"&amp;RIGHT(Y230,4))))</f>
        <v>346</v>
      </c>
      <c r="AV230" s="331" t="s">
        <v>136</v>
      </c>
      <c r="BI230" s="347"/>
    </row>
    <row r="231" spans="1:61" s="331" customFormat="1" ht="18" customHeight="1" x14ac:dyDescent="0.35">
      <c r="A231" s="334"/>
      <c r="B231" s="335" t="e">
        <f ca="1">IF(A231="",(IF(ISNUMBER(SUBSTITUTE(LEFT(RIGHT(E231,LEN(E231)-MIN(SEARCH({1,2,3,4,5,6,7,8,9,0},E231&amp;"1234567890"))+1),10),".","/"))=TRUE,AJ231-(SUBSTITUTE(LEFT(RIGHT(E231,LEN(E231)-MIN(SEARCH({1,2,3,4,5,6,7,8,9,0},E231&amp;"1234567890"))+1),10),".","/")),IF((SUBSTITUTE(LEFT(RIGHT(E231,LEN(E231)-MIN(SEARCH({1,2,3,4,5,6,7,8,9,0},E231&amp;"1234567890"))+1),10),".","/"))="","",(AJ231)-(MID(RIGHT((SUBSTITUTE(LEFT(RIGHT(E231,LEN(E231)-MIN(SEARCH({1,2,3,4,5,6,7,8,9,0},E231&amp;"1234567890"))+1),10),".","/")),10),4,2)&amp;"/"&amp;LEFT((RIGHT((SUBSTITUTE(LEFT(RIGHT(E231,LEN(E231)-MIN(SEARCH({1,2,3,4,5,6,7,8,9,0},E231&amp;"1234567890"))+1),10),".","/")),10)),2)&amp;"/"&amp;RIGHT((SUBSTITUTE(LEFT(RIGHT(E231,LEN(E231)-MIN(SEARCH({1,2,3,4,5,6,7,8,9,0},E231&amp;"1234567890"))+1),10),".","/")),4))))),(AJ231-A231))</f>
        <v>#VALUE!</v>
      </c>
      <c r="C231" s="334"/>
      <c r="D231" s="294" t="str">
        <f>IF(Q231="MULTI","FGM","FGC")&amp;"-"&amp;H231&amp;"/"&amp;I231&amp;"-"&amp;TEXT(K231,"0.00")&amp;"X"&amp;IF(Q231="MULTI",N231,Q231)</f>
        <v>FGC-304L/2B-001X760</v>
      </c>
      <c r="E231" s="294" t="s">
        <v>3477</v>
      </c>
      <c r="F231" s="294" t="s">
        <v>2938</v>
      </c>
      <c r="G231" s="294" t="s">
        <v>4089</v>
      </c>
      <c r="H231" s="294" t="s">
        <v>230</v>
      </c>
      <c r="I231" s="337" t="s">
        <v>116</v>
      </c>
      <c r="J231" s="149">
        <v>3</v>
      </c>
      <c r="K231" s="149">
        <v>0.8</v>
      </c>
      <c r="L231" s="149">
        <v>0.78</v>
      </c>
      <c r="M231" s="149">
        <v>0.79</v>
      </c>
      <c r="N231" s="335">
        <v>768</v>
      </c>
      <c r="O231" s="296">
        <v>5.0149999999999997</v>
      </c>
      <c r="P231" s="345"/>
      <c r="Q231" s="138">
        <v>760</v>
      </c>
      <c r="R231" s="339"/>
      <c r="S231" s="339"/>
      <c r="T231" s="299" t="s">
        <v>3410</v>
      </c>
      <c r="U231" s="282" t="s">
        <v>2987</v>
      </c>
      <c r="V231" s="282"/>
      <c r="W231" s="138" t="s">
        <v>116</v>
      </c>
      <c r="X231" s="340">
        <v>44616</v>
      </c>
      <c r="Y231" s="340">
        <v>44617</v>
      </c>
      <c r="Z231" s="340"/>
      <c r="AA231" s="340"/>
      <c r="AB231" s="340"/>
      <c r="AC231" s="341"/>
      <c r="AD231" s="342" t="s">
        <v>64</v>
      </c>
      <c r="AE231" s="342" t="s">
        <v>154</v>
      </c>
      <c r="AF231" s="284" t="s">
        <v>1330</v>
      </c>
      <c r="AG231" s="284"/>
      <c r="AH231" s="284">
        <v>44516</v>
      </c>
      <c r="AI231" s="284"/>
      <c r="AJ231" s="334">
        <f ca="1">TODAY()</f>
        <v>44963</v>
      </c>
      <c r="AK231" s="342">
        <f ca="1">IF(AH231&lt;&gt;0,AJ231-AH231,0)</f>
        <v>447</v>
      </c>
      <c r="AL231" s="342" t="str">
        <f>IF(ISNUMBER(Z231)=TRUE,AJ231-Z231,IF(Z231="","",(AJ231)-(MID(RIGHT(Z231,10),4,2)&amp;"/"&amp;LEFT((RIGHT(Z231,10)),2)&amp;"/"&amp;RIGHT(Z231,4))))</f>
        <v/>
      </c>
      <c r="AM231" s="284"/>
      <c r="AN231" s="284" t="s">
        <v>2858</v>
      </c>
      <c r="AO231" s="343">
        <v>10.205</v>
      </c>
      <c r="AP231" s="343">
        <v>10.215</v>
      </c>
      <c r="AQ231" s="343">
        <v>10.239999999999998</v>
      </c>
      <c r="AR231" s="343">
        <v>10.244999999999999</v>
      </c>
      <c r="AS231" s="331">
        <f ca="1">IF(ISNUMBER(Y231)=TRUE,AJ231-Y231,IF(Y231="","",(AJ231)-(MID(RIGHT(Y231,10),4,2)&amp;"/"&amp;LEFT((RIGHT(Y231,10)),2)&amp;"/"&amp;RIGHT(Y231,4))))</f>
        <v>346</v>
      </c>
      <c r="AV231" s="331" t="s">
        <v>136</v>
      </c>
      <c r="BI231" s="347"/>
    </row>
    <row r="232" spans="1:61" s="331" customFormat="1" ht="18" customHeight="1" x14ac:dyDescent="0.35">
      <c r="A232" s="334"/>
      <c r="B232" s="335" t="e">
        <f ca="1">IF(A232="",(IF(ISNUMBER(SUBSTITUTE(LEFT(RIGHT(E232,LEN(E232)-MIN(SEARCH({1,2,3,4,5,6,7,8,9,0},E232&amp;"1234567890"))+1),10),".","/"))=TRUE,AJ232-(SUBSTITUTE(LEFT(RIGHT(E232,LEN(E232)-MIN(SEARCH({1,2,3,4,5,6,7,8,9,0},E232&amp;"1234567890"))+1),10),".","/")),IF((SUBSTITUTE(LEFT(RIGHT(E232,LEN(E232)-MIN(SEARCH({1,2,3,4,5,6,7,8,9,0},E232&amp;"1234567890"))+1),10),".","/"))="","",(AJ232)-(MID(RIGHT((SUBSTITUTE(LEFT(RIGHT(E232,LEN(E232)-MIN(SEARCH({1,2,3,4,5,6,7,8,9,0},E232&amp;"1234567890"))+1),10),".","/")),10),4,2)&amp;"/"&amp;LEFT((RIGHT((SUBSTITUTE(LEFT(RIGHT(E232,LEN(E232)-MIN(SEARCH({1,2,3,4,5,6,7,8,9,0},E232&amp;"1234567890"))+1),10),".","/")),10)),2)&amp;"/"&amp;RIGHT((SUBSTITUTE(LEFT(RIGHT(E232,LEN(E232)-MIN(SEARCH({1,2,3,4,5,6,7,8,9,0},E232&amp;"1234567890"))+1),10),".","/")),4))))),(AJ232-A232))</f>
        <v>#VALUE!</v>
      </c>
      <c r="C232" s="334"/>
      <c r="D232" s="294" t="str">
        <f>IF(Q232="MULTI","FGM","FGC")&amp;"-"&amp;H232&amp;"/"&amp;I232&amp;"-"&amp;TEXT(K232,"0.00")&amp;"X"&amp;IF(Q232="MULTI",N232,Q232)</f>
        <v>FGC-304L/2B-001X760</v>
      </c>
      <c r="E232" s="294" t="s">
        <v>3477</v>
      </c>
      <c r="F232" s="294" t="s">
        <v>2963</v>
      </c>
      <c r="G232" s="294" t="s">
        <v>4090</v>
      </c>
      <c r="H232" s="294" t="s">
        <v>230</v>
      </c>
      <c r="I232" s="337" t="s">
        <v>116</v>
      </c>
      <c r="J232" s="149">
        <v>2.89</v>
      </c>
      <c r="K232" s="149">
        <v>0.9</v>
      </c>
      <c r="L232" s="149">
        <v>0.89</v>
      </c>
      <c r="M232" s="149">
        <v>0.91</v>
      </c>
      <c r="N232" s="335">
        <v>770</v>
      </c>
      <c r="O232" s="296">
        <f>4.035</f>
        <v>4.0350000000000001</v>
      </c>
      <c r="P232" s="345"/>
      <c r="Q232" s="138">
        <v>760</v>
      </c>
      <c r="R232" s="339"/>
      <c r="S232" s="339"/>
      <c r="T232" s="299" t="s">
        <v>3410</v>
      </c>
      <c r="U232" s="282" t="s">
        <v>3016</v>
      </c>
      <c r="V232" s="282"/>
      <c r="W232" s="138" t="s">
        <v>116</v>
      </c>
      <c r="X232" s="340">
        <v>44617</v>
      </c>
      <c r="Y232" s="340">
        <v>44617</v>
      </c>
      <c r="Z232" s="340"/>
      <c r="AA232" s="340"/>
      <c r="AB232" s="340"/>
      <c r="AC232" s="341"/>
      <c r="AD232" s="342" t="s">
        <v>64</v>
      </c>
      <c r="AE232" s="342" t="s">
        <v>154</v>
      </c>
      <c r="AF232" s="284" t="s">
        <v>1190</v>
      </c>
      <c r="AG232" s="284"/>
      <c r="AH232" s="284">
        <v>44496</v>
      </c>
      <c r="AI232" s="284"/>
      <c r="AJ232" s="334">
        <f ca="1">TODAY()</f>
        <v>44963</v>
      </c>
      <c r="AK232" s="342">
        <f ca="1">IF(AH232&lt;&gt;0,AJ232-AH232,0)</f>
        <v>467</v>
      </c>
      <c r="AL232" s="342" t="str">
        <f>IF(ISNUMBER(Z232)=TRUE,AJ232-Z232,IF(Z232="","",(AJ232)-(MID(RIGHT(Z232,10),4,2)&amp;"/"&amp;LEFT((RIGHT(Z232,10)),2)&amp;"/"&amp;RIGHT(Z232,4))))</f>
        <v/>
      </c>
      <c r="AM232" s="284"/>
      <c r="AN232" s="284" t="s">
        <v>2965</v>
      </c>
      <c r="AO232" s="343">
        <v>8</v>
      </c>
      <c r="AP232" s="343">
        <v>8.01</v>
      </c>
      <c r="AQ232" s="343">
        <v>8.0349999999999984</v>
      </c>
      <c r="AR232" s="343">
        <v>8.0399999999999991</v>
      </c>
      <c r="AS232" s="331">
        <f ca="1">IF(ISNUMBER(Y232)=TRUE,AJ232-Y232,IF(Y232="","",(AJ232)-(MID(RIGHT(Y232,10),4,2)&amp;"/"&amp;LEFT((RIGHT(Y232,10)),2)&amp;"/"&amp;RIGHT(Y232,4))))</f>
        <v>346</v>
      </c>
      <c r="AV232" s="331" t="s">
        <v>136</v>
      </c>
      <c r="BI232" s="347"/>
    </row>
    <row r="233" spans="1:61" s="331" customFormat="1" ht="18" customHeight="1" x14ac:dyDescent="0.35">
      <c r="A233" s="334"/>
      <c r="B233" s="335" t="e">
        <f ca="1">IF(A233="",(IF(ISNUMBER(SUBSTITUTE(LEFT(RIGHT(E233,LEN(E233)-MIN(SEARCH({1,2,3,4,5,6,7,8,9,0},E233&amp;"1234567890"))+1),10),".","/"))=TRUE,AJ233-(SUBSTITUTE(LEFT(RIGHT(E233,LEN(E233)-MIN(SEARCH({1,2,3,4,5,6,7,8,9,0},E233&amp;"1234567890"))+1),10),".","/")),IF((SUBSTITUTE(LEFT(RIGHT(E233,LEN(E233)-MIN(SEARCH({1,2,3,4,5,6,7,8,9,0},E233&amp;"1234567890"))+1),10),".","/"))="","",(AJ233)-(MID(RIGHT((SUBSTITUTE(LEFT(RIGHT(E233,LEN(E233)-MIN(SEARCH({1,2,3,4,5,6,7,8,9,0},E233&amp;"1234567890"))+1),10),".","/")),10),4,2)&amp;"/"&amp;LEFT((RIGHT((SUBSTITUTE(LEFT(RIGHT(E233,LEN(E233)-MIN(SEARCH({1,2,3,4,5,6,7,8,9,0},E233&amp;"1234567890"))+1),10),".","/")),10)),2)&amp;"/"&amp;RIGHT((SUBSTITUTE(LEFT(RIGHT(E233,LEN(E233)-MIN(SEARCH({1,2,3,4,5,6,7,8,9,0},E233&amp;"1234567890"))+1),10),".","/")),4))))),(AJ233-A233))</f>
        <v>#VALUE!</v>
      </c>
      <c r="C233" s="334"/>
      <c r="D233" s="294" t="str">
        <f>IF(Q233="MULTI","FGM","FGC")&amp;"-"&amp;H233&amp;"/"&amp;I233&amp;"-"&amp;TEXT(K233,"0.00")&amp;"X"&amp;IF(Q233="MULTI",N233,Q233)</f>
        <v>FGC-304L/2B-001X760</v>
      </c>
      <c r="E233" s="294" t="s">
        <v>3477</v>
      </c>
      <c r="F233" s="294" t="s">
        <v>2963</v>
      </c>
      <c r="G233" s="294" t="s">
        <v>4091</v>
      </c>
      <c r="H233" s="294" t="s">
        <v>230</v>
      </c>
      <c r="I233" s="337" t="s">
        <v>116</v>
      </c>
      <c r="J233" s="149">
        <v>2.89</v>
      </c>
      <c r="K233" s="149">
        <v>0.9</v>
      </c>
      <c r="L233" s="149">
        <v>0.89</v>
      </c>
      <c r="M233" s="149">
        <v>0.91</v>
      </c>
      <c r="N233" s="335">
        <v>770</v>
      </c>
      <c r="O233" s="296">
        <v>3.94</v>
      </c>
      <c r="P233" s="345"/>
      <c r="Q233" s="138">
        <v>760</v>
      </c>
      <c r="R233" s="339"/>
      <c r="S233" s="339"/>
      <c r="T233" s="299" t="s">
        <v>3410</v>
      </c>
      <c r="U233" s="282" t="s">
        <v>3016</v>
      </c>
      <c r="V233" s="282"/>
      <c r="W233" s="138" t="s">
        <v>116</v>
      </c>
      <c r="X233" s="340">
        <v>44617</v>
      </c>
      <c r="Y233" s="340">
        <v>44617</v>
      </c>
      <c r="Z233" s="340"/>
      <c r="AA233" s="340"/>
      <c r="AB233" s="340"/>
      <c r="AC233" s="341"/>
      <c r="AD233" s="342" t="s">
        <v>64</v>
      </c>
      <c r="AE233" s="342" t="s">
        <v>154</v>
      </c>
      <c r="AF233" s="284" t="s">
        <v>1190</v>
      </c>
      <c r="AG233" s="284"/>
      <c r="AH233" s="284">
        <v>44496</v>
      </c>
      <c r="AI233" s="284"/>
      <c r="AJ233" s="334">
        <f ca="1">TODAY()</f>
        <v>44963</v>
      </c>
      <c r="AK233" s="342">
        <f ca="1">IF(AH233&lt;&gt;0,AJ233-AH233,0)</f>
        <v>467</v>
      </c>
      <c r="AL233" s="342" t="str">
        <f>IF(ISNUMBER(Z233)=TRUE,AJ233-Z233,IF(Z233="","",(AJ233)-(MID(RIGHT(Z233,10),4,2)&amp;"/"&amp;LEFT((RIGHT(Z233,10)),2)&amp;"/"&amp;RIGHT(Z233,4))))</f>
        <v/>
      </c>
      <c r="AM233" s="284"/>
      <c r="AN233" s="284" t="s">
        <v>2965</v>
      </c>
      <c r="AO233" s="343">
        <v>8</v>
      </c>
      <c r="AP233" s="343">
        <v>8.01</v>
      </c>
      <c r="AQ233" s="343">
        <v>8.0349999999999984</v>
      </c>
      <c r="AR233" s="343">
        <v>8.0399999999999991</v>
      </c>
      <c r="AS233" s="331">
        <f ca="1">IF(ISNUMBER(Y233)=TRUE,AJ233-Y233,IF(Y233="","",(AJ233)-(MID(RIGHT(Y233,10),4,2)&amp;"/"&amp;LEFT((RIGHT(Y233,10)),2)&amp;"/"&amp;RIGHT(Y233,4))))</f>
        <v>346</v>
      </c>
      <c r="AV233" s="331" t="s">
        <v>136</v>
      </c>
      <c r="BI233" s="347"/>
    </row>
    <row r="234" spans="1:61" s="331" customFormat="1" ht="18" customHeight="1" x14ac:dyDescent="0.35">
      <c r="A234" s="320"/>
      <c r="B234" s="319"/>
      <c r="C234" s="320"/>
      <c r="D234" s="302"/>
      <c r="E234" s="302"/>
      <c r="F234" s="302"/>
      <c r="G234" s="302"/>
      <c r="H234" s="302"/>
      <c r="I234" s="260"/>
      <c r="J234" s="321"/>
      <c r="K234" s="321"/>
      <c r="L234" s="321"/>
      <c r="M234" s="321"/>
      <c r="N234" s="319"/>
      <c r="O234" s="322">
        <f>SUM(O223:O233)</f>
        <v>48.269999999999996</v>
      </c>
      <c r="P234" s="323"/>
      <c r="Q234" s="301"/>
      <c r="R234" s="301"/>
      <c r="S234" s="326"/>
      <c r="T234" s="327"/>
      <c r="U234" s="328"/>
      <c r="V234" s="328"/>
      <c r="W234" s="301"/>
      <c r="X234" s="329"/>
      <c r="Y234" s="329"/>
      <c r="Z234" s="329"/>
      <c r="AA234" s="329"/>
      <c r="AB234" s="329"/>
      <c r="AC234" s="330"/>
      <c r="AF234" s="332"/>
      <c r="AG234" s="332"/>
      <c r="AH234" s="332"/>
      <c r="AI234" s="332"/>
      <c r="AJ234" s="320"/>
      <c r="AM234" s="332"/>
      <c r="AN234" s="332"/>
      <c r="AO234" s="333"/>
      <c r="AP234" s="333"/>
      <c r="AQ234" s="333"/>
      <c r="AR234" s="333"/>
      <c r="BI234" s="368"/>
    </row>
    <row r="235" spans="1:61" s="331" customFormat="1" ht="18" customHeight="1" x14ac:dyDescent="0.35">
      <c r="A235" s="320"/>
      <c r="B235" s="319"/>
      <c r="C235" s="320"/>
      <c r="D235" s="302"/>
      <c r="E235" s="302"/>
      <c r="F235" s="302"/>
      <c r="G235" s="302"/>
      <c r="H235" s="302"/>
      <c r="I235" s="260"/>
      <c r="J235" s="321"/>
      <c r="K235" s="321"/>
      <c r="L235" s="321"/>
      <c r="M235" s="321"/>
      <c r="N235" s="319"/>
      <c r="O235" s="322"/>
      <c r="P235" s="323"/>
      <c r="Q235" s="301"/>
      <c r="R235" s="301"/>
      <c r="S235" s="326"/>
      <c r="T235" s="327"/>
      <c r="U235" s="328"/>
      <c r="V235" s="328"/>
      <c r="W235" s="301"/>
      <c r="X235" s="329"/>
      <c r="Y235" s="329"/>
      <c r="Z235" s="329"/>
      <c r="AA235" s="329"/>
      <c r="AB235" s="329"/>
      <c r="AC235" s="330"/>
      <c r="AF235" s="332"/>
      <c r="AG235" s="332"/>
      <c r="AH235" s="332"/>
      <c r="AI235" s="332"/>
      <c r="AJ235" s="320"/>
      <c r="AM235" s="332"/>
      <c r="AN235" s="332"/>
      <c r="AO235" s="333"/>
      <c r="AP235" s="333"/>
      <c r="AQ235" s="333"/>
      <c r="AR235" s="333"/>
      <c r="BI235" s="368"/>
    </row>
    <row r="236" spans="1:61" s="331" customFormat="1" ht="18" customHeight="1" x14ac:dyDescent="0.35">
      <c r="A236" s="371" t="s">
        <v>1370</v>
      </c>
      <c r="B236" s="319"/>
      <c r="C236" s="320"/>
      <c r="D236" s="302"/>
      <c r="E236" s="302"/>
      <c r="F236" s="302"/>
      <c r="G236" s="302"/>
      <c r="H236" s="302"/>
      <c r="I236" s="260"/>
      <c r="J236" s="321"/>
      <c r="K236" s="321"/>
      <c r="L236" s="321"/>
      <c r="M236" s="321"/>
      <c r="N236" s="319"/>
      <c r="O236" s="322"/>
      <c r="P236" s="323"/>
      <c r="Q236" s="301"/>
      <c r="R236" s="301"/>
      <c r="S236" s="326"/>
      <c r="T236" s="327"/>
      <c r="U236" s="328"/>
      <c r="V236" s="328"/>
      <c r="W236" s="301"/>
      <c r="X236" s="329"/>
      <c r="Y236" s="329"/>
      <c r="Z236" s="329"/>
      <c r="AA236" s="329"/>
      <c r="AB236" s="329"/>
      <c r="AC236" s="330"/>
      <c r="AF236" s="332"/>
      <c r="AG236" s="332"/>
      <c r="AH236" s="332"/>
      <c r="AI236" s="332"/>
      <c r="AJ236" s="320"/>
      <c r="AM236" s="332"/>
      <c r="AN236" s="332"/>
      <c r="AO236" s="333"/>
      <c r="AP236" s="333"/>
      <c r="AQ236" s="333"/>
      <c r="AR236" s="333"/>
      <c r="BI236" s="368"/>
    </row>
    <row r="237" spans="1:61" s="331" customFormat="1" ht="18" customHeight="1" x14ac:dyDescent="0.35">
      <c r="A237" s="334"/>
      <c r="B237" s="335" t="e">
        <f ca="1">IF(A237="",(IF(ISNUMBER(SUBSTITUTE(LEFT(RIGHT(E237,LEN(E237)-MIN(SEARCH({1,2,3,4,5,6,7,8,9,0},E237&amp;"1234567890"))+1),10),".","/"))=TRUE,AJ237-(SUBSTITUTE(LEFT(RIGHT(E237,LEN(E237)-MIN(SEARCH({1,2,3,4,5,6,7,8,9,0},E237&amp;"1234567890"))+1),10),".","/")),IF((SUBSTITUTE(LEFT(RIGHT(E237,LEN(E237)-MIN(SEARCH({1,2,3,4,5,6,7,8,9,0},E237&amp;"1234567890"))+1),10),".","/"))="","",(AJ237)-(MID(RIGHT((SUBSTITUTE(LEFT(RIGHT(E237,LEN(E237)-MIN(SEARCH({1,2,3,4,5,6,7,8,9,0},E237&amp;"1234567890"))+1),10),".","/")),10),4,2)&amp;"/"&amp;LEFT((RIGHT((SUBSTITUTE(LEFT(RIGHT(E237,LEN(E237)-MIN(SEARCH({1,2,3,4,5,6,7,8,9,0},E237&amp;"1234567890"))+1),10),".","/")),10)),2)&amp;"/"&amp;RIGHT((SUBSTITUTE(LEFT(RIGHT(E237,LEN(E237)-MIN(SEARCH({1,2,3,4,5,6,7,8,9,0},E237&amp;"1234567890"))+1),10),".","/")),4))))),(AJ237-A237))</f>
        <v>#VALUE!</v>
      </c>
      <c r="C237" s="334"/>
      <c r="D237" s="294" t="str">
        <f>IF(Q237="MULTI","FGM","FGC")&amp;"-"&amp;H237&amp;"/"&amp;I237&amp;"-"&amp;TEXT(K237,"0.00")&amp;"X"&amp;IF(Q237="MULTI",N237,Q237)</f>
        <v>FGC-304L/2B-001X760</v>
      </c>
      <c r="E237" s="294" t="s">
        <v>3483</v>
      </c>
      <c r="F237" s="294" t="s">
        <v>1368</v>
      </c>
      <c r="G237" s="294" t="s">
        <v>1369</v>
      </c>
      <c r="H237" s="294" t="s">
        <v>230</v>
      </c>
      <c r="I237" s="337" t="s">
        <v>116</v>
      </c>
      <c r="J237" s="149">
        <v>2.99</v>
      </c>
      <c r="K237" s="149">
        <v>1</v>
      </c>
      <c r="L237" s="149"/>
      <c r="M237" s="149"/>
      <c r="N237" s="335">
        <v>768</v>
      </c>
      <c r="O237" s="296">
        <v>5.2450000000000001</v>
      </c>
      <c r="P237" s="345"/>
      <c r="Q237" s="138">
        <v>760</v>
      </c>
      <c r="R237" s="339"/>
      <c r="S237" s="339"/>
      <c r="T237" s="299" t="s">
        <v>3484</v>
      </c>
      <c r="U237" s="282" t="s">
        <v>1370</v>
      </c>
      <c r="V237" s="282"/>
      <c r="W237" s="138" t="s">
        <v>116</v>
      </c>
      <c r="X237" s="340">
        <v>44620</v>
      </c>
      <c r="Y237" s="340">
        <v>44620</v>
      </c>
      <c r="Z237" s="340"/>
      <c r="AA237" s="340"/>
      <c r="AB237" s="340"/>
      <c r="AC237" s="341" t="s">
        <v>1366</v>
      </c>
      <c r="AD237" s="342" t="s">
        <v>64</v>
      </c>
      <c r="AE237" s="342" t="s">
        <v>154</v>
      </c>
      <c r="AF237" s="284" t="s">
        <v>1330</v>
      </c>
      <c r="AG237" s="284"/>
      <c r="AH237" s="284">
        <v>44554</v>
      </c>
      <c r="AI237" s="284"/>
      <c r="AJ237" s="334">
        <f ca="1">TODAY()</f>
        <v>44963</v>
      </c>
      <c r="AK237" s="342">
        <f ca="1">IF(AH237&lt;&gt;0,AJ237-AH237,0)</f>
        <v>409</v>
      </c>
      <c r="AL237" s="342" t="str">
        <f>IF(ISNUMBER(Z237)=TRUE,AJ237-Z237,IF(Z237="","",(AJ237)-(MID(RIGHT(Z237,10),4,2)&amp;"/"&amp;LEFT((RIGHT(Z237,10)),2)&amp;"/"&amp;RIGHT(Z237,4))))</f>
        <v/>
      </c>
      <c r="AM237" s="284"/>
      <c r="AN237" s="284" t="s">
        <v>1371</v>
      </c>
      <c r="AO237" s="343">
        <v>10.375</v>
      </c>
      <c r="AP237" s="343">
        <v>10.385</v>
      </c>
      <c r="AQ237" s="343">
        <v>10.409999999999998</v>
      </c>
      <c r="AR237" s="343">
        <v>10.414999999999999</v>
      </c>
      <c r="AS237" s="331">
        <f ca="1">IF(ISNUMBER(Y237)=TRUE,AJ237-Y237,IF(Y237="","",(AJ237)-(MID(RIGHT(Y237,10),4,2)&amp;"/"&amp;LEFT((RIGHT(Y237,10)),2)&amp;"/"&amp;RIGHT(Y237,4))))</f>
        <v>343</v>
      </c>
      <c r="AV237" s="331" t="s">
        <v>136</v>
      </c>
      <c r="BI237" s="347"/>
    </row>
    <row r="238" spans="1:61" s="331" customFormat="1" ht="18" customHeight="1" x14ac:dyDescent="0.35">
      <c r="A238" s="320"/>
      <c r="B238" s="319"/>
      <c r="C238" s="320"/>
      <c r="D238" s="302"/>
      <c r="E238" s="302"/>
      <c r="F238" s="302"/>
      <c r="G238" s="302"/>
      <c r="H238" s="302"/>
      <c r="I238" s="260"/>
      <c r="J238" s="321"/>
      <c r="K238" s="321"/>
      <c r="L238" s="321"/>
      <c r="M238" s="321"/>
      <c r="N238" s="319"/>
      <c r="O238" s="322">
        <f>SUM(O237)</f>
        <v>5.2450000000000001</v>
      </c>
      <c r="P238" s="323"/>
      <c r="Q238" s="301"/>
      <c r="R238" s="301"/>
      <c r="S238" s="326"/>
      <c r="T238" s="370"/>
      <c r="U238" s="328"/>
      <c r="V238" s="328"/>
      <c r="W238" s="301"/>
      <c r="X238" s="329"/>
      <c r="Y238" s="329"/>
      <c r="Z238" s="329"/>
      <c r="AA238" s="329"/>
      <c r="AB238" s="329"/>
      <c r="AC238" s="330"/>
      <c r="AF238" s="332"/>
      <c r="AG238" s="332"/>
      <c r="AH238" s="332"/>
      <c r="AI238" s="332"/>
      <c r="AJ238" s="320"/>
      <c r="AM238" s="332"/>
      <c r="AN238" s="332"/>
      <c r="AO238" s="333"/>
      <c r="AP238" s="333"/>
      <c r="AQ238" s="333"/>
      <c r="AR238" s="333"/>
    </row>
    <row r="239" spans="1:61" s="331" customFormat="1" ht="18" customHeight="1" x14ac:dyDescent="0.35">
      <c r="A239" s="320"/>
      <c r="B239" s="319"/>
      <c r="C239" s="320"/>
      <c r="D239" s="302"/>
      <c r="E239" s="302"/>
      <c r="F239" s="302"/>
      <c r="G239" s="302"/>
      <c r="H239" s="302"/>
      <c r="I239" s="260"/>
      <c r="J239" s="321"/>
      <c r="K239" s="321"/>
      <c r="L239" s="321"/>
      <c r="M239" s="321"/>
      <c r="N239" s="319"/>
      <c r="O239" s="322"/>
      <c r="P239" s="323"/>
      <c r="Q239" s="301"/>
      <c r="R239" s="301"/>
      <c r="S239" s="326"/>
      <c r="T239" s="370"/>
      <c r="U239" s="328"/>
      <c r="V239" s="328"/>
      <c r="W239" s="301"/>
      <c r="X239" s="329"/>
      <c r="Y239" s="329"/>
      <c r="Z239" s="329"/>
      <c r="AA239" s="329"/>
      <c r="AB239" s="329"/>
      <c r="AC239" s="330"/>
      <c r="AF239" s="332"/>
      <c r="AG239" s="332"/>
      <c r="AH239" s="332"/>
      <c r="AI239" s="332"/>
      <c r="AJ239" s="320"/>
      <c r="AM239" s="332"/>
      <c r="AN239" s="332"/>
      <c r="AO239" s="333"/>
      <c r="AP239" s="333"/>
      <c r="AQ239" s="333"/>
      <c r="AR239" s="333"/>
    </row>
    <row r="240" spans="1:61" s="331" customFormat="1" ht="18" customHeight="1" x14ac:dyDescent="0.35">
      <c r="A240" s="320"/>
      <c r="B240" s="319"/>
      <c r="C240" s="320"/>
      <c r="D240" s="302"/>
      <c r="E240" s="302"/>
      <c r="F240" s="302"/>
      <c r="G240" s="302"/>
      <c r="H240" s="302"/>
      <c r="I240" s="260"/>
      <c r="J240" s="321"/>
      <c r="K240" s="321"/>
      <c r="L240" s="321"/>
      <c r="M240" s="321"/>
      <c r="N240" s="319"/>
      <c r="O240" s="322"/>
      <c r="P240" s="323"/>
      <c r="Q240" s="301"/>
      <c r="R240" s="301"/>
      <c r="S240" s="326"/>
      <c r="T240" s="370"/>
      <c r="U240" s="328"/>
      <c r="V240" s="328"/>
      <c r="W240" s="301"/>
      <c r="X240" s="329"/>
      <c r="Y240" s="329"/>
      <c r="Z240" s="329"/>
      <c r="AA240" s="329"/>
      <c r="AB240" s="329"/>
      <c r="AC240" s="330"/>
      <c r="AF240" s="332"/>
      <c r="AG240" s="332"/>
      <c r="AH240" s="332"/>
      <c r="AI240" s="332"/>
      <c r="AJ240" s="320"/>
      <c r="AM240" s="332"/>
      <c r="AN240" s="332"/>
      <c r="AO240" s="333"/>
      <c r="AP240" s="333"/>
      <c r="AQ240" s="333"/>
      <c r="AR240" s="333"/>
    </row>
    <row r="241" spans="1:61" s="331" customFormat="1" ht="18" customHeight="1" x14ac:dyDescent="0.35">
      <c r="A241" s="320"/>
      <c r="B241" s="319"/>
      <c r="C241" s="320"/>
      <c r="D241" s="302"/>
      <c r="E241" s="302"/>
      <c r="F241" s="302"/>
      <c r="G241" s="302"/>
      <c r="H241" s="302"/>
      <c r="I241" s="260"/>
      <c r="J241" s="321"/>
      <c r="K241" s="321"/>
      <c r="L241" s="321"/>
      <c r="M241" s="321"/>
      <c r="N241" s="319"/>
      <c r="O241" s="322"/>
      <c r="P241" s="323"/>
      <c r="Q241" s="301"/>
      <c r="R241" s="301"/>
      <c r="S241" s="326"/>
      <c r="T241" s="370"/>
      <c r="U241" s="328"/>
      <c r="V241" s="328"/>
      <c r="W241" s="301"/>
      <c r="X241" s="329"/>
      <c r="Y241" s="329"/>
      <c r="Z241" s="329"/>
      <c r="AA241" s="329"/>
      <c r="AB241" s="329"/>
      <c r="AC241" s="330"/>
      <c r="AF241" s="332"/>
      <c r="AG241" s="332"/>
      <c r="AH241" s="332"/>
      <c r="AI241" s="332"/>
      <c r="AJ241" s="320"/>
      <c r="AM241" s="332"/>
      <c r="AN241" s="332"/>
      <c r="AO241" s="333"/>
      <c r="AP241" s="333"/>
      <c r="AQ241" s="333"/>
      <c r="AR241" s="333"/>
    </row>
    <row r="242" spans="1:61" s="312" customFormat="1" ht="19.5" customHeight="1" x14ac:dyDescent="0.35">
      <c r="A242" s="311" t="s">
        <v>4092</v>
      </c>
      <c r="B242" s="311"/>
      <c r="J242" s="313"/>
      <c r="K242" s="314"/>
      <c r="L242" s="314"/>
      <c r="M242" s="314"/>
      <c r="N242" s="315"/>
      <c r="O242" s="316"/>
      <c r="P242" s="316"/>
      <c r="Q242" s="316"/>
      <c r="R242" s="316"/>
      <c r="S242" s="316"/>
      <c r="T242" s="314"/>
      <c r="U242" s="313"/>
      <c r="V242" s="313"/>
      <c r="W242" s="313"/>
      <c r="X242" s="313"/>
      <c r="Y242" s="313"/>
      <c r="Z242" s="313"/>
      <c r="AA242" s="313"/>
      <c r="AB242" s="313"/>
      <c r="AC242" s="313"/>
      <c r="AD242" s="313"/>
      <c r="AO242" s="317"/>
      <c r="AP242" s="317"/>
      <c r="AQ242" s="317"/>
      <c r="AR242" s="313"/>
      <c r="AS242" s="313"/>
    </row>
    <row r="243" spans="1:61" s="331" customFormat="1" ht="19.5" customHeight="1" x14ac:dyDescent="0.35">
      <c r="A243" s="334">
        <v>43193</v>
      </c>
      <c r="B243" s="335">
        <f ca="1">IF(A243="",(IF(ISNUMBER(SUBSTITUTE(LEFT(RIGHT(E243,LEN(E243)-MIN(SEARCH({1,2,3,4,5,6,7,8,9,0},E243&amp;"1234567890"))+1),10),".","/"))=TRUE,AJ243-(SUBSTITUTE(LEFT(RIGHT(E243,LEN(E243)-MIN(SEARCH({1,2,3,4,5,6,7,8,9,0},E243&amp;"1234567890"))+1),10),".","/")),IF((SUBSTITUTE(LEFT(RIGHT(E243,LEN(E243)-MIN(SEARCH({1,2,3,4,5,6,7,8,9,0},E243&amp;"1234567890"))+1),10),".","/"))="","",(AJ243)-(MID(RIGHT((SUBSTITUTE(LEFT(RIGHT(E243,LEN(E243)-MIN(SEARCH({1,2,3,4,5,6,7,8,9,0},E243&amp;"1234567890"))+1),10),".","/")),10),4,2)&amp;"/"&amp;LEFT((RIGHT((SUBSTITUTE(LEFT(RIGHT(E243,LEN(E243)-MIN(SEARCH({1,2,3,4,5,6,7,8,9,0},E243&amp;"1234567890"))+1),10),".","/")),10)),2)&amp;"/"&amp;RIGHT((SUBSTITUTE(LEFT(RIGHT(E243,LEN(E243)-MIN(SEARCH({1,2,3,4,5,6,7,8,9,0},E243&amp;"1234567890"))+1),10),".","/")),4))))),(AJ243-A243))</f>
        <v>1770</v>
      </c>
      <c r="C243" s="294"/>
      <c r="D243" s="294" t="str">
        <f t="shared" ref="D243:D306" si="43">IF(Q243="MULTI","FGM","FGC")&amp;"-"&amp;H243&amp;"/"&amp;I243&amp;"-"&amp;TEXT(K243,"0.00")&amp;"X"&amp;IF(Q243="MULTI",N243,Q243)</f>
        <v>FGC-430/1D-004X90</v>
      </c>
      <c r="E243" s="126" t="s">
        <v>4093</v>
      </c>
      <c r="F243" s="294" t="s">
        <v>4094</v>
      </c>
      <c r="G243" s="294" t="s">
        <v>4095</v>
      </c>
      <c r="H243" s="294">
        <v>430</v>
      </c>
      <c r="I243" s="337" t="s">
        <v>64</v>
      </c>
      <c r="J243" s="149">
        <v>4</v>
      </c>
      <c r="K243" s="149">
        <v>4</v>
      </c>
      <c r="L243" s="149"/>
      <c r="M243" s="149"/>
      <c r="N243" s="335">
        <v>90</v>
      </c>
      <c r="O243" s="296">
        <v>1.165</v>
      </c>
      <c r="P243" s="839"/>
      <c r="Q243" s="335">
        <v>90</v>
      </c>
      <c r="R243" s="372"/>
      <c r="S243" s="345"/>
      <c r="T243" s="299"/>
      <c r="U243" s="130" t="s">
        <v>4096</v>
      </c>
      <c r="V243" s="130" t="s">
        <v>4097</v>
      </c>
      <c r="W243" s="282"/>
      <c r="X243" s="340"/>
      <c r="Y243" s="340"/>
      <c r="Z243" s="340"/>
      <c r="AA243" s="340">
        <v>43192</v>
      </c>
      <c r="AB243" s="340"/>
      <c r="AC243" s="341"/>
      <c r="AD243" s="342" t="s">
        <v>64</v>
      </c>
      <c r="AE243" s="342" t="s">
        <v>4098</v>
      </c>
      <c r="AF243" s="284" t="s">
        <v>4099</v>
      </c>
      <c r="AG243" s="284">
        <v>42697</v>
      </c>
      <c r="AH243" s="284">
        <v>42740</v>
      </c>
      <c r="AI243" s="284"/>
      <c r="AJ243" s="334">
        <f ca="1">TODAY()</f>
        <v>44963</v>
      </c>
      <c r="AK243" s="342">
        <f ca="1">IF(AH243&lt;&gt;0,AJ243-AH243,0)</f>
        <v>2223</v>
      </c>
      <c r="AL243" s="342"/>
      <c r="AM243" s="284" t="s">
        <v>4100</v>
      </c>
      <c r="AN243" s="284" t="s">
        <v>4101</v>
      </c>
      <c r="AO243" s="343">
        <v>9.92</v>
      </c>
      <c r="AP243" s="343"/>
      <c r="AQ243" s="343"/>
      <c r="AR243" s="343">
        <v>10</v>
      </c>
      <c r="BC243" s="331">
        <v>0</v>
      </c>
      <c r="BE243" s="331" t="s">
        <v>125</v>
      </c>
      <c r="BH243" s="331" t="s">
        <v>3514</v>
      </c>
      <c r="BI243" s="347" t="s">
        <v>3572</v>
      </c>
    </row>
    <row r="244" spans="1:61" s="331" customFormat="1" ht="19.5" customHeight="1" x14ac:dyDescent="0.35">
      <c r="A244" s="334">
        <v>43193</v>
      </c>
      <c r="B244" s="335">
        <f ca="1">IF(A244="",(IF(ISNUMBER(SUBSTITUTE(LEFT(RIGHT(E244,LEN(E244)-MIN(SEARCH({1,2,3,4,5,6,7,8,9,0},E244&amp;"1234567890"))+1),10),".","/"))=TRUE,AJ244-(SUBSTITUTE(LEFT(RIGHT(E244,LEN(E244)-MIN(SEARCH({1,2,3,4,5,6,7,8,9,0},E244&amp;"1234567890"))+1),10),".","/")),IF((SUBSTITUTE(LEFT(RIGHT(E244,LEN(E244)-MIN(SEARCH({1,2,3,4,5,6,7,8,9,0},E244&amp;"1234567890"))+1),10),".","/"))="","",(AJ244)-(MID(RIGHT((SUBSTITUTE(LEFT(RIGHT(E244,LEN(E244)-MIN(SEARCH({1,2,3,4,5,6,7,8,9,0},E244&amp;"1234567890"))+1),10),".","/")),10),4,2)&amp;"/"&amp;LEFT((RIGHT((SUBSTITUTE(LEFT(RIGHT(E244,LEN(E244)-MIN(SEARCH({1,2,3,4,5,6,7,8,9,0},E244&amp;"1234567890"))+1),10),".","/")),10)),2)&amp;"/"&amp;RIGHT((SUBSTITUTE(LEFT(RIGHT(E244,LEN(E244)-MIN(SEARCH({1,2,3,4,5,6,7,8,9,0},E244&amp;"1234567890"))+1),10),".","/")),4))))),(AJ244-A244))</f>
        <v>1770</v>
      </c>
      <c r="C244" s="294"/>
      <c r="D244" s="294" t="str">
        <f t="shared" si="43"/>
        <v>FGC-430/1D-004X90</v>
      </c>
      <c r="E244" s="126" t="s">
        <v>4093</v>
      </c>
      <c r="F244" s="294" t="s">
        <v>4102</v>
      </c>
      <c r="G244" s="294" t="s">
        <v>4103</v>
      </c>
      <c r="H244" s="294">
        <v>430</v>
      </c>
      <c r="I244" s="337" t="s">
        <v>64</v>
      </c>
      <c r="J244" s="149">
        <v>4</v>
      </c>
      <c r="K244" s="149">
        <v>4</v>
      </c>
      <c r="L244" s="149"/>
      <c r="M244" s="149"/>
      <c r="N244" s="335">
        <v>90</v>
      </c>
      <c r="O244" s="296">
        <v>1.07</v>
      </c>
      <c r="P244" s="841"/>
      <c r="Q244" s="335">
        <v>90</v>
      </c>
      <c r="R244" s="372"/>
      <c r="S244" s="345"/>
      <c r="T244" s="299"/>
      <c r="U244" s="130" t="s">
        <v>4096</v>
      </c>
      <c r="V244" s="130" t="s">
        <v>4097</v>
      </c>
      <c r="W244" s="282"/>
      <c r="X244" s="340"/>
      <c r="Y244" s="340"/>
      <c r="Z244" s="340"/>
      <c r="AA244" s="340">
        <v>43192</v>
      </c>
      <c r="AB244" s="340"/>
      <c r="AC244" s="341"/>
      <c r="AD244" s="342" t="s">
        <v>64</v>
      </c>
      <c r="AE244" s="342" t="s">
        <v>4098</v>
      </c>
      <c r="AF244" s="284" t="s">
        <v>4099</v>
      </c>
      <c r="AG244" s="284">
        <v>42697</v>
      </c>
      <c r="AH244" s="284">
        <v>42740</v>
      </c>
      <c r="AI244" s="284"/>
      <c r="AJ244" s="334">
        <f ca="1">TODAY()</f>
        <v>44963</v>
      </c>
      <c r="AK244" s="342">
        <f ca="1">IF(AH244&lt;&gt;0,AJ244-AH244,0)</f>
        <v>2223</v>
      </c>
      <c r="AL244" s="342"/>
      <c r="AM244" s="284" t="s">
        <v>4104</v>
      </c>
      <c r="AN244" s="284" t="s">
        <v>4101</v>
      </c>
      <c r="AO244" s="343">
        <v>9.8000000000000007</v>
      </c>
      <c r="AP244" s="343"/>
      <c r="AQ244" s="343"/>
      <c r="AR244" s="343">
        <v>9.8849999999999998</v>
      </c>
      <c r="BC244" s="331">
        <v>0</v>
      </c>
      <c r="BE244" s="331" t="s">
        <v>125</v>
      </c>
      <c r="BH244" s="331" t="s">
        <v>3514</v>
      </c>
      <c r="BI244" s="347" t="s">
        <v>3572</v>
      </c>
    </row>
    <row r="245" spans="1:61" s="331" customFormat="1" ht="19.5" customHeight="1" x14ac:dyDescent="0.35">
      <c r="A245" s="334">
        <v>43193</v>
      </c>
      <c r="B245" s="335">
        <f ca="1">IF(A245="",(IF(ISNUMBER(SUBSTITUTE(LEFT(RIGHT(E245,LEN(E245)-MIN(SEARCH({1,2,3,4,5,6,7,8,9,0},E245&amp;"1234567890"))+1),10),".","/"))=TRUE,AJ245-(SUBSTITUTE(LEFT(RIGHT(E245,LEN(E245)-MIN(SEARCH({1,2,3,4,5,6,7,8,9,0},E245&amp;"1234567890"))+1),10),".","/")),IF((SUBSTITUTE(LEFT(RIGHT(E245,LEN(E245)-MIN(SEARCH({1,2,3,4,5,6,7,8,9,0},E245&amp;"1234567890"))+1),10),".","/"))="","",(AJ245)-(MID(RIGHT((SUBSTITUTE(LEFT(RIGHT(E245,LEN(E245)-MIN(SEARCH({1,2,3,4,5,6,7,8,9,0},E245&amp;"1234567890"))+1),10),".","/")),10),4,2)&amp;"/"&amp;LEFT((RIGHT((SUBSTITUTE(LEFT(RIGHT(E245,LEN(E245)-MIN(SEARCH({1,2,3,4,5,6,7,8,9,0},E245&amp;"1234567890"))+1),10),".","/")),10)),2)&amp;"/"&amp;RIGHT((SUBSTITUTE(LEFT(RIGHT(E245,LEN(E245)-MIN(SEARCH({1,2,3,4,5,6,7,8,9,0},E245&amp;"1234567890"))+1),10),".","/")),4))))),(AJ245-A245))</f>
        <v>1770</v>
      </c>
      <c r="C245" s="294"/>
      <c r="D245" s="294" t="str">
        <f t="shared" si="43"/>
        <v>FGC-430/1D-004X90</v>
      </c>
      <c r="E245" s="126" t="s">
        <v>4093</v>
      </c>
      <c r="F245" s="294" t="s">
        <v>4105</v>
      </c>
      <c r="G245" s="294" t="s">
        <v>4106</v>
      </c>
      <c r="H245" s="294">
        <v>430</v>
      </c>
      <c r="I245" s="337" t="s">
        <v>64</v>
      </c>
      <c r="J245" s="149">
        <v>4</v>
      </c>
      <c r="K245" s="149">
        <v>4</v>
      </c>
      <c r="L245" s="149"/>
      <c r="M245" s="149"/>
      <c r="N245" s="335">
        <v>90</v>
      </c>
      <c r="O245" s="296">
        <v>1.1080000000000001</v>
      </c>
      <c r="P245" s="841"/>
      <c r="Q245" s="335">
        <v>90</v>
      </c>
      <c r="R245" s="372"/>
      <c r="S245" s="345"/>
      <c r="T245" s="299"/>
      <c r="U245" s="130" t="s">
        <v>4096</v>
      </c>
      <c r="V245" s="130" t="s">
        <v>4097</v>
      </c>
      <c r="W245" s="282"/>
      <c r="X245" s="340"/>
      <c r="Y245" s="340"/>
      <c r="Z245" s="340"/>
      <c r="AA245" s="340">
        <v>43192</v>
      </c>
      <c r="AB245" s="340"/>
      <c r="AC245" s="341"/>
      <c r="AD245" s="342" t="s">
        <v>64</v>
      </c>
      <c r="AE245" s="342" t="s">
        <v>4098</v>
      </c>
      <c r="AF245" s="284" t="s">
        <v>4099</v>
      </c>
      <c r="AG245" s="284">
        <v>42697</v>
      </c>
      <c r="AH245" s="284">
        <v>42740</v>
      </c>
      <c r="AI245" s="284"/>
      <c r="AJ245" s="334">
        <f ca="1">TODAY()</f>
        <v>44963</v>
      </c>
      <c r="AK245" s="342">
        <f ca="1">IF(AH245&lt;&gt;0,AJ245-AH245,0)</f>
        <v>2223</v>
      </c>
      <c r="AL245" s="342"/>
      <c r="AM245" s="284" t="s">
        <v>4104</v>
      </c>
      <c r="AN245" s="284" t="s">
        <v>4101</v>
      </c>
      <c r="AO245" s="343">
        <v>9.81</v>
      </c>
      <c r="AP245" s="343"/>
      <c r="AQ245" s="343"/>
      <c r="AR245" s="343">
        <v>9.8930000000000007</v>
      </c>
      <c r="BC245" s="331">
        <v>0</v>
      </c>
      <c r="BE245" s="331" t="s">
        <v>125</v>
      </c>
      <c r="BH245" s="331" t="s">
        <v>3514</v>
      </c>
      <c r="BI245" s="347" t="s">
        <v>3572</v>
      </c>
    </row>
    <row r="246" spans="1:61" s="331" customFormat="1" ht="19.5" customHeight="1" x14ac:dyDescent="0.35">
      <c r="A246" s="334">
        <v>43193</v>
      </c>
      <c r="B246" s="335">
        <f ca="1">IF(A246="",(IF(ISNUMBER(SUBSTITUTE(LEFT(RIGHT(E246,LEN(E246)-MIN(SEARCH({1,2,3,4,5,6,7,8,9,0},E246&amp;"1234567890"))+1),10),".","/"))=TRUE,AJ246-(SUBSTITUTE(LEFT(RIGHT(E246,LEN(E246)-MIN(SEARCH({1,2,3,4,5,6,7,8,9,0},E246&amp;"1234567890"))+1),10),".","/")),IF((SUBSTITUTE(LEFT(RIGHT(E246,LEN(E246)-MIN(SEARCH({1,2,3,4,5,6,7,8,9,0},E246&amp;"1234567890"))+1),10),".","/"))="","",(AJ246)-(MID(RIGHT((SUBSTITUTE(LEFT(RIGHT(E246,LEN(E246)-MIN(SEARCH({1,2,3,4,5,6,7,8,9,0},E246&amp;"1234567890"))+1),10),".","/")),10),4,2)&amp;"/"&amp;LEFT((RIGHT((SUBSTITUTE(LEFT(RIGHT(E246,LEN(E246)-MIN(SEARCH({1,2,3,4,5,6,7,8,9,0},E246&amp;"1234567890"))+1),10),".","/")),10)),2)&amp;"/"&amp;RIGHT((SUBSTITUTE(LEFT(RIGHT(E246,LEN(E246)-MIN(SEARCH({1,2,3,4,5,6,7,8,9,0},E246&amp;"1234567890"))+1),10),".","/")),4))))),(AJ246-A246))</f>
        <v>1770</v>
      </c>
      <c r="C246" s="294"/>
      <c r="D246" s="294" t="str">
        <f t="shared" si="43"/>
        <v>FGC-430/1D-004X90</v>
      </c>
      <c r="E246" s="126" t="s">
        <v>4093</v>
      </c>
      <c r="F246" s="294" t="s">
        <v>4107</v>
      </c>
      <c r="G246" s="294" t="s">
        <v>4108</v>
      </c>
      <c r="H246" s="294">
        <v>430</v>
      </c>
      <c r="I246" s="337" t="s">
        <v>64</v>
      </c>
      <c r="J246" s="149">
        <v>4</v>
      </c>
      <c r="K246" s="149">
        <v>4</v>
      </c>
      <c r="L246" s="149"/>
      <c r="M246" s="149"/>
      <c r="N246" s="335">
        <v>90</v>
      </c>
      <c r="O246" s="296">
        <v>1.085</v>
      </c>
      <c r="P246" s="841"/>
      <c r="Q246" s="335">
        <v>90</v>
      </c>
      <c r="R246" s="372"/>
      <c r="S246" s="345"/>
      <c r="T246" s="299"/>
      <c r="U246" s="130" t="s">
        <v>4096</v>
      </c>
      <c r="V246" s="130" t="s">
        <v>4097</v>
      </c>
      <c r="W246" s="282"/>
      <c r="X246" s="340"/>
      <c r="Y246" s="340"/>
      <c r="Z246" s="340"/>
      <c r="AA246" s="340">
        <v>43192</v>
      </c>
      <c r="AB246" s="340"/>
      <c r="AC246" s="341"/>
      <c r="AD246" s="342" t="s">
        <v>64</v>
      </c>
      <c r="AE246" s="342" t="s">
        <v>4098</v>
      </c>
      <c r="AF246" s="284" t="s">
        <v>4099</v>
      </c>
      <c r="AG246" s="284">
        <v>42697</v>
      </c>
      <c r="AH246" s="284">
        <v>42740</v>
      </c>
      <c r="AI246" s="284"/>
      <c r="AJ246" s="334">
        <f ca="1">TODAY()</f>
        <v>44963</v>
      </c>
      <c r="AK246" s="342">
        <f ca="1">IF(AH246&lt;&gt;0,AJ246-AH246,0)</f>
        <v>2223</v>
      </c>
      <c r="AL246" s="342"/>
      <c r="AM246" s="284" t="s">
        <v>4109</v>
      </c>
      <c r="AN246" s="284" t="s">
        <v>4101</v>
      </c>
      <c r="AO246" s="343">
        <v>9.86</v>
      </c>
      <c r="AP246" s="343"/>
      <c r="AQ246" s="343"/>
      <c r="AR246" s="343">
        <v>9.9309999999999992</v>
      </c>
      <c r="BC246" s="331">
        <v>0</v>
      </c>
      <c r="BE246" s="331" t="s">
        <v>125</v>
      </c>
      <c r="BH246" s="331" t="s">
        <v>3514</v>
      </c>
      <c r="BI246" s="347" t="s">
        <v>3572</v>
      </c>
    </row>
    <row r="247" spans="1:61" s="302" customFormat="1" ht="16.5" customHeight="1" x14ac:dyDescent="0.35">
      <c r="A247" s="334">
        <v>43193</v>
      </c>
      <c r="B247" s="335">
        <f>IF(A247="",(IF(ISNUMBER(SUBSTITUTE(LEFT(RIGHT(E247,LEN(E247)-MIN(SEARCH({1,2,3,4,5,6,7,8,9,0},E247&amp;"1234567890"))+1),10),".","/"))=TRUE,AJ247-(SUBSTITUTE(LEFT(RIGHT(E247,LEN(E247)-MIN(SEARCH({1,2,3,4,5,6,7,8,9,0},E247&amp;"1234567890"))+1),10),".","/")),IF((SUBSTITUTE(LEFT(RIGHT(E247,LEN(E247)-MIN(SEARCH({1,2,3,4,5,6,7,8,9,0},E247&amp;"1234567890"))+1),10),".","/"))="","",(AJ247)-(MID(RIGHT((SUBSTITUTE(LEFT(RIGHT(E247,LEN(E247)-MIN(SEARCH({1,2,3,4,5,6,7,8,9,0},E247&amp;"1234567890"))+1),10),".","/")),10),4,2)&amp;"/"&amp;LEFT((RIGHT((SUBSTITUTE(LEFT(RIGHT(E247,LEN(E247)-MIN(SEARCH({1,2,3,4,5,6,7,8,9,0},E247&amp;"1234567890"))+1),10),".","/")),10)),2)&amp;"/"&amp;RIGHT((SUBSTITUTE(LEFT(RIGHT(E247,LEN(E247)-MIN(SEARCH({1,2,3,4,5,6,7,8,9,0},E247&amp;"1234567890"))+1),10),".","/")),4))))),(AJ247-A247))</f>
        <v>98</v>
      </c>
      <c r="C247" s="294"/>
      <c r="D247" s="294" t="str">
        <f t="shared" si="43"/>
        <v>FGC-430/1D-004X90</v>
      </c>
      <c r="E247" s="126" t="s">
        <v>4093</v>
      </c>
      <c r="F247" s="294" t="s">
        <v>4110</v>
      </c>
      <c r="G247" s="294" t="s">
        <v>4111</v>
      </c>
      <c r="H247" s="294">
        <v>430</v>
      </c>
      <c r="I247" s="337" t="s">
        <v>64</v>
      </c>
      <c r="J247" s="149">
        <v>4</v>
      </c>
      <c r="K247" s="149">
        <v>4</v>
      </c>
      <c r="L247" s="149"/>
      <c r="M247" s="149"/>
      <c r="N247" s="335">
        <v>90</v>
      </c>
      <c r="O247" s="296">
        <v>1.077</v>
      </c>
      <c r="P247" s="840"/>
      <c r="Q247" s="335">
        <v>90</v>
      </c>
      <c r="R247" s="372"/>
      <c r="S247" s="345"/>
      <c r="T247" s="299"/>
      <c r="U247" s="130" t="s">
        <v>4096</v>
      </c>
      <c r="V247" s="130" t="s">
        <v>4097</v>
      </c>
      <c r="W247" s="282"/>
      <c r="X247" s="340"/>
      <c r="Y247" s="340"/>
      <c r="Z247" s="340"/>
      <c r="AA247" s="340">
        <v>43192</v>
      </c>
      <c r="AB247" s="340"/>
      <c r="AC247" s="341"/>
      <c r="AD247" s="342" t="s">
        <v>64</v>
      </c>
      <c r="AE247" s="342" t="s">
        <v>4098</v>
      </c>
      <c r="AF247" s="284" t="s">
        <v>4099</v>
      </c>
      <c r="AG247" s="284">
        <v>42697</v>
      </c>
      <c r="AH247" s="284">
        <v>42740</v>
      </c>
      <c r="AI247" s="284"/>
      <c r="AJ247" s="334">
        <v>43291</v>
      </c>
      <c r="AK247" s="342">
        <v>551</v>
      </c>
      <c r="AL247" s="342"/>
      <c r="AM247" s="284" t="s">
        <v>4112</v>
      </c>
      <c r="AN247" s="284" t="s">
        <v>4101</v>
      </c>
      <c r="AO247" s="343">
        <v>9.8699999999999992</v>
      </c>
      <c r="AP247" s="343"/>
      <c r="AQ247" s="343"/>
      <c r="AR247" s="343">
        <v>9.952</v>
      </c>
      <c r="BC247" s="331">
        <v>0</v>
      </c>
      <c r="BE247" s="331" t="s">
        <v>125</v>
      </c>
      <c r="BH247" s="331" t="s">
        <v>3514</v>
      </c>
      <c r="BI247" s="347" t="s">
        <v>3572</v>
      </c>
    </row>
    <row r="248" spans="1:61" s="331" customFormat="1" ht="19.5" customHeight="1" x14ac:dyDescent="0.35">
      <c r="A248" s="334">
        <v>43211</v>
      </c>
      <c r="B248" s="335">
        <f ca="1">IF(A248="",(IF(ISNUMBER(SUBSTITUTE(LEFT(RIGHT(E248,LEN(E248)-MIN(SEARCH({1,2,3,4,5,6,7,8,9,0},E248&amp;"1234567890"))+1),10),".","/"))=TRUE,AJ248-(SUBSTITUTE(LEFT(RIGHT(E248,LEN(E248)-MIN(SEARCH({1,2,3,4,5,6,7,8,9,0},E248&amp;"1234567890"))+1),10),".","/")),IF((SUBSTITUTE(LEFT(RIGHT(E248,LEN(E248)-MIN(SEARCH({1,2,3,4,5,6,7,8,9,0},E248&amp;"1234567890"))+1),10),".","/"))="","",(AJ248)-(MID(RIGHT((SUBSTITUTE(LEFT(RIGHT(E248,LEN(E248)-MIN(SEARCH({1,2,3,4,5,6,7,8,9,0},E248&amp;"1234567890"))+1),10),".","/")),10),4,2)&amp;"/"&amp;LEFT((RIGHT((SUBSTITUTE(LEFT(RIGHT(E248,LEN(E248)-MIN(SEARCH({1,2,3,4,5,6,7,8,9,0},E248&amp;"1234567890"))+1),10),".","/")),10)),2)&amp;"/"&amp;RIGHT((SUBSTITUTE(LEFT(RIGHT(E248,LEN(E248)-MIN(SEARCH({1,2,3,4,5,6,7,8,9,0},E248&amp;"1234567890"))+1),10),".","/")),4))))),(AJ248-A248))</f>
        <v>1752</v>
      </c>
      <c r="C248" s="294"/>
      <c r="D248" s="294" t="str">
        <f t="shared" si="43"/>
        <v>FGC-304/2B-001X76 - 78</v>
      </c>
      <c r="E248" s="342" t="s">
        <v>4113</v>
      </c>
      <c r="F248" s="294" t="s">
        <v>4114</v>
      </c>
      <c r="G248" s="373" t="s">
        <v>4115</v>
      </c>
      <c r="H248" s="294">
        <v>304</v>
      </c>
      <c r="I248" s="337" t="s">
        <v>116</v>
      </c>
      <c r="J248" s="149">
        <v>2.8</v>
      </c>
      <c r="K248" s="149">
        <v>1.35</v>
      </c>
      <c r="L248" s="149">
        <v>1.35</v>
      </c>
      <c r="M248" s="149">
        <v>1.36</v>
      </c>
      <c r="N248" s="335">
        <v>730</v>
      </c>
      <c r="O248" s="296">
        <f>0.375</f>
        <v>0.375</v>
      </c>
      <c r="P248" s="345"/>
      <c r="Q248" s="335" t="s">
        <v>4116</v>
      </c>
      <c r="R248" s="372"/>
      <c r="S248" s="345"/>
      <c r="T248" s="299"/>
      <c r="U248" s="282" t="s">
        <v>4096</v>
      </c>
      <c r="V248" s="130" t="s">
        <v>3541</v>
      </c>
      <c r="W248" s="282" t="s">
        <v>208</v>
      </c>
      <c r="X248" s="340">
        <v>43168</v>
      </c>
      <c r="Y248" s="340">
        <v>43168</v>
      </c>
      <c r="Z248" s="340">
        <v>43184</v>
      </c>
      <c r="AA248" s="340"/>
      <c r="AB248" s="340"/>
      <c r="AC248" s="341"/>
      <c r="AD248" s="342" t="s">
        <v>64</v>
      </c>
      <c r="AE248" s="342" t="s">
        <v>3542</v>
      </c>
      <c r="AF248" s="284" t="s">
        <v>3543</v>
      </c>
      <c r="AG248" s="284">
        <v>43113</v>
      </c>
      <c r="AH248" s="284">
        <v>43146</v>
      </c>
      <c r="AI248" s="284"/>
      <c r="AJ248" s="334">
        <f t="shared" ref="AJ248:AJ311" ca="1" si="44">TODAY()</f>
        <v>44963</v>
      </c>
      <c r="AK248" s="342">
        <f t="shared" ref="AK248:AK311" ca="1" si="45">IF(AH248&lt;&gt;0,AJ248-AH248,0)</f>
        <v>1817</v>
      </c>
      <c r="AL248" s="342"/>
      <c r="AM248" s="284" t="s">
        <v>4117</v>
      </c>
      <c r="AN248" s="284" t="s">
        <v>4114</v>
      </c>
      <c r="AO248" s="343">
        <v>9.3219999999999992</v>
      </c>
      <c r="AP248" s="343">
        <v>9.3519999999999985</v>
      </c>
      <c r="AQ248" s="343">
        <v>9.35</v>
      </c>
      <c r="AR248" s="343">
        <v>9.3550000000000004</v>
      </c>
      <c r="AW248" s="331" t="s">
        <v>136</v>
      </c>
      <c r="BE248" s="331" t="s">
        <v>125</v>
      </c>
      <c r="BH248" s="331" t="s">
        <v>3514</v>
      </c>
      <c r="BI248" s="347" t="s">
        <v>3515</v>
      </c>
    </row>
    <row r="249" spans="1:61" s="331" customFormat="1" ht="19.5" customHeight="1" x14ac:dyDescent="0.35">
      <c r="A249" s="334">
        <v>43211</v>
      </c>
      <c r="B249" s="335">
        <f ca="1">IF(A249="",(IF(ISNUMBER(SUBSTITUTE(LEFT(RIGHT(E249,LEN(E249)-MIN(SEARCH({1,2,3,4,5,6,7,8,9,0},E249&amp;"1234567890"))+1),10),".","/"))=TRUE,AJ249-(SUBSTITUTE(LEFT(RIGHT(E249,LEN(E249)-MIN(SEARCH({1,2,3,4,5,6,7,8,9,0},E249&amp;"1234567890"))+1),10),".","/")),IF((SUBSTITUTE(LEFT(RIGHT(E249,LEN(E249)-MIN(SEARCH({1,2,3,4,5,6,7,8,9,0},E249&amp;"1234567890"))+1),10),".","/"))="","",(AJ249)-(MID(RIGHT((SUBSTITUTE(LEFT(RIGHT(E249,LEN(E249)-MIN(SEARCH({1,2,3,4,5,6,7,8,9,0},E249&amp;"1234567890"))+1),10),".","/")),10),4,2)&amp;"/"&amp;LEFT((RIGHT((SUBSTITUTE(LEFT(RIGHT(E249,LEN(E249)-MIN(SEARCH({1,2,3,4,5,6,7,8,9,0},E249&amp;"1234567890"))+1),10),".","/")),10)),2)&amp;"/"&amp;RIGHT((SUBSTITUTE(LEFT(RIGHT(E249,LEN(E249)-MIN(SEARCH({1,2,3,4,5,6,7,8,9,0},E249&amp;"1234567890"))+1),10),".","/")),4))))),(AJ249-A249))</f>
        <v>1752</v>
      </c>
      <c r="C249" s="294"/>
      <c r="D249" s="294" t="str">
        <f t="shared" si="43"/>
        <v>FGC-304/2B-001X79,5</v>
      </c>
      <c r="E249" s="342" t="s">
        <v>4113</v>
      </c>
      <c r="F249" s="294" t="s">
        <v>4118</v>
      </c>
      <c r="G249" s="373" t="s">
        <v>4119</v>
      </c>
      <c r="H249" s="294">
        <v>304</v>
      </c>
      <c r="I249" s="337" t="s">
        <v>116</v>
      </c>
      <c r="J249" s="149">
        <v>2.8</v>
      </c>
      <c r="K249" s="149">
        <v>1.35</v>
      </c>
      <c r="L249" s="149">
        <v>1.33</v>
      </c>
      <c r="M249" s="149">
        <v>1.35</v>
      </c>
      <c r="N249" s="335">
        <v>730</v>
      </c>
      <c r="O249" s="296">
        <v>0.48499999999999999</v>
      </c>
      <c r="P249" s="345"/>
      <c r="Q249" s="335">
        <v>79.5</v>
      </c>
      <c r="R249" s="342"/>
      <c r="S249" s="345"/>
      <c r="T249" s="299"/>
      <c r="U249" s="282" t="s">
        <v>4096</v>
      </c>
      <c r="V249" s="130" t="s">
        <v>3541</v>
      </c>
      <c r="W249" s="282" t="s">
        <v>208</v>
      </c>
      <c r="X249" s="340">
        <v>43167</v>
      </c>
      <c r="Y249" s="340">
        <v>43167</v>
      </c>
      <c r="Z249" s="340">
        <v>43188</v>
      </c>
      <c r="AA249" s="340"/>
      <c r="AB249" s="340"/>
      <c r="AC249" s="341"/>
      <c r="AD249" s="342" t="s">
        <v>64</v>
      </c>
      <c r="AE249" s="342" t="s">
        <v>3542</v>
      </c>
      <c r="AF249" s="284" t="s">
        <v>3543</v>
      </c>
      <c r="AG249" s="284">
        <v>43113</v>
      </c>
      <c r="AH249" s="284">
        <v>43146</v>
      </c>
      <c r="AI249" s="284"/>
      <c r="AJ249" s="334">
        <f t="shared" ca="1" si="44"/>
        <v>44963</v>
      </c>
      <c r="AK249" s="342">
        <f t="shared" ca="1" si="45"/>
        <v>1817</v>
      </c>
      <c r="AL249" s="342"/>
      <c r="AM249" s="284" t="s">
        <v>4120</v>
      </c>
      <c r="AN249" s="284" t="s">
        <v>4118</v>
      </c>
      <c r="AO249" s="343">
        <v>9.0820000000000007</v>
      </c>
      <c r="AP249" s="343">
        <v>9.1120000000000001</v>
      </c>
      <c r="AQ249" s="343">
        <v>9.1049999999999986</v>
      </c>
      <c r="AR249" s="343">
        <v>9.11</v>
      </c>
      <c r="AW249" s="331" t="s">
        <v>136</v>
      </c>
      <c r="BC249" s="331">
        <v>0</v>
      </c>
      <c r="BE249" s="331">
        <v>0</v>
      </c>
      <c r="BH249" s="331" t="s">
        <v>3514</v>
      </c>
      <c r="BI249" s="347" t="s">
        <v>3515</v>
      </c>
    </row>
    <row r="250" spans="1:61" s="331" customFormat="1" ht="19.5" customHeight="1" x14ac:dyDescent="0.35">
      <c r="A250" s="334">
        <v>43223</v>
      </c>
      <c r="B250" s="335">
        <f ca="1">IF(A250="",(IF(ISNUMBER(SUBSTITUTE(LEFT(RIGHT(E250,LEN(E250)-MIN(SEARCH({1,2,3,4,5,6,7,8,9,0},E250&amp;"1234567890"))+1),10),".","/"))=TRUE,AJ250-(SUBSTITUTE(LEFT(RIGHT(E250,LEN(E250)-MIN(SEARCH({1,2,3,4,5,6,7,8,9,0},E250&amp;"1234567890"))+1),10),".","/")),IF((SUBSTITUTE(LEFT(RIGHT(E250,LEN(E250)-MIN(SEARCH({1,2,3,4,5,6,7,8,9,0},E250&amp;"1234567890"))+1),10),".","/"))="","",(AJ250)-(MID(RIGHT((SUBSTITUTE(LEFT(RIGHT(E250,LEN(E250)-MIN(SEARCH({1,2,3,4,5,6,7,8,9,0},E250&amp;"1234567890"))+1),10),".","/")),10),4,2)&amp;"/"&amp;LEFT((RIGHT((SUBSTITUTE(LEFT(RIGHT(E250,LEN(E250)-MIN(SEARCH({1,2,3,4,5,6,7,8,9,0},E250&amp;"1234567890"))+1),10),".","/")),10)),2)&amp;"/"&amp;RIGHT((SUBSTITUTE(LEFT(RIGHT(E250,LEN(E250)-MIN(SEARCH({1,2,3,4,5,6,7,8,9,0},E250&amp;"1234567890"))+1),10),".","/")),4))))),(AJ250-A250))</f>
        <v>1740</v>
      </c>
      <c r="C250" s="294"/>
      <c r="D250" s="294" t="str">
        <f t="shared" si="43"/>
        <v>FGC-304/2B-001X80</v>
      </c>
      <c r="E250" s="342" t="s">
        <v>4121</v>
      </c>
      <c r="F250" s="294" t="s">
        <v>4122</v>
      </c>
      <c r="G250" s="373" t="s">
        <v>4123</v>
      </c>
      <c r="H250" s="294">
        <v>304</v>
      </c>
      <c r="I250" s="337" t="s">
        <v>116</v>
      </c>
      <c r="J250" s="149">
        <v>2.8</v>
      </c>
      <c r="K250" s="149">
        <v>1.35</v>
      </c>
      <c r="L250" s="149">
        <v>1.34</v>
      </c>
      <c r="M250" s="149">
        <v>1.35</v>
      </c>
      <c r="N250" s="335">
        <v>730</v>
      </c>
      <c r="O250" s="296">
        <v>0.49</v>
      </c>
      <c r="P250" s="374"/>
      <c r="Q250" s="335">
        <v>80</v>
      </c>
      <c r="R250" s="372"/>
      <c r="S250" s="345"/>
      <c r="T250" s="299"/>
      <c r="U250" s="282" t="s">
        <v>117</v>
      </c>
      <c r="V250" s="130" t="s">
        <v>3541</v>
      </c>
      <c r="W250" s="282" t="s">
        <v>116</v>
      </c>
      <c r="X250" s="340">
        <v>43215</v>
      </c>
      <c r="Y250" s="340">
        <v>43215</v>
      </c>
      <c r="Z250" s="340">
        <v>43222</v>
      </c>
      <c r="AA250" s="340"/>
      <c r="AB250" s="340"/>
      <c r="AC250" s="341"/>
      <c r="AD250" s="342" t="s">
        <v>64</v>
      </c>
      <c r="AE250" s="342" t="s">
        <v>3542</v>
      </c>
      <c r="AF250" s="284" t="s">
        <v>4124</v>
      </c>
      <c r="AG250" s="284">
        <v>43182</v>
      </c>
      <c r="AH250" s="284">
        <v>43208</v>
      </c>
      <c r="AI250" s="284"/>
      <c r="AJ250" s="334">
        <f t="shared" ca="1" si="44"/>
        <v>44963</v>
      </c>
      <c r="AK250" s="342">
        <f t="shared" ca="1" si="45"/>
        <v>1755</v>
      </c>
      <c r="AL250" s="342"/>
      <c r="AM250" s="284"/>
      <c r="AN250" s="284" t="s">
        <v>4122</v>
      </c>
      <c r="AO250" s="343">
        <v>9.032</v>
      </c>
      <c r="AP250" s="343">
        <v>9.0619999999999994</v>
      </c>
      <c r="AQ250" s="343">
        <v>9.0599999999999987</v>
      </c>
      <c r="AR250" s="343">
        <v>9.0649999999999995</v>
      </c>
      <c r="AW250" s="331" t="s">
        <v>136</v>
      </c>
      <c r="BC250" s="331" t="s">
        <v>3545</v>
      </c>
      <c r="BE250" s="331" t="s">
        <v>125</v>
      </c>
      <c r="BH250" s="331" t="s">
        <v>3514</v>
      </c>
      <c r="BI250" s="347" t="s">
        <v>3572</v>
      </c>
    </row>
    <row r="251" spans="1:61" s="331" customFormat="1" ht="19.5" customHeight="1" x14ac:dyDescent="0.35">
      <c r="A251" s="334">
        <v>43223</v>
      </c>
      <c r="B251" s="335">
        <f ca="1">IF(A251="",(IF(ISNUMBER(SUBSTITUTE(LEFT(RIGHT(E251,LEN(E251)-MIN(SEARCH({1,2,3,4,5,6,7,8,9,0},E251&amp;"1234567890"))+1),10),".","/"))=TRUE,AJ251-(SUBSTITUTE(LEFT(RIGHT(E251,LEN(E251)-MIN(SEARCH({1,2,3,4,5,6,7,8,9,0},E251&amp;"1234567890"))+1),10),".","/")),IF((SUBSTITUTE(LEFT(RIGHT(E251,LEN(E251)-MIN(SEARCH({1,2,3,4,5,6,7,8,9,0},E251&amp;"1234567890"))+1),10),".","/"))="","",(AJ251)-(MID(RIGHT((SUBSTITUTE(LEFT(RIGHT(E251,LEN(E251)-MIN(SEARCH({1,2,3,4,5,6,7,8,9,0},E251&amp;"1234567890"))+1),10),".","/")),10),4,2)&amp;"/"&amp;LEFT((RIGHT((SUBSTITUTE(LEFT(RIGHT(E251,LEN(E251)-MIN(SEARCH({1,2,3,4,5,6,7,8,9,0},E251&amp;"1234567890"))+1),10),".","/")),10)),2)&amp;"/"&amp;RIGHT((SUBSTITUTE(LEFT(RIGHT(E251,LEN(E251)-MIN(SEARCH({1,2,3,4,5,6,7,8,9,0},E251&amp;"1234567890"))+1),10),".","/")),4))))),(AJ251-A251))</f>
        <v>1740</v>
      </c>
      <c r="C251" s="294"/>
      <c r="D251" s="294" t="str">
        <f t="shared" si="43"/>
        <v>FGC-304/2B-001X80</v>
      </c>
      <c r="E251" s="342" t="s">
        <v>4121</v>
      </c>
      <c r="F251" s="294" t="s">
        <v>4125</v>
      </c>
      <c r="G251" s="373" t="s">
        <v>4126</v>
      </c>
      <c r="H251" s="294">
        <v>304</v>
      </c>
      <c r="I251" s="337" t="s">
        <v>116</v>
      </c>
      <c r="J251" s="149">
        <v>2.8</v>
      </c>
      <c r="K251" s="149">
        <v>1.35</v>
      </c>
      <c r="L251" s="149">
        <v>1.35</v>
      </c>
      <c r="M251" s="149">
        <v>1.37</v>
      </c>
      <c r="N251" s="335">
        <v>730</v>
      </c>
      <c r="O251" s="296">
        <f>0.465</f>
        <v>0.46500000000000002</v>
      </c>
      <c r="P251" s="374"/>
      <c r="Q251" s="335">
        <v>80</v>
      </c>
      <c r="R251" s="372"/>
      <c r="S251" s="345"/>
      <c r="T251" s="299"/>
      <c r="U251" s="282" t="s">
        <v>117</v>
      </c>
      <c r="V251" s="130" t="s">
        <v>3541</v>
      </c>
      <c r="W251" s="282" t="s">
        <v>116</v>
      </c>
      <c r="X251" s="340">
        <v>43193</v>
      </c>
      <c r="Y251" s="340">
        <v>43193</v>
      </c>
      <c r="Z251" s="340">
        <v>43222</v>
      </c>
      <c r="AA251" s="340"/>
      <c r="AB251" s="340"/>
      <c r="AC251" s="341"/>
      <c r="AD251" s="342" t="s">
        <v>64</v>
      </c>
      <c r="AE251" s="342" t="s">
        <v>3542</v>
      </c>
      <c r="AF251" s="284" t="s">
        <v>3549</v>
      </c>
      <c r="AG251" s="284">
        <v>43120</v>
      </c>
      <c r="AH251" s="284">
        <v>43145</v>
      </c>
      <c r="AI251" s="284"/>
      <c r="AJ251" s="334">
        <f t="shared" ca="1" si="44"/>
        <v>44963</v>
      </c>
      <c r="AK251" s="342">
        <f t="shared" ca="1" si="45"/>
        <v>1818</v>
      </c>
      <c r="AL251" s="342"/>
      <c r="AM251" s="284" t="s">
        <v>4127</v>
      </c>
      <c r="AN251" s="284" t="s">
        <v>4125</v>
      </c>
      <c r="AO251" s="343">
        <v>8.85</v>
      </c>
      <c r="AP251" s="343">
        <v>8.879999999999999</v>
      </c>
      <c r="AQ251" s="343">
        <v>8.875</v>
      </c>
      <c r="AR251" s="343">
        <v>8.8800000000000008</v>
      </c>
      <c r="AW251" s="331" t="s">
        <v>136</v>
      </c>
      <c r="BC251" s="331" t="s">
        <v>3545</v>
      </c>
      <c r="BE251" s="331" t="s">
        <v>125</v>
      </c>
      <c r="BH251" s="331" t="s">
        <v>3514</v>
      </c>
      <c r="BI251" s="347" t="s">
        <v>3572</v>
      </c>
    </row>
    <row r="252" spans="1:61" s="331" customFormat="1" ht="19.5" customHeight="1" x14ac:dyDescent="0.35">
      <c r="A252" s="334">
        <v>43718</v>
      </c>
      <c r="B252" s="335">
        <f ca="1">IF(A252="",(IF(ISNUMBER(SUBSTITUTE(LEFT(RIGHT(E252,LEN(E252)-MIN(SEARCH({1,2,3,4,5,6,7,8,9,0},E252&amp;"1234567890"))+1),10),".","/"))=TRUE,AJ252-(SUBSTITUTE(LEFT(RIGHT(E252,LEN(E252)-MIN(SEARCH({1,2,3,4,5,6,7,8,9,0},E252&amp;"1234567890"))+1),10),".","/")),IF((SUBSTITUTE(LEFT(RIGHT(E252,LEN(E252)-MIN(SEARCH({1,2,3,4,5,6,7,8,9,0},E252&amp;"1234567890"))+1),10),".","/"))="","",(AJ252)-(MID(RIGHT((SUBSTITUTE(LEFT(RIGHT(E252,LEN(E252)-MIN(SEARCH({1,2,3,4,5,6,7,8,9,0},E252&amp;"1234567890"))+1),10),".","/")),10),4,2)&amp;"/"&amp;LEFT((RIGHT((SUBSTITUTE(LEFT(RIGHT(E252,LEN(E252)-MIN(SEARCH({1,2,3,4,5,6,7,8,9,0},E252&amp;"1234567890"))+1),10),".","/")),10)),2)&amp;"/"&amp;RIGHT((SUBSTITUTE(LEFT(RIGHT(E252,LEN(E252)-MIN(SEARCH({1,2,3,4,5,6,7,8,9,0},E252&amp;"1234567890"))+1),10),".","/")),4))))),(AJ252-A252))</f>
        <v>1245</v>
      </c>
      <c r="C252" s="294"/>
      <c r="D252" s="294" t="str">
        <f t="shared" si="43"/>
        <v>FGC-304/2B-001X80</v>
      </c>
      <c r="E252" s="342" t="s">
        <v>4128</v>
      </c>
      <c r="F252" s="294" t="s">
        <v>4129</v>
      </c>
      <c r="G252" s="373" t="s">
        <v>4130</v>
      </c>
      <c r="H252" s="294">
        <v>304</v>
      </c>
      <c r="I252" s="337" t="s">
        <v>116</v>
      </c>
      <c r="J252" s="149">
        <v>2.8</v>
      </c>
      <c r="K252" s="149">
        <v>1.35</v>
      </c>
      <c r="L252" s="149">
        <v>1.33</v>
      </c>
      <c r="M252" s="149">
        <v>1.36</v>
      </c>
      <c r="N252" s="335">
        <v>730</v>
      </c>
      <c r="O252" s="296">
        <v>0.50600000000000001</v>
      </c>
      <c r="P252" s="374"/>
      <c r="Q252" s="335">
        <v>80</v>
      </c>
      <c r="R252" s="372"/>
      <c r="S252" s="345"/>
      <c r="T252" s="299"/>
      <c r="U252" s="282" t="s">
        <v>4096</v>
      </c>
      <c r="V252" s="130" t="s">
        <v>3541</v>
      </c>
      <c r="W252" s="282" t="s">
        <v>208</v>
      </c>
      <c r="X252" s="340">
        <v>43168</v>
      </c>
      <c r="Y252" s="340">
        <v>43168</v>
      </c>
      <c r="Z252" s="340">
        <v>43188</v>
      </c>
      <c r="AA252" s="340"/>
      <c r="AB252" s="340"/>
      <c r="AC252" s="341"/>
      <c r="AD252" s="342" t="s">
        <v>64</v>
      </c>
      <c r="AE252" s="342" t="s">
        <v>3542</v>
      </c>
      <c r="AF252" s="284" t="s">
        <v>3549</v>
      </c>
      <c r="AG252" s="284">
        <v>43120</v>
      </c>
      <c r="AH252" s="284">
        <v>43145</v>
      </c>
      <c r="AI252" s="284"/>
      <c r="AJ252" s="334">
        <f t="shared" ca="1" si="44"/>
        <v>44963</v>
      </c>
      <c r="AK252" s="342">
        <f t="shared" ca="1" si="45"/>
        <v>1818</v>
      </c>
      <c r="AL252" s="342"/>
      <c r="AM252" s="284" t="s">
        <v>3575</v>
      </c>
      <c r="AN252" s="284" t="s">
        <v>4129</v>
      </c>
      <c r="AO252" s="343">
        <v>9.0739999999999998</v>
      </c>
      <c r="AP252" s="343">
        <v>9.1039999999999992</v>
      </c>
      <c r="AQ252" s="343">
        <v>9.0949999999999989</v>
      </c>
      <c r="AR252" s="343">
        <v>9.1</v>
      </c>
      <c r="AW252" s="331" t="s">
        <v>136</v>
      </c>
      <c r="BC252" s="331" t="s">
        <v>3545</v>
      </c>
      <c r="BE252" s="331" t="s">
        <v>125</v>
      </c>
      <c r="BH252" s="331" t="s">
        <v>3514</v>
      </c>
      <c r="BI252" s="347" t="s">
        <v>3572</v>
      </c>
    </row>
    <row r="253" spans="1:61" s="331" customFormat="1" ht="19.5" customHeight="1" x14ac:dyDescent="0.35">
      <c r="A253" s="334">
        <v>43718</v>
      </c>
      <c r="B253" s="335">
        <f ca="1">IF(A253="",(IF(ISNUMBER(SUBSTITUTE(LEFT(RIGHT(E253,LEN(E253)-MIN(SEARCH({1,2,3,4,5,6,7,8,9,0},E253&amp;"1234567890"))+1),10),".","/"))=TRUE,AJ253-(SUBSTITUTE(LEFT(RIGHT(E253,LEN(E253)-MIN(SEARCH({1,2,3,4,5,6,7,8,9,0},E253&amp;"1234567890"))+1),10),".","/")),IF((SUBSTITUTE(LEFT(RIGHT(E253,LEN(E253)-MIN(SEARCH({1,2,3,4,5,6,7,8,9,0},E253&amp;"1234567890"))+1),10),".","/"))="","",(AJ253)-(MID(RIGHT((SUBSTITUTE(LEFT(RIGHT(E253,LEN(E253)-MIN(SEARCH({1,2,3,4,5,6,7,8,9,0},E253&amp;"1234567890"))+1),10),".","/")),10),4,2)&amp;"/"&amp;LEFT((RIGHT((SUBSTITUTE(LEFT(RIGHT(E253,LEN(E253)-MIN(SEARCH({1,2,3,4,5,6,7,8,9,0},E253&amp;"1234567890"))+1),10),".","/")),10)),2)&amp;"/"&amp;RIGHT((SUBSTITUTE(LEFT(RIGHT(E253,LEN(E253)-MIN(SEARCH({1,2,3,4,5,6,7,8,9,0},E253&amp;"1234567890"))+1),10),".","/")),4))))),(AJ253-A253))</f>
        <v>1245</v>
      </c>
      <c r="C253" s="294"/>
      <c r="D253" s="294" t="str">
        <f t="shared" si="43"/>
        <v>FGC-304/2B-001X80</v>
      </c>
      <c r="E253" s="342" t="s">
        <v>4128</v>
      </c>
      <c r="F253" s="294" t="s">
        <v>4129</v>
      </c>
      <c r="G253" s="373" t="s">
        <v>4131</v>
      </c>
      <c r="H253" s="294">
        <v>304</v>
      </c>
      <c r="I253" s="337" t="s">
        <v>116</v>
      </c>
      <c r="J253" s="149">
        <v>2.8</v>
      </c>
      <c r="K253" s="149">
        <v>1.35</v>
      </c>
      <c r="L253" s="149">
        <v>1.33</v>
      </c>
      <c r="M253" s="149">
        <v>1.36</v>
      </c>
      <c r="N253" s="335">
        <v>730</v>
      </c>
      <c r="O253" s="296">
        <v>0.497</v>
      </c>
      <c r="P253" s="374"/>
      <c r="Q253" s="335">
        <v>80</v>
      </c>
      <c r="R253" s="372"/>
      <c r="S253" s="345"/>
      <c r="T253" s="299"/>
      <c r="U253" s="282" t="s">
        <v>4096</v>
      </c>
      <c r="V253" s="130" t="s">
        <v>3541</v>
      </c>
      <c r="W253" s="282" t="s">
        <v>208</v>
      </c>
      <c r="X253" s="340">
        <v>43168</v>
      </c>
      <c r="Y253" s="340">
        <v>43168</v>
      </c>
      <c r="Z253" s="340">
        <v>43188</v>
      </c>
      <c r="AA253" s="340"/>
      <c r="AB253" s="340"/>
      <c r="AC253" s="341"/>
      <c r="AD253" s="342" t="s">
        <v>64</v>
      </c>
      <c r="AE253" s="342" t="s">
        <v>3542</v>
      </c>
      <c r="AF253" s="284" t="s">
        <v>3549</v>
      </c>
      <c r="AG253" s="284">
        <v>43120</v>
      </c>
      <c r="AH253" s="284">
        <v>43145</v>
      </c>
      <c r="AI253" s="284"/>
      <c r="AJ253" s="334">
        <f t="shared" ca="1" si="44"/>
        <v>44963</v>
      </c>
      <c r="AK253" s="342">
        <f t="shared" ca="1" si="45"/>
        <v>1818</v>
      </c>
      <c r="AL253" s="342"/>
      <c r="AM253" s="284" t="s">
        <v>3575</v>
      </c>
      <c r="AN253" s="284" t="s">
        <v>4129</v>
      </c>
      <c r="AO253" s="343">
        <v>9.0739999999999998</v>
      </c>
      <c r="AP253" s="343">
        <v>9.1039999999999992</v>
      </c>
      <c r="AQ253" s="343">
        <v>9.0949999999999989</v>
      </c>
      <c r="AR253" s="343">
        <v>9.1</v>
      </c>
      <c r="AW253" s="331" t="s">
        <v>136</v>
      </c>
      <c r="BC253" s="331" t="s">
        <v>3545</v>
      </c>
      <c r="BE253" s="331" t="s">
        <v>125</v>
      </c>
      <c r="BH253" s="331" t="s">
        <v>3514</v>
      </c>
      <c r="BI253" s="347" t="s">
        <v>3572</v>
      </c>
    </row>
    <row r="254" spans="1:61" s="331" customFormat="1" ht="19.5" customHeight="1" x14ac:dyDescent="0.35">
      <c r="A254" s="334">
        <v>43718</v>
      </c>
      <c r="B254" s="335">
        <f ca="1">IF(A254="",(IF(ISNUMBER(SUBSTITUTE(LEFT(RIGHT(E254,LEN(E254)-MIN(SEARCH({1,2,3,4,5,6,7,8,9,0},E254&amp;"1234567890"))+1),10),".","/"))=TRUE,AJ254-(SUBSTITUTE(LEFT(RIGHT(E254,LEN(E254)-MIN(SEARCH({1,2,3,4,5,6,7,8,9,0},E254&amp;"1234567890"))+1),10),".","/")),IF((SUBSTITUTE(LEFT(RIGHT(E254,LEN(E254)-MIN(SEARCH({1,2,3,4,5,6,7,8,9,0},E254&amp;"1234567890"))+1),10),".","/"))="","",(AJ254)-(MID(RIGHT((SUBSTITUTE(LEFT(RIGHT(E254,LEN(E254)-MIN(SEARCH({1,2,3,4,5,6,7,8,9,0},E254&amp;"1234567890"))+1),10),".","/")),10),4,2)&amp;"/"&amp;LEFT((RIGHT((SUBSTITUTE(LEFT(RIGHT(E254,LEN(E254)-MIN(SEARCH({1,2,3,4,5,6,7,8,9,0},E254&amp;"1234567890"))+1),10),".","/")),10)),2)&amp;"/"&amp;RIGHT((SUBSTITUTE(LEFT(RIGHT(E254,LEN(E254)-MIN(SEARCH({1,2,3,4,5,6,7,8,9,0},E254&amp;"1234567890"))+1),10),".","/")),4))))),(AJ254-A254))</f>
        <v>1245</v>
      </c>
      <c r="C254" s="294"/>
      <c r="D254" s="294" t="str">
        <f t="shared" si="43"/>
        <v>FGC-304/2B-001X80</v>
      </c>
      <c r="E254" s="342" t="s">
        <v>4121</v>
      </c>
      <c r="F254" s="294" t="s">
        <v>4132</v>
      </c>
      <c r="G254" s="373" t="s">
        <v>4133</v>
      </c>
      <c r="H254" s="294">
        <v>304</v>
      </c>
      <c r="I254" s="337" t="s">
        <v>116</v>
      </c>
      <c r="J254" s="149">
        <v>2.8</v>
      </c>
      <c r="K254" s="149">
        <v>1.35</v>
      </c>
      <c r="L254" s="149">
        <v>1.34</v>
      </c>
      <c r="M254" s="149">
        <v>1.36</v>
      </c>
      <c r="N254" s="335">
        <v>730</v>
      </c>
      <c r="O254" s="296">
        <f>0.47</f>
        <v>0.47</v>
      </c>
      <c r="P254" s="374"/>
      <c r="Q254" s="335">
        <v>80</v>
      </c>
      <c r="R254" s="372"/>
      <c r="S254" s="345"/>
      <c r="T254" s="299"/>
      <c r="U254" s="282" t="s">
        <v>117</v>
      </c>
      <c r="V254" s="130" t="s">
        <v>3541</v>
      </c>
      <c r="W254" s="282" t="s">
        <v>116</v>
      </c>
      <c r="X254" s="340">
        <v>43193</v>
      </c>
      <c r="Y254" s="340">
        <v>43193</v>
      </c>
      <c r="Z254" s="340">
        <v>43222</v>
      </c>
      <c r="AA254" s="340"/>
      <c r="AB254" s="340"/>
      <c r="AC254" s="341"/>
      <c r="AD254" s="342" t="s">
        <v>64</v>
      </c>
      <c r="AE254" s="342" t="s">
        <v>3542</v>
      </c>
      <c r="AF254" s="284" t="s">
        <v>3543</v>
      </c>
      <c r="AG254" s="284">
        <v>43113</v>
      </c>
      <c r="AH254" s="284">
        <v>43146</v>
      </c>
      <c r="AI254" s="284"/>
      <c r="AJ254" s="334">
        <f t="shared" ca="1" si="44"/>
        <v>44963</v>
      </c>
      <c r="AK254" s="342">
        <f t="shared" ca="1" si="45"/>
        <v>1817</v>
      </c>
      <c r="AL254" s="342"/>
      <c r="AM254" s="284" t="s">
        <v>3553</v>
      </c>
      <c r="AN254" s="284" t="s">
        <v>4132</v>
      </c>
      <c r="AO254" s="343">
        <v>9.0139999999999993</v>
      </c>
      <c r="AP254" s="343">
        <v>9.0439999999999987</v>
      </c>
      <c r="AQ254" s="343">
        <v>9.0349999999999984</v>
      </c>
      <c r="AR254" s="343">
        <v>9.0399999999999991</v>
      </c>
      <c r="AW254" s="331" t="s">
        <v>136</v>
      </c>
      <c r="BC254" s="331" t="s">
        <v>3545</v>
      </c>
      <c r="BE254" s="331" t="s">
        <v>125</v>
      </c>
      <c r="BH254" s="331" t="s">
        <v>3514</v>
      </c>
      <c r="BI254" s="347" t="s">
        <v>3572</v>
      </c>
    </row>
    <row r="255" spans="1:61" s="331" customFormat="1" ht="19.5" customHeight="1" x14ac:dyDescent="0.35">
      <c r="A255" s="334">
        <v>43718</v>
      </c>
      <c r="B255" s="335">
        <f ca="1">IF(A255="",(IF(ISNUMBER(SUBSTITUTE(LEFT(RIGHT(E255,LEN(E255)-MIN(SEARCH({1,2,3,4,5,6,7,8,9,0},E255&amp;"1234567890"))+1),10),".","/"))=TRUE,AJ255-(SUBSTITUTE(LEFT(RIGHT(E255,LEN(E255)-MIN(SEARCH({1,2,3,4,5,6,7,8,9,0},E255&amp;"1234567890"))+1),10),".","/")),IF((SUBSTITUTE(LEFT(RIGHT(E255,LEN(E255)-MIN(SEARCH({1,2,3,4,5,6,7,8,9,0},E255&amp;"1234567890"))+1),10),".","/"))="","",(AJ255)-(MID(RIGHT((SUBSTITUTE(LEFT(RIGHT(E255,LEN(E255)-MIN(SEARCH({1,2,3,4,5,6,7,8,9,0},E255&amp;"1234567890"))+1),10),".","/")),10),4,2)&amp;"/"&amp;LEFT((RIGHT((SUBSTITUTE(LEFT(RIGHT(E255,LEN(E255)-MIN(SEARCH({1,2,3,4,5,6,7,8,9,0},E255&amp;"1234567890"))+1),10),".","/")),10)),2)&amp;"/"&amp;RIGHT((SUBSTITUTE(LEFT(RIGHT(E255,LEN(E255)-MIN(SEARCH({1,2,3,4,5,6,7,8,9,0},E255&amp;"1234567890"))+1),10),".","/")),4))))),(AJ255-A255))</f>
        <v>1245</v>
      </c>
      <c r="C255" s="294"/>
      <c r="D255" s="294" t="str">
        <f t="shared" si="43"/>
        <v>FGC-304/2B-001X80</v>
      </c>
      <c r="E255" s="342" t="s">
        <v>4128</v>
      </c>
      <c r="F255" s="294" t="s">
        <v>4134</v>
      </c>
      <c r="G255" s="373" t="s">
        <v>4135</v>
      </c>
      <c r="H255" s="294">
        <v>304</v>
      </c>
      <c r="I255" s="337" t="s">
        <v>116</v>
      </c>
      <c r="J255" s="149">
        <v>2.8</v>
      </c>
      <c r="K255" s="149">
        <v>1.35</v>
      </c>
      <c r="L255" s="149">
        <v>1.32</v>
      </c>
      <c r="M255" s="149">
        <v>1.33</v>
      </c>
      <c r="N255" s="335">
        <v>730</v>
      </c>
      <c r="O255" s="296">
        <v>0.45500000000000002</v>
      </c>
      <c r="P255" s="374"/>
      <c r="Q255" s="335">
        <v>80</v>
      </c>
      <c r="R255" s="372"/>
      <c r="S255" s="345"/>
      <c r="T255" s="299"/>
      <c r="U255" s="282" t="s">
        <v>4096</v>
      </c>
      <c r="V255" s="130" t="s">
        <v>3541</v>
      </c>
      <c r="W255" s="282" t="s">
        <v>208</v>
      </c>
      <c r="X255" s="340">
        <v>43166</v>
      </c>
      <c r="Y255" s="340">
        <v>43166</v>
      </c>
      <c r="Z255" s="340">
        <v>43188</v>
      </c>
      <c r="AA255" s="340"/>
      <c r="AB255" s="340"/>
      <c r="AC255" s="341"/>
      <c r="AD255" s="342" t="s">
        <v>64</v>
      </c>
      <c r="AE255" s="342" t="s">
        <v>3542</v>
      </c>
      <c r="AF255" s="284" t="s">
        <v>3549</v>
      </c>
      <c r="AG255" s="284">
        <v>43120</v>
      </c>
      <c r="AH255" s="284">
        <v>43145</v>
      </c>
      <c r="AI255" s="284"/>
      <c r="AJ255" s="334">
        <f t="shared" ca="1" si="44"/>
        <v>44963</v>
      </c>
      <c r="AK255" s="342">
        <f t="shared" ca="1" si="45"/>
        <v>1818</v>
      </c>
      <c r="AL255" s="342"/>
      <c r="AM255" s="284" t="s">
        <v>4136</v>
      </c>
      <c r="AN255" s="284" t="s">
        <v>4134</v>
      </c>
      <c r="AO255" s="343">
        <v>9.0939999999999994</v>
      </c>
      <c r="AP255" s="343">
        <v>9.1239999999999988</v>
      </c>
      <c r="AQ255" s="343">
        <v>9.1199999999999992</v>
      </c>
      <c r="AR255" s="343">
        <v>9.125</v>
      </c>
      <c r="AW255" s="331" t="s">
        <v>136</v>
      </c>
      <c r="BC255" s="331" t="s">
        <v>3545</v>
      </c>
      <c r="BE255" s="331" t="s">
        <v>125</v>
      </c>
      <c r="BH255" s="331" t="s">
        <v>3514</v>
      </c>
      <c r="BI255" s="347" t="s">
        <v>3572</v>
      </c>
    </row>
    <row r="256" spans="1:61" s="331" customFormat="1" ht="19.5" customHeight="1" x14ac:dyDescent="0.35">
      <c r="A256" s="334">
        <v>43718</v>
      </c>
      <c r="B256" s="335">
        <f ca="1">IF(A256="",(IF(ISNUMBER(SUBSTITUTE(LEFT(RIGHT(E256,LEN(E256)-MIN(SEARCH({1,2,3,4,5,6,7,8,9,0},E256&amp;"1234567890"))+1),10),".","/"))=TRUE,AJ256-(SUBSTITUTE(LEFT(RIGHT(E256,LEN(E256)-MIN(SEARCH({1,2,3,4,5,6,7,8,9,0},E256&amp;"1234567890"))+1),10),".","/")),IF((SUBSTITUTE(LEFT(RIGHT(E256,LEN(E256)-MIN(SEARCH({1,2,3,4,5,6,7,8,9,0},E256&amp;"1234567890"))+1),10),".","/"))="","",(AJ256)-(MID(RIGHT((SUBSTITUTE(LEFT(RIGHT(E256,LEN(E256)-MIN(SEARCH({1,2,3,4,5,6,7,8,9,0},E256&amp;"1234567890"))+1),10),".","/")),10),4,2)&amp;"/"&amp;LEFT((RIGHT((SUBSTITUTE(LEFT(RIGHT(E256,LEN(E256)-MIN(SEARCH({1,2,3,4,5,6,7,8,9,0},E256&amp;"1234567890"))+1),10),".","/")),10)),2)&amp;"/"&amp;RIGHT((SUBSTITUTE(LEFT(RIGHT(E256,LEN(E256)-MIN(SEARCH({1,2,3,4,5,6,7,8,9,0},E256&amp;"1234567890"))+1),10),".","/")),4))))),(AJ256-A256))</f>
        <v>1245</v>
      </c>
      <c r="C256" s="294"/>
      <c r="D256" s="294" t="str">
        <f t="shared" si="43"/>
        <v>FGC-304/2B-001X80</v>
      </c>
      <c r="E256" s="342" t="s">
        <v>4128</v>
      </c>
      <c r="F256" s="294" t="s">
        <v>4137</v>
      </c>
      <c r="G256" s="373" t="s">
        <v>4138</v>
      </c>
      <c r="H256" s="294">
        <v>304</v>
      </c>
      <c r="I256" s="337" t="s">
        <v>116</v>
      </c>
      <c r="J256" s="149">
        <v>2.8</v>
      </c>
      <c r="K256" s="149">
        <v>1.35</v>
      </c>
      <c r="L256" s="149">
        <v>1.34</v>
      </c>
      <c r="M256" s="149">
        <v>1.37</v>
      </c>
      <c r="N256" s="335">
        <v>730</v>
      </c>
      <c r="O256" s="296">
        <v>0.5</v>
      </c>
      <c r="P256" s="374"/>
      <c r="Q256" s="335">
        <v>80</v>
      </c>
      <c r="R256" s="372"/>
      <c r="S256" s="345"/>
      <c r="T256" s="299"/>
      <c r="U256" s="282" t="s">
        <v>4096</v>
      </c>
      <c r="V256" s="130" t="s">
        <v>3541</v>
      </c>
      <c r="W256" s="282" t="s">
        <v>208</v>
      </c>
      <c r="X256" s="340">
        <v>43168</v>
      </c>
      <c r="Y256" s="340">
        <v>43168</v>
      </c>
      <c r="Z256" s="340">
        <v>43188</v>
      </c>
      <c r="AA256" s="340"/>
      <c r="AB256" s="340"/>
      <c r="AC256" s="341"/>
      <c r="AD256" s="342" t="s">
        <v>64</v>
      </c>
      <c r="AE256" s="342" t="s">
        <v>3542</v>
      </c>
      <c r="AF256" s="284" t="s">
        <v>3549</v>
      </c>
      <c r="AG256" s="284">
        <v>43120</v>
      </c>
      <c r="AH256" s="284">
        <v>43145</v>
      </c>
      <c r="AI256" s="284"/>
      <c r="AJ256" s="334">
        <f t="shared" ca="1" si="44"/>
        <v>44963</v>
      </c>
      <c r="AK256" s="342">
        <f t="shared" ca="1" si="45"/>
        <v>1818</v>
      </c>
      <c r="AL256" s="342"/>
      <c r="AM256" s="284" t="s">
        <v>4139</v>
      </c>
      <c r="AN256" s="284" t="s">
        <v>4137</v>
      </c>
      <c r="AO256" s="343">
        <v>9.1720000000000006</v>
      </c>
      <c r="AP256" s="343">
        <v>9.202</v>
      </c>
      <c r="AQ256" s="343">
        <v>9.2050000000000001</v>
      </c>
      <c r="AR256" s="343">
        <v>9.2100000000000009</v>
      </c>
      <c r="AW256" s="331" t="s">
        <v>136</v>
      </c>
      <c r="BC256" s="331" t="s">
        <v>3545</v>
      </c>
      <c r="BE256" s="331" t="s">
        <v>125</v>
      </c>
      <c r="BH256" s="331" t="s">
        <v>3514</v>
      </c>
      <c r="BI256" s="347" t="s">
        <v>3572</v>
      </c>
    </row>
    <row r="257" spans="1:61" s="331" customFormat="1" ht="18.75" customHeight="1" x14ac:dyDescent="0.35">
      <c r="A257" s="334">
        <v>43213</v>
      </c>
      <c r="B257" s="335">
        <f ca="1">IF(A257="",(IF(ISNUMBER(SUBSTITUTE(LEFT(RIGHT(E257,LEN(E257)-MIN(SEARCH({1,2,3,4,5,6,7,8,9,0},E257&amp;"1234567890"))+1),10),".","/"))=TRUE,AJ257-(SUBSTITUTE(LEFT(RIGHT(E257,LEN(E257)-MIN(SEARCH({1,2,3,4,5,6,7,8,9,0},E257&amp;"1234567890"))+1),10),".","/")),IF((SUBSTITUTE(LEFT(RIGHT(E257,LEN(E257)-MIN(SEARCH({1,2,3,4,5,6,7,8,9,0},E257&amp;"1234567890"))+1),10),".","/"))="","",(AJ257)-(MID(RIGHT((SUBSTITUTE(LEFT(RIGHT(E257,LEN(E257)-MIN(SEARCH({1,2,3,4,5,6,7,8,9,0},E257&amp;"1234567890"))+1),10),".","/")),10),4,2)&amp;"/"&amp;LEFT((RIGHT((SUBSTITUTE(LEFT(RIGHT(E257,LEN(E257)-MIN(SEARCH({1,2,3,4,5,6,7,8,9,0},E257&amp;"1234567890"))+1),10),".","/")),10)),2)&amp;"/"&amp;RIGHT((SUBSTITUTE(LEFT(RIGHT(E257,LEN(E257)-MIN(SEARCH({1,2,3,4,5,6,7,8,9,0},E257&amp;"1234567890"))+1),10),".","/")),4))))),(AJ257-A257))</f>
        <v>1750</v>
      </c>
      <c r="C257" s="294"/>
      <c r="D257" s="294" t="str">
        <f t="shared" si="43"/>
        <v>FGC-304/2B-001X80</v>
      </c>
      <c r="E257" s="126" t="s">
        <v>4140</v>
      </c>
      <c r="F257" s="294" t="s">
        <v>3569</v>
      </c>
      <c r="G257" s="373" t="s">
        <v>4141</v>
      </c>
      <c r="H257" s="294">
        <v>304</v>
      </c>
      <c r="I257" s="337" t="s">
        <v>116</v>
      </c>
      <c r="J257" s="149">
        <v>2.8</v>
      </c>
      <c r="K257" s="149">
        <v>1.35</v>
      </c>
      <c r="L257" s="149">
        <v>1.36</v>
      </c>
      <c r="M257" s="149">
        <v>1.37</v>
      </c>
      <c r="N257" s="335">
        <v>730</v>
      </c>
      <c r="O257" s="296">
        <v>0.49</v>
      </c>
      <c r="P257" s="345"/>
      <c r="Q257" s="335">
        <v>80</v>
      </c>
      <c r="R257" s="372"/>
      <c r="S257" s="345"/>
      <c r="T257" s="299"/>
      <c r="U257" s="282" t="s">
        <v>4096</v>
      </c>
      <c r="V257" s="130" t="s">
        <v>3541</v>
      </c>
      <c r="W257" s="282" t="s">
        <v>208</v>
      </c>
      <c r="X257" s="340">
        <v>43166</v>
      </c>
      <c r="Y257" s="340">
        <v>43166</v>
      </c>
      <c r="Z257" s="340">
        <v>43188</v>
      </c>
      <c r="AA257" s="340"/>
      <c r="AB257" s="340"/>
      <c r="AC257" s="341"/>
      <c r="AD257" s="342" t="s">
        <v>64</v>
      </c>
      <c r="AE257" s="342" t="s">
        <v>3542</v>
      </c>
      <c r="AF257" s="284" t="s">
        <v>3543</v>
      </c>
      <c r="AG257" s="284">
        <v>43113</v>
      </c>
      <c r="AH257" s="284">
        <v>43146</v>
      </c>
      <c r="AI257" s="284"/>
      <c r="AJ257" s="334">
        <f t="shared" ca="1" si="44"/>
        <v>44963</v>
      </c>
      <c r="AK257" s="342">
        <f t="shared" ca="1" si="45"/>
        <v>1817</v>
      </c>
      <c r="AL257" s="342"/>
      <c r="AM257" s="284" t="s">
        <v>3571</v>
      </c>
      <c r="AN257" s="284" t="s">
        <v>3569</v>
      </c>
      <c r="AO257" s="343">
        <v>9.0280000000000005</v>
      </c>
      <c r="AP257" s="343">
        <v>9.0579999999999998</v>
      </c>
      <c r="AQ257" s="343">
        <v>9.0549999999999997</v>
      </c>
      <c r="AR257" s="343">
        <v>9.06</v>
      </c>
      <c r="AW257" s="331" t="s">
        <v>136</v>
      </c>
      <c r="BC257" s="331" t="s">
        <v>3545</v>
      </c>
      <c r="BE257" s="331" t="s">
        <v>125</v>
      </c>
      <c r="BH257" s="331" t="s">
        <v>3514</v>
      </c>
      <c r="BI257" s="347" t="s">
        <v>3515</v>
      </c>
    </row>
    <row r="258" spans="1:61" s="331" customFormat="1" ht="19.5" customHeight="1" x14ac:dyDescent="0.35">
      <c r="A258" s="334">
        <v>43720</v>
      </c>
      <c r="B258" s="335">
        <f ca="1">IF(A258="",(IF(ISNUMBER(SUBSTITUTE(LEFT(RIGHT(E258,LEN(E258)-MIN(SEARCH({1,2,3,4,5,6,7,8,9,0},E258&amp;"1234567890"))+1),10),".","/"))=TRUE,AJ258-(SUBSTITUTE(LEFT(RIGHT(E258,LEN(E258)-MIN(SEARCH({1,2,3,4,5,6,7,8,9,0},E258&amp;"1234567890"))+1),10),".","/")),IF((SUBSTITUTE(LEFT(RIGHT(E258,LEN(E258)-MIN(SEARCH({1,2,3,4,5,6,7,8,9,0},E258&amp;"1234567890"))+1),10),".","/"))="","",(AJ258)-(MID(RIGHT((SUBSTITUTE(LEFT(RIGHT(E258,LEN(E258)-MIN(SEARCH({1,2,3,4,5,6,7,8,9,0},E258&amp;"1234567890"))+1),10),".","/")),10),4,2)&amp;"/"&amp;LEFT((RIGHT((SUBSTITUTE(LEFT(RIGHT(E258,LEN(E258)-MIN(SEARCH({1,2,3,4,5,6,7,8,9,0},E258&amp;"1234567890"))+1),10),".","/")),10)),2)&amp;"/"&amp;RIGHT((SUBSTITUTE(LEFT(RIGHT(E258,LEN(E258)-MIN(SEARCH({1,2,3,4,5,6,7,8,9,0},E258&amp;"1234567890"))+1),10),".","/")),4))))),(AJ258-A258))</f>
        <v>1243</v>
      </c>
      <c r="C258" s="294"/>
      <c r="D258" s="294" t="str">
        <f t="shared" si="43"/>
        <v>FGC-304/2B-001X80</v>
      </c>
      <c r="E258" s="342" t="s">
        <v>4121</v>
      </c>
      <c r="F258" s="294" t="s">
        <v>4125</v>
      </c>
      <c r="G258" s="373" t="s">
        <v>4142</v>
      </c>
      <c r="H258" s="294">
        <v>304</v>
      </c>
      <c r="I258" s="337" t="s">
        <v>116</v>
      </c>
      <c r="J258" s="149">
        <v>2.8</v>
      </c>
      <c r="K258" s="149">
        <v>1.35</v>
      </c>
      <c r="L258" s="149">
        <v>1.35</v>
      </c>
      <c r="M258" s="149">
        <v>1.37</v>
      </c>
      <c r="N258" s="335">
        <v>730</v>
      </c>
      <c r="O258" s="296">
        <v>0.47499999999999998</v>
      </c>
      <c r="P258" s="374"/>
      <c r="Q258" s="335">
        <v>80</v>
      </c>
      <c r="R258" s="372"/>
      <c r="S258" s="345"/>
      <c r="T258" s="299"/>
      <c r="U258" s="282" t="s">
        <v>117</v>
      </c>
      <c r="V258" s="130" t="s">
        <v>3541</v>
      </c>
      <c r="W258" s="282" t="s">
        <v>116</v>
      </c>
      <c r="X258" s="340">
        <v>43193</v>
      </c>
      <c r="Y258" s="340">
        <v>43193</v>
      </c>
      <c r="Z258" s="340">
        <v>43222</v>
      </c>
      <c r="AA258" s="340"/>
      <c r="AB258" s="340"/>
      <c r="AC258" s="341"/>
      <c r="AD258" s="342" t="s">
        <v>64</v>
      </c>
      <c r="AE258" s="342" t="s">
        <v>3542</v>
      </c>
      <c r="AF258" s="284" t="s">
        <v>3549</v>
      </c>
      <c r="AG258" s="284">
        <v>43120</v>
      </c>
      <c r="AH258" s="284">
        <v>43145</v>
      </c>
      <c r="AI258" s="284"/>
      <c r="AJ258" s="334">
        <f t="shared" ca="1" si="44"/>
        <v>44963</v>
      </c>
      <c r="AK258" s="342">
        <f t="shared" ca="1" si="45"/>
        <v>1818</v>
      </c>
      <c r="AL258" s="342"/>
      <c r="AM258" s="284" t="s">
        <v>4127</v>
      </c>
      <c r="AN258" s="284" t="s">
        <v>4125</v>
      </c>
      <c r="AO258" s="343">
        <v>8.85</v>
      </c>
      <c r="AP258" s="343">
        <v>8.879999999999999</v>
      </c>
      <c r="AQ258" s="343">
        <v>8.875</v>
      </c>
      <c r="AR258" s="343">
        <v>8.8800000000000008</v>
      </c>
      <c r="AW258" s="331" t="s">
        <v>136</v>
      </c>
      <c r="BC258" s="331" t="s">
        <v>3545</v>
      </c>
      <c r="BE258" s="331" t="s">
        <v>125</v>
      </c>
      <c r="BH258" s="331" t="s">
        <v>3514</v>
      </c>
      <c r="BI258" s="347" t="s">
        <v>3515</v>
      </c>
    </row>
    <row r="259" spans="1:61" s="331" customFormat="1" ht="19.5" customHeight="1" x14ac:dyDescent="0.35">
      <c r="A259" s="334">
        <v>43720</v>
      </c>
      <c r="B259" s="335">
        <f ca="1">IF(A259="",(IF(ISNUMBER(SUBSTITUTE(LEFT(RIGHT(E259,LEN(E259)-MIN(SEARCH({1,2,3,4,5,6,7,8,9,0},E259&amp;"1234567890"))+1),10),".","/"))=TRUE,AJ259-(SUBSTITUTE(LEFT(RIGHT(E259,LEN(E259)-MIN(SEARCH({1,2,3,4,5,6,7,8,9,0},E259&amp;"1234567890"))+1),10),".","/")),IF((SUBSTITUTE(LEFT(RIGHT(E259,LEN(E259)-MIN(SEARCH({1,2,3,4,5,6,7,8,9,0},E259&amp;"1234567890"))+1),10),".","/"))="","",(AJ259)-(MID(RIGHT((SUBSTITUTE(LEFT(RIGHT(E259,LEN(E259)-MIN(SEARCH({1,2,3,4,5,6,7,8,9,0},E259&amp;"1234567890"))+1),10),".","/")),10),4,2)&amp;"/"&amp;LEFT((RIGHT((SUBSTITUTE(LEFT(RIGHT(E259,LEN(E259)-MIN(SEARCH({1,2,3,4,5,6,7,8,9,0},E259&amp;"1234567890"))+1),10),".","/")),10)),2)&amp;"/"&amp;RIGHT((SUBSTITUTE(LEFT(RIGHT(E259,LEN(E259)-MIN(SEARCH({1,2,3,4,5,6,7,8,9,0},E259&amp;"1234567890"))+1),10),".","/")),4))))),(AJ259-A259))</f>
        <v>1243</v>
      </c>
      <c r="C259" s="294"/>
      <c r="D259" s="294" t="str">
        <f t="shared" si="43"/>
        <v>FGC-304/2B-001X79,5</v>
      </c>
      <c r="E259" s="342" t="s">
        <v>4113</v>
      </c>
      <c r="F259" s="294" t="s">
        <v>4118</v>
      </c>
      <c r="G259" s="373" t="s">
        <v>4143</v>
      </c>
      <c r="H259" s="294">
        <v>304</v>
      </c>
      <c r="I259" s="337" t="s">
        <v>116</v>
      </c>
      <c r="J259" s="149">
        <v>2.8</v>
      </c>
      <c r="K259" s="149">
        <v>1.35</v>
      </c>
      <c r="L259" s="149">
        <v>1.33</v>
      </c>
      <c r="M259" s="149">
        <v>1.35</v>
      </c>
      <c r="N259" s="335">
        <v>730</v>
      </c>
      <c r="O259" s="296">
        <f>0.46</f>
        <v>0.46</v>
      </c>
      <c r="P259" s="374"/>
      <c r="Q259" s="335">
        <v>79.5</v>
      </c>
      <c r="R259" s="342"/>
      <c r="S259" s="345"/>
      <c r="T259" s="299"/>
      <c r="U259" s="282" t="s">
        <v>4096</v>
      </c>
      <c r="V259" s="130" t="s">
        <v>3541</v>
      </c>
      <c r="W259" s="282" t="s">
        <v>208</v>
      </c>
      <c r="X259" s="340">
        <v>43167</v>
      </c>
      <c r="Y259" s="340">
        <v>43167</v>
      </c>
      <c r="Z259" s="340">
        <v>43188</v>
      </c>
      <c r="AA259" s="340"/>
      <c r="AB259" s="340"/>
      <c r="AC259" s="341"/>
      <c r="AD259" s="342" t="s">
        <v>64</v>
      </c>
      <c r="AE259" s="342" t="s">
        <v>3542</v>
      </c>
      <c r="AF259" s="284" t="s">
        <v>3543</v>
      </c>
      <c r="AG259" s="284">
        <v>43113</v>
      </c>
      <c r="AH259" s="284">
        <v>43146</v>
      </c>
      <c r="AI259" s="284"/>
      <c r="AJ259" s="334">
        <f t="shared" ca="1" si="44"/>
        <v>44963</v>
      </c>
      <c r="AK259" s="342">
        <f t="shared" ca="1" si="45"/>
        <v>1817</v>
      </c>
      <c r="AL259" s="342"/>
      <c r="AM259" s="284" t="s">
        <v>4120</v>
      </c>
      <c r="AN259" s="284" t="s">
        <v>4118</v>
      </c>
      <c r="AO259" s="343">
        <v>9.0820000000000007</v>
      </c>
      <c r="AP259" s="343">
        <v>9.1120000000000001</v>
      </c>
      <c r="AQ259" s="343">
        <v>9.1049999999999986</v>
      </c>
      <c r="AR259" s="343">
        <v>9.11</v>
      </c>
      <c r="AW259" s="331" t="s">
        <v>136</v>
      </c>
      <c r="BC259" s="331" t="s">
        <v>3545</v>
      </c>
      <c r="BE259" s="331" t="s">
        <v>125</v>
      </c>
      <c r="BH259" s="331" t="s">
        <v>3514</v>
      </c>
      <c r="BI259" s="347" t="s">
        <v>3515</v>
      </c>
    </row>
    <row r="260" spans="1:61" s="331" customFormat="1" ht="19.5" customHeight="1" x14ac:dyDescent="0.35">
      <c r="A260" s="334">
        <v>43229</v>
      </c>
      <c r="B260" s="335">
        <f ca="1">IF(A260="",(IF(ISNUMBER(SUBSTITUTE(LEFT(RIGHT(E260,LEN(E260)-MIN(SEARCH({1,2,3,4,5,6,7,8,9,0},E260&amp;"1234567890"))+1),10),".","/"))=TRUE,AJ260-(SUBSTITUTE(LEFT(RIGHT(E260,LEN(E260)-MIN(SEARCH({1,2,3,4,5,6,7,8,9,0},E260&amp;"1234567890"))+1),10),".","/")),IF((SUBSTITUTE(LEFT(RIGHT(E260,LEN(E260)-MIN(SEARCH({1,2,3,4,5,6,7,8,9,0},E260&amp;"1234567890"))+1),10),".","/"))="","",(AJ260)-(MID(RIGHT((SUBSTITUTE(LEFT(RIGHT(E260,LEN(E260)-MIN(SEARCH({1,2,3,4,5,6,7,8,9,0},E260&amp;"1234567890"))+1),10),".","/")),10),4,2)&amp;"/"&amp;LEFT((RIGHT((SUBSTITUTE(LEFT(RIGHT(E260,LEN(E260)-MIN(SEARCH({1,2,3,4,5,6,7,8,9,0},E260&amp;"1234567890"))+1),10),".","/")),10)),2)&amp;"/"&amp;RIGHT((SUBSTITUTE(LEFT(RIGHT(E260,LEN(E260)-MIN(SEARCH({1,2,3,4,5,6,7,8,9,0},E260&amp;"1234567890"))+1),10),".","/")),4))))),(AJ260-A260))</f>
        <v>1734</v>
      </c>
      <c r="C260" s="294"/>
      <c r="D260" s="294" t="str">
        <f t="shared" si="43"/>
        <v>FGC-304/2B-001X60</v>
      </c>
      <c r="E260" s="342" t="s">
        <v>4144</v>
      </c>
      <c r="F260" s="294" t="s">
        <v>4145</v>
      </c>
      <c r="G260" s="294" t="s">
        <v>4146</v>
      </c>
      <c r="H260" s="294">
        <v>304</v>
      </c>
      <c r="I260" s="337" t="s">
        <v>116</v>
      </c>
      <c r="J260" s="149">
        <v>1.2</v>
      </c>
      <c r="K260" s="149">
        <v>0.6</v>
      </c>
      <c r="L260" s="149">
        <v>0.56999999999999995</v>
      </c>
      <c r="M260" s="149">
        <v>0.57999999999999996</v>
      </c>
      <c r="N260" s="335">
        <v>727</v>
      </c>
      <c r="O260" s="296">
        <f>0.255</f>
        <v>0.255</v>
      </c>
      <c r="P260" s="345"/>
      <c r="Q260" s="335">
        <v>60</v>
      </c>
      <c r="R260" s="372"/>
      <c r="S260" s="345"/>
      <c r="T260" s="299"/>
      <c r="U260" s="282" t="s">
        <v>117</v>
      </c>
      <c r="V260" s="130" t="s">
        <v>4147</v>
      </c>
      <c r="W260" s="282" t="s">
        <v>116</v>
      </c>
      <c r="X260" s="340" t="s">
        <v>4148</v>
      </c>
      <c r="Y260" s="340" t="s">
        <v>4148</v>
      </c>
      <c r="Z260" s="340" t="s">
        <v>4149</v>
      </c>
      <c r="AA260" s="340">
        <v>43222</v>
      </c>
      <c r="AB260" s="340"/>
      <c r="AC260" s="341"/>
      <c r="AD260" s="342" t="s">
        <v>64</v>
      </c>
      <c r="AE260" s="342" t="s">
        <v>3542</v>
      </c>
      <c r="AF260" s="284" t="s">
        <v>3549</v>
      </c>
      <c r="AG260" s="284">
        <v>43120</v>
      </c>
      <c r="AH260" s="284">
        <v>43145</v>
      </c>
      <c r="AI260" s="284"/>
      <c r="AJ260" s="334">
        <f t="shared" ca="1" si="44"/>
        <v>44963</v>
      </c>
      <c r="AK260" s="342">
        <f t="shared" ca="1" si="45"/>
        <v>1818</v>
      </c>
      <c r="AL260" s="342"/>
      <c r="AM260" s="284" t="s">
        <v>4150</v>
      </c>
      <c r="AN260" s="284" t="s">
        <v>4145</v>
      </c>
      <c r="AO260" s="343">
        <v>9.2360000000000007</v>
      </c>
      <c r="AP260" s="343">
        <v>9.266</v>
      </c>
      <c r="AQ260" s="343">
        <v>9.26</v>
      </c>
      <c r="AR260" s="343">
        <v>9.2650000000000006</v>
      </c>
      <c r="AW260" s="331" t="s">
        <v>136</v>
      </c>
      <c r="BC260" s="331" t="s">
        <v>3545</v>
      </c>
      <c r="BE260" s="331" t="s">
        <v>125</v>
      </c>
      <c r="BH260" s="331" t="s">
        <v>3514</v>
      </c>
      <c r="BI260" s="347" t="s">
        <v>3515</v>
      </c>
    </row>
    <row r="261" spans="1:61" s="331" customFormat="1" ht="19.5" customHeight="1" x14ac:dyDescent="0.35">
      <c r="A261" s="334">
        <v>43229</v>
      </c>
      <c r="B261" s="335">
        <f ca="1">IF(A261="",(IF(ISNUMBER(SUBSTITUTE(LEFT(RIGHT(E261,LEN(E261)-MIN(SEARCH({1,2,3,4,5,6,7,8,9,0},E261&amp;"1234567890"))+1),10),".","/"))=TRUE,AJ261-(SUBSTITUTE(LEFT(RIGHT(E261,LEN(E261)-MIN(SEARCH({1,2,3,4,5,6,7,8,9,0},E261&amp;"1234567890"))+1),10),".","/")),IF((SUBSTITUTE(LEFT(RIGHT(E261,LEN(E261)-MIN(SEARCH({1,2,3,4,5,6,7,8,9,0},E261&amp;"1234567890"))+1),10),".","/"))="","",(AJ261)-(MID(RIGHT((SUBSTITUTE(LEFT(RIGHT(E261,LEN(E261)-MIN(SEARCH({1,2,3,4,5,6,7,8,9,0},E261&amp;"1234567890"))+1),10),".","/")),10),4,2)&amp;"/"&amp;LEFT((RIGHT((SUBSTITUTE(LEFT(RIGHT(E261,LEN(E261)-MIN(SEARCH({1,2,3,4,5,6,7,8,9,0},E261&amp;"1234567890"))+1),10),".","/")),10)),2)&amp;"/"&amp;RIGHT((SUBSTITUTE(LEFT(RIGHT(E261,LEN(E261)-MIN(SEARCH({1,2,3,4,5,6,7,8,9,0},E261&amp;"1234567890"))+1),10),".","/")),4))))),(AJ261-A261))</f>
        <v>1734</v>
      </c>
      <c r="C261" s="294"/>
      <c r="D261" s="294" t="str">
        <f t="shared" si="43"/>
        <v>FGC-304/2B-001X60</v>
      </c>
      <c r="E261" s="342" t="s">
        <v>4144</v>
      </c>
      <c r="F261" s="294" t="s">
        <v>4145</v>
      </c>
      <c r="G261" s="294" t="s">
        <v>4151</v>
      </c>
      <c r="H261" s="294">
        <v>304</v>
      </c>
      <c r="I261" s="337" t="s">
        <v>116</v>
      </c>
      <c r="J261" s="149">
        <v>1.2</v>
      </c>
      <c r="K261" s="149">
        <v>0.6</v>
      </c>
      <c r="L261" s="149">
        <v>0.56999999999999995</v>
      </c>
      <c r="M261" s="149">
        <v>0.57999999999999996</v>
      </c>
      <c r="N261" s="335">
        <v>727</v>
      </c>
      <c r="O261" s="296">
        <v>0.245</v>
      </c>
      <c r="P261" s="345"/>
      <c r="Q261" s="335">
        <v>60</v>
      </c>
      <c r="R261" s="372"/>
      <c r="S261" s="345"/>
      <c r="T261" s="299"/>
      <c r="U261" s="282" t="s">
        <v>117</v>
      </c>
      <c r="V261" s="130" t="s">
        <v>4147</v>
      </c>
      <c r="W261" s="282" t="s">
        <v>116</v>
      </c>
      <c r="X261" s="340" t="s">
        <v>4148</v>
      </c>
      <c r="Y261" s="340" t="s">
        <v>4148</v>
      </c>
      <c r="Z261" s="340" t="s">
        <v>4149</v>
      </c>
      <c r="AA261" s="340">
        <v>43222</v>
      </c>
      <c r="AB261" s="340"/>
      <c r="AC261" s="341"/>
      <c r="AD261" s="342" t="s">
        <v>64</v>
      </c>
      <c r="AE261" s="342" t="s">
        <v>3542</v>
      </c>
      <c r="AF261" s="284" t="s">
        <v>3549</v>
      </c>
      <c r="AG261" s="284">
        <v>43120</v>
      </c>
      <c r="AH261" s="284">
        <v>43145</v>
      </c>
      <c r="AI261" s="284"/>
      <c r="AJ261" s="334">
        <f t="shared" ca="1" si="44"/>
        <v>44963</v>
      </c>
      <c r="AK261" s="342">
        <f t="shared" ca="1" si="45"/>
        <v>1818</v>
      </c>
      <c r="AL261" s="342"/>
      <c r="AM261" s="284" t="s">
        <v>4150</v>
      </c>
      <c r="AN261" s="284" t="s">
        <v>4145</v>
      </c>
      <c r="AO261" s="343">
        <v>9.2360000000000007</v>
      </c>
      <c r="AP261" s="343">
        <v>9.266</v>
      </c>
      <c r="AQ261" s="343">
        <v>9.26</v>
      </c>
      <c r="AR261" s="343">
        <v>9.2650000000000006</v>
      </c>
      <c r="AW261" s="331" t="s">
        <v>136</v>
      </c>
      <c r="BC261" s="331" t="s">
        <v>3545</v>
      </c>
      <c r="BE261" s="331" t="s">
        <v>125</v>
      </c>
      <c r="BH261" s="331" t="s">
        <v>3514</v>
      </c>
      <c r="BI261" s="347" t="s">
        <v>3515</v>
      </c>
    </row>
    <row r="262" spans="1:61" s="331" customFormat="1" ht="19.5" customHeight="1" x14ac:dyDescent="0.35">
      <c r="A262" s="334">
        <v>43229</v>
      </c>
      <c r="B262" s="335">
        <f ca="1">IF(A262="",(IF(ISNUMBER(SUBSTITUTE(LEFT(RIGHT(E262,LEN(E262)-MIN(SEARCH({1,2,3,4,5,6,7,8,9,0},E262&amp;"1234567890"))+1),10),".","/"))=TRUE,AJ262-(SUBSTITUTE(LEFT(RIGHT(E262,LEN(E262)-MIN(SEARCH({1,2,3,4,5,6,7,8,9,0},E262&amp;"1234567890"))+1),10),".","/")),IF((SUBSTITUTE(LEFT(RIGHT(E262,LEN(E262)-MIN(SEARCH({1,2,3,4,5,6,7,8,9,0},E262&amp;"1234567890"))+1),10),".","/"))="","",(AJ262)-(MID(RIGHT((SUBSTITUTE(LEFT(RIGHT(E262,LEN(E262)-MIN(SEARCH({1,2,3,4,5,6,7,8,9,0},E262&amp;"1234567890"))+1),10),".","/")),10),4,2)&amp;"/"&amp;LEFT((RIGHT((SUBSTITUTE(LEFT(RIGHT(E262,LEN(E262)-MIN(SEARCH({1,2,3,4,5,6,7,8,9,0},E262&amp;"1234567890"))+1),10),".","/")),10)),2)&amp;"/"&amp;RIGHT((SUBSTITUTE(LEFT(RIGHT(E262,LEN(E262)-MIN(SEARCH({1,2,3,4,5,6,7,8,9,0},E262&amp;"1234567890"))+1),10),".","/")),4))))),(AJ262-A262))</f>
        <v>1734</v>
      </c>
      <c r="C262" s="294"/>
      <c r="D262" s="294" t="str">
        <f t="shared" si="43"/>
        <v>FGC-304/2B-001X60</v>
      </c>
      <c r="E262" s="342" t="s">
        <v>4144</v>
      </c>
      <c r="F262" s="294" t="s">
        <v>4145</v>
      </c>
      <c r="G262" s="294" t="s">
        <v>4152</v>
      </c>
      <c r="H262" s="294">
        <v>304</v>
      </c>
      <c r="I262" s="337" t="s">
        <v>116</v>
      </c>
      <c r="J262" s="149">
        <v>1.2</v>
      </c>
      <c r="K262" s="149">
        <v>0.6</v>
      </c>
      <c r="L262" s="149">
        <v>0.56999999999999995</v>
      </c>
      <c r="M262" s="149">
        <v>0.57999999999999996</v>
      </c>
      <c r="N262" s="335">
        <v>727</v>
      </c>
      <c r="O262" s="296">
        <v>0.26</v>
      </c>
      <c r="P262" s="375"/>
      <c r="Q262" s="335">
        <v>60</v>
      </c>
      <c r="R262" s="372"/>
      <c r="S262" s="345"/>
      <c r="T262" s="299"/>
      <c r="U262" s="282" t="s">
        <v>117</v>
      </c>
      <c r="V262" s="130" t="s">
        <v>4147</v>
      </c>
      <c r="W262" s="282" t="s">
        <v>116</v>
      </c>
      <c r="X262" s="340" t="s">
        <v>4148</v>
      </c>
      <c r="Y262" s="340" t="s">
        <v>4148</v>
      </c>
      <c r="Z262" s="340" t="s">
        <v>4149</v>
      </c>
      <c r="AA262" s="340">
        <v>43222</v>
      </c>
      <c r="AB262" s="340"/>
      <c r="AC262" s="341"/>
      <c r="AD262" s="342" t="s">
        <v>64</v>
      </c>
      <c r="AE262" s="342" t="s">
        <v>3542</v>
      </c>
      <c r="AF262" s="284" t="s">
        <v>3549</v>
      </c>
      <c r="AG262" s="284">
        <v>43120</v>
      </c>
      <c r="AH262" s="284">
        <v>43145</v>
      </c>
      <c r="AI262" s="284"/>
      <c r="AJ262" s="334">
        <f t="shared" ca="1" si="44"/>
        <v>44963</v>
      </c>
      <c r="AK262" s="342">
        <f t="shared" ca="1" si="45"/>
        <v>1818</v>
      </c>
      <c r="AL262" s="342"/>
      <c r="AM262" s="284" t="s">
        <v>4150</v>
      </c>
      <c r="AN262" s="284" t="s">
        <v>4145</v>
      </c>
      <c r="AO262" s="343">
        <v>9.2360000000000007</v>
      </c>
      <c r="AP262" s="343">
        <v>9.266</v>
      </c>
      <c r="AQ262" s="343">
        <v>9.26</v>
      </c>
      <c r="AR262" s="343">
        <v>9.2650000000000006</v>
      </c>
      <c r="AW262" s="331" t="s">
        <v>136</v>
      </c>
      <c r="BC262" s="331" t="s">
        <v>3545</v>
      </c>
      <c r="BE262" s="331" t="s">
        <v>125</v>
      </c>
      <c r="BH262" s="331" t="s">
        <v>3514</v>
      </c>
      <c r="BI262" s="347" t="s">
        <v>3515</v>
      </c>
    </row>
    <row r="263" spans="1:61" s="331" customFormat="1" ht="19.5" customHeight="1" x14ac:dyDescent="0.35">
      <c r="A263" s="334"/>
      <c r="B263" s="335">
        <f ca="1">IF(A263="",(IF(ISNUMBER(SUBSTITUTE(LEFT(RIGHT(E263,LEN(E263)-MIN(SEARCH({1,2,3,4,5,6,7,8,9,0},E263&amp;"1234567890"))+1),10),".","/"))=TRUE,AJ263-(SUBSTITUTE(LEFT(RIGHT(E263,LEN(E263)-MIN(SEARCH({1,2,3,4,5,6,7,8,9,0},E263&amp;"1234567890"))+1),10),".","/")),IF((SUBSTITUTE(LEFT(RIGHT(E263,LEN(E263)-MIN(SEARCH({1,2,3,4,5,6,7,8,9,0},E263&amp;"1234567890"))+1),10),".","/"))="","",(AJ263)-(MID(RIGHT((SUBSTITUTE(LEFT(RIGHT(E263,LEN(E263)-MIN(SEARCH({1,2,3,4,5,6,7,8,9,0},E263&amp;"1234567890"))+1),10),".","/")),10),4,2)&amp;"/"&amp;LEFT((RIGHT((SUBSTITUTE(LEFT(RIGHT(E263,LEN(E263)-MIN(SEARCH({1,2,3,4,5,6,7,8,9,0},E263&amp;"1234567890"))+1),10),".","/")),10)),2)&amp;"/"&amp;RIGHT((SUBSTITUTE(LEFT(RIGHT(E263,LEN(E263)-MIN(SEARCH({1,2,3,4,5,6,7,8,9,0},E263&amp;"1234567890"))+1),10),".","/")),4))))),(AJ263-A263))</f>
        <v>1222</v>
      </c>
      <c r="C263" s="294"/>
      <c r="D263" s="294" t="str">
        <f t="shared" si="43"/>
        <v>FGC-430/2B-002X90</v>
      </c>
      <c r="E263" s="342" t="s">
        <v>4153</v>
      </c>
      <c r="F263" s="294" t="s">
        <v>189</v>
      </c>
      <c r="G263" s="294" t="s">
        <v>4154</v>
      </c>
      <c r="H263" s="294">
        <v>430</v>
      </c>
      <c r="I263" s="337" t="s">
        <v>116</v>
      </c>
      <c r="J263" s="149">
        <v>4</v>
      </c>
      <c r="K263" s="149">
        <v>2</v>
      </c>
      <c r="L263" s="149">
        <v>1.9</v>
      </c>
      <c r="M263" s="149">
        <v>1.94</v>
      </c>
      <c r="N263" s="335">
        <v>763</v>
      </c>
      <c r="O263" s="296">
        <v>0.71</v>
      </c>
      <c r="P263" s="345"/>
      <c r="Q263" s="335">
        <v>90</v>
      </c>
      <c r="R263" s="372"/>
      <c r="S263" s="339"/>
      <c r="T263" s="299"/>
      <c r="U263" s="282" t="s">
        <v>117</v>
      </c>
      <c r="V263" s="282" t="s">
        <v>191</v>
      </c>
      <c r="W263" s="282" t="s">
        <v>116</v>
      </c>
      <c r="X263" s="340">
        <v>43445</v>
      </c>
      <c r="Y263" s="340">
        <v>43446</v>
      </c>
      <c r="Z263" s="340">
        <v>43447</v>
      </c>
      <c r="AA263" s="340">
        <v>43534</v>
      </c>
      <c r="AB263" s="340"/>
      <c r="AC263" s="341" t="s">
        <v>4155</v>
      </c>
      <c r="AD263" s="342" t="s">
        <v>64</v>
      </c>
      <c r="AE263" s="342" t="s">
        <v>132</v>
      </c>
      <c r="AF263" s="284" t="s">
        <v>192</v>
      </c>
      <c r="AG263" s="284">
        <v>43329</v>
      </c>
      <c r="AH263" s="284">
        <v>43348</v>
      </c>
      <c r="AI263" s="284"/>
      <c r="AJ263" s="334">
        <f t="shared" ca="1" si="44"/>
        <v>44963</v>
      </c>
      <c r="AK263" s="342">
        <f t="shared" ca="1" si="45"/>
        <v>1615</v>
      </c>
      <c r="AL263" s="342">
        <f ca="1">IF(ISNUMBER(Z263)=TRUE,AJ263-Z263,IF(Z263="","",(AJ263)-(MID(RIGHT(Z263,10),4,2)&amp;"/"&amp;LEFT((RIGHT(Z263,10)),2)&amp;"/"&amp;RIGHT(Z263,4))))</f>
        <v>1516</v>
      </c>
      <c r="AM263" s="284" t="s">
        <v>193</v>
      </c>
      <c r="AN263" s="284" t="s">
        <v>194</v>
      </c>
      <c r="AO263" s="343">
        <v>11.34</v>
      </c>
      <c r="AP263" s="343">
        <v>11.355</v>
      </c>
      <c r="AQ263" s="343">
        <v>11.389999999999999</v>
      </c>
      <c r="AR263" s="343">
        <v>11.395</v>
      </c>
      <c r="AW263" s="331" t="s">
        <v>195</v>
      </c>
      <c r="BC263" s="331">
        <v>0</v>
      </c>
      <c r="BE263" s="331" t="s">
        <v>125</v>
      </c>
      <c r="BH263" s="331" t="s">
        <v>3514</v>
      </c>
      <c r="BI263" s="347" t="s">
        <v>3515</v>
      </c>
    </row>
    <row r="264" spans="1:61" s="331" customFormat="1" ht="19.5" customHeight="1" x14ac:dyDescent="0.35">
      <c r="A264" s="334"/>
      <c r="B264" s="335" t="e">
        <f ca="1">IF(A264="",(IF(ISNUMBER(SUBSTITUTE(LEFT(RIGHT(E264,LEN(E264)-MIN(SEARCH({1,2,3,4,5,6,7,8,9,0},E264&amp;"1234567890"))+1),10),".","/"))=TRUE,AJ264-(SUBSTITUTE(LEFT(RIGHT(E264,LEN(E264)-MIN(SEARCH({1,2,3,4,5,6,7,8,9,0},E264&amp;"1234567890"))+1),10),".","/")),IF((SUBSTITUTE(LEFT(RIGHT(E264,LEN(E264)-MIN(SEARCH({1,2,3,4,5,6,7,8,9,0},E264&amp;"1234567890"))+1),10),".","/"))="","",(AJ264)-(MID(RIGHT((SUBSTITUTE(LEFT(RIGHT(E264,LEN(E264)-MIN(SEARCH({1,2,3,4,5,6,7,8,9,0},E264&amp;"1234567890"))+1),10),".","/")),10),4,2)&amp;"/"&amp;LEFT((RIGHT((SUBSTITUTE(LEFT(RIGHT(E264,LEN(E264)-MIN(SEARCH({1,2,3,4,5,6,7,8,9,0},E264&amp;"1234567890"))+1),10),".","/")),10)),2)&amp;"/"&amp;RIGHT((SUBSTITUTE(LEFT(RIGHT(E264,LEN(E264)-MIN(SEARCH({1,2,3,4,5,6,7,8,9,0},E264&amp;"1234567890"))+1),10),".","/")),4))))),(AJ264-A264))</f>
        <v>#VALUE!</v>
      </c>
      <c r="C264" s="294"/>
      <c r="D264" s="294" t="str">
        <f t="shared" si="43"/>
        <v>FGC-430/2B-002X80</v>
      </c>
      <c r="E264" s="342" t="s">
        <v>4156</v>
      </c>
      <c r="F264" s="294" t="s">
        <v>4157</v>
      </c>
      <c r="G264" s="294" t="s">
        <v>4158</v>
      </c>
      <c r="H264" s="294">
        <v>430</v>
      </c>
      <c r="I264" s="337" t="s">
        <v>116</v>
      </c>
      <c r="J264" s="149">
        <v>4</v>
      </c>
      <c r="K264" s="149">
        <v>1.95</v>
      </c>
      <c r="L264" s="149">
        <v>1.98</v>
      </c>
      <c r="M264" s="149">
        <v>1.99</v>
      </c>
      <c r="N264" s="335">
        <v>750</v>
      </c>
      <c r="O264" s="296">
        <v>0.59399999999999997</v>
      </c>
      <c r="P264" s="345"/>
      <c r="Q264" s="299">
        <v>80</v>
      </c>
      <c r="R264" s="372"/>
      <c r="S264" s="339"/>
      <c r="T264" s="299"/>
      <c r="U264" s="282" t="s">
        <v>117</v>
      </c>
      <c r="V264" s="282"/>
      <c r="W264" s="282" t="s">
        <v>208</v>
      </c>
      <c r="X264" s="340">
        <v>43446</v>
      </c>
      <c r="Y264" s="340">
        <v>43446</v>
      </c>
      <c r="Z264" s="340">
        <v>43447</v>
      </c>
      <c r="AA264" s="340"/>
      <c r="AB264" s="340"/>
      <c r="AC264" s="341"/>
      <c r="AD264" s="342" t="s">
        <v>64</v>
      </c>
      <c r="AE264" s="342" t="s">
        <v>209</v>
      </c>
      <c r="AF264" s="284" t="s">
        <v>210</v>
      </c>
      <c r="AG264" s="284">
        <v>43313</v>
      </c>
      <c r="AH264" s="284">
        <v>43413</v>
      </c>
      <c r="AI264" s="284"/>
      <c r="AJ264" s="334">
        <f t="shared" ca="1" si="44"/>
        <v>44963</v>
      </c>
      <c r="AK264" s="342">
        <f t="shared" ca="1" si="45"/>
        <v>1550</v>
      </c>
      <c r="AL264" s="342"/>
      <c r="AM264" s="284" t="s">
        <v>211</v>
      </c>
      <c r="AN264" s="284" t="s">
        <v>4157</v>
      </c>
      <c r="AO264" s="343">
        <v>9.0540000000000003</v>
      </c>
      <c r="AP264" s="343">
        <v>9.0839999999999996</v>
      </c>
      <c r="AQ264" s="343">
        <v>9.0649999999999995</v>
      </c>
      <c r="AR264" s="343">
        <v>9.07</v>
      </c>
      <c r="AW264" s="331" t="s">
        <v>136</v>
      </c>
      <c r="BE264" s="331" t="s">
        <v>125</v>
      </c>
      <c r="BH264" s="331" t="s">
        <v>3514</v>
      </c>
      <c r="BI264" s="347" t="s">
        <v>3515</v>
      </c>
    </row>
    <row r="265" spans="1:61" s="331" customFormat="1" ht="19.5" customHeight="1" x14ac:dyDescent="0.35">
      <c r="A265" s="334">
        <v>43614</v>
      </c>
      <c r="B265" s="335">
        <f ca="1">IF(A265="",(IF(ISNUMBER(SUBSTITUTE(LEFT(RIGHT(E265,LEN(E265)-MIN(SEARCH({1,2,3,4,5,6,7,8,9,0},E265&amp;"1234567890"))+1),10),".","/"))=TRUE,AJ265-(SUBSTITUTE(LEFT(RIGHT(E265,LEN(E265)-MIN(SEARCH({1,2,3,4,5,6,7,8,9,0},E265&amp;"1234567890"))+1),10),".","/")),IF((SUBSTITUTE(LEFT(RIGHT(E265,LEN(E265)-MIN(SEARCH({1,2,3,4,5,6,7,8,9,0},E265&amp;"1234567890"))+1),10),".","/"))="","",(AJ265)-(MID(RIGHT((SUBSTITUTE(LEFT(RIGHT(E265,LEN(E265)-MIN(SEARCH({1,2,3,4,5,6,7,8,9,0},E265&amp;"1234567890"))+1),10),".","/")),10),4,2)&amp;"/"&amp;LEFT((RIGHT((SUBSTITUTE(LEFT(RIGHT(E265,LEN(E265)-MIN(SEARCH({1,2,3,4,5,6,7,8,9,0},E265&amp;"1234567890"))+1),10),".","/")),10)),2)&amp;"/"&amp;RIGHT((SUBSTITUTE(LEFT(RIGHT(E265,LEN(E265)-MIN(SEARCH({1,2,3,4,5,6,7,8,9,0},E265&amp;"1234567890"))+1),10),".","/")),4))))),(AJ265-A265))</f>
        <v>1349</v>
      </c>
      <c r="C265" s="294"/>
      <c r="D265" s="294" t="str">
        <f t="shared" si="43"/>
        <v>FGC-J3/2B-000X58,9</v>
      </c>
      <c r="E265" s="342" t="s">
        <v>4159</v>
      </c>
      <c r="F265" s="294" t="s">
        <v>4160</v>
      </c>
      <c r="G265" s="294" t="s">
        <v>4161</v>
      </c>
      <c r="H265" s="294" t="s">
        <v>29</v>
      </c>
      <c r="I265" s="337" t="s">
        <v>116</v>
      </c>
      <c r="J265" s="149">
        <v>1</v>
      </c>
      <c r="K265" s="149">
        <v>0.45</v>
      </c>
      <c r="L265" s="149">
        <v>0.42</v>
      </c>
      <c r="M265" s="149">
        <v>0.43</v>
      </c>
      <c r="N265" s="335">
        <v>78.7</v>
      </c>
      <c r="O265" s="296">
        <v>0.375</v>
      </c>
      <c r="P265" s="345"/>
      <c r="Q265" s="299">
        <v>58.9</v>
      </c>
      <c r="R265" s="372"/>
      <c r="S265" s="339"/>
      <c r="T265" s="299"/>
      <c r="U265" s="282" t="s">
        <v>4162</v>
      </c>
      <c r="V265" s="282" t="s">
        <v>4163</v>
      </c>
      <c r="W265" s="282" t="s">
        <v>4164</v>
      </c>
      <c r="X265" s="340" t="s">
        <v>4165</v>
      </c>
      <c r="Y265" s="340" t="s">
        <v>4166</v>
      </c>
      <c r="Z265" s="340" t="s">
        <v>4167</v>
      </c>
      <c r="AA265" s="340" t="s">
        <v>4168</v>
      </c>
      <c r="AB265" s="340"/>
      <c r="AC265" s="341"/>
      <c r="AD265" s="342" t="s">
        <v>64</v>
      </c>
      <c r="AE265" s="342" t="s">
        <v>4169</v>
      </c>
      <c r="AF265" s="284" t="s">
        <v>4170</v>
      </c>
      <c r="AG265" s="284">
        <v>42870</v>
      </c>
      <c r="AH265" s="284">
        <v>42895</v>
      </c>
      <c r="AI265" s="284"/>
      <c r="AJ265" s="334">
        <f t="shared" ca="1" si="44"/>
        <v>44963</v>
      </c>
      <c r="AK265" s="342">
        <f t="shared" ca="1" si="45"/>
        <v>2068</v>
      </c>
      <c r="AL265" s="342"/>
      <c r="AM265" s="284" t="s">
        <v>4171</v>
      </c>
      <c r="AN265" s="284" t="s">
        <v>4172</v>
      </c>
      <c r="AO265" s="343">
        <v>7.9260000000000002</v>
      </c>
      <c r="AP265" s="343">
        <v>7.9660000000000002</v>
      </c>
      <c r="AQ265" s="343">
        <v>7.9560000000000004</v>
      </c>
      <c r="AR265" s="343"/>
      <c r="BC265" s="331">
        <v>0</v>
      </c>
      <c r="BE265" s="331" t="s">
        <v>4173</v>
      </c>
      <c r="BH265" s="331" t="s">
        <v>3514</v>
      </c>
      <c r="BI265" s="347" t="s">
        <v>3572</v>
      </c>
    </row>
    <row r="266" spans="1:61" s="331" customFormat="1" ht="18" customHeight="1" x14ac:dyDescent="0.35">
      <c r="A266" s="334"/>
      <c r="B266" s="335">
        <f ca="1">IF(A266="",(IF(ISNUMBER(SUBSTITUTE(LEFT(RIGHT(E266,LEN(E266)-MIN(SEARCH({1,2,3,4,5,6,7,8,9,0},E266&amp;"1234567890"))+1),10),".","/"))=TRUE,AJ266-(SUBSTITUTE(LEFT(RIGHT(E266,LEN(E266)-MIN(SEARCH({1,2,3,4,5,6,7,8,9,0},E266&amp;"1234567890"))+1),10),".","/")),IF((SUBSTITUTE(LEFT(RIGHT(E266,LEN(E266)-MIN(SEARCH({1,2,3,4,5,6,7,8,9,0},E266&amp;"1234567890"))+1),10),".","/"))="","",(AJ266)-(MID(RIGHT((SUBSTITUTE(LEFT(RIGHT(E266,LEN(E266)-MIN(SEARCH({1,2,3,4,5,6,7,8,9,0},E266&amp;"1234567890"))+1),10),".","/")),10),4,2)&amp;"/"&amp;LEFT((RIGHT((SUBSTITUTE(LEFT(RIGHT(E266,LEN(E266)-MIN(SEARCH({1,2,3,4,5,6,7,8,9,0},E266&amp;"1234567890"))+1),10),".","/")),10)),2)&amp;"/"&amp;RIGHT((SUBSTITUTE(LEFT(RIGHT(E266,LEN(E266)-MIN(SEARCH({1,2,3,4,5,6,7,8,9,0},E266&amp;"1234567890"))+1),10),".","/")),4))))),(AJ266-A266))</f>
        <v>854</v>
      </c>
      <c r="C266" s="334"/>
      <c r="D266" s="294" t="str">
        <f t="shared" si="43"/>
        <v>FGC-304/2B-001X29</v>
      </c>
      <c r="E266" s="294" t="s">
        <v>4174</v>
      </c>
      <c r="F266" s="294" t="s">
        <v>4175</v>
      </c>
      <c r="G266" s="336" t="s">
        <v>4176</v>
      </c>
      <c r="H266" s="294">
        <v>304</v>
      </c>
      <c r="I266" s="337" t="s">
        <v>116</v>
      </c>
      <c r="J266" s="149">
        <v>1.1399999999999999</v>
      </c>
      <c r="K266" s="149">
        <v>0.78</v>
      </c>
      <c r="L266" s="149">
        <v>0.77</v>
      </c>
      <c r="M266" s="149">
        <v>0.79</v>
      </c>
      <c r="N266" s="335">
        <v>730</v>
      </c>
      <c r="O266" s="296">
        <f>2.76-2.64</f>
        <v>0.11999999999999966</v>
      </c>
      <c r="P266" s="345"/>
      <c r="Q266" s="138">
        <v>29</v>
      </c>
      <c r="R266" s="366"/>
      <c r="S266" s="339"/>
      <c r="T266" s="299"/>
      <c r="U266" s="282" t="s">
        <v>117</v>
      </c>
      <c r="V266" s="282" t="s">
        <v>3511</v>
      </c>
      <c r="W266" s="282" t="s">
        <v>116</v>
      </c>
      <c r="X266" s="340" t="s">
        <v>4177</v>
      </c>
      <c r="Y266" s="340" t="s">
        <v>4178</v>
      </c>
      <c r="Z266" s="340" t="s">
        <v>4179</v>
      </c>
      <c r="AA266" s="340"/>
      <c r="AB266" s="340"/>
      <c r="AC266" s="341"/>
      <c r="AD266" s="342" t="s">
        <v>65</v>
      </c>
      <c r="AE266" s="342" t="s">
        <v>132</v>
      </c>
      <c r="AF266" s="284" t="s">
        <v>4180</v>
      </c>
      <c r="AG266" s="284">
        <v>43284</v>
      </c>
      <c r="AH266" s="284">
        <v>43299</v>
      </c>
      <c r="AI266" s="284"/>
      <c r="AJ266" s="334">
        <f t="shared" ca="1" si="44"/>
        <v>44963</v>
      </c>
      <c r="AK266" s="342">
        <f t="shared" ca="1" si="45"/>
        <v>1664</v>
      </c>
      <c r="AL266" s="342">
        <f t="shared" ref="AL266:AL319" ca="1" si="46">IF(ISNUMBER(Z266)=TRUE,AJ266-Z266,IF(Z266="","",(AJ266)-(MID(RIGHT(Z266,10),4,2)&amp;"/"&amp;LEFT((RIGHT(Z266,10)),2)&amp;"/"&amp;RIGHT(Z266,4))))</f>
        <v>946</v>
      </c>
      <c r="AM266" s="284"/>
      <c r="AN266" s="284" t="s">
        <v>4175</v>
      </c>
      <c r="AO266" s="343">
        <v>8.9849999999999994</v>
      </c>
      <c r="AP266" s="343">
        <v>9</v>
      </c>
      <c r="AQ266" s="343">
        <v>8.9949999999999992</v>
      </c>
      <c r="AR266" s="343">
        <v>9</v>
      </c>
      <c r="AS266" s="331">
        <f t="shared" ref="AS266:AS329" ca="1" si="47">IF(ISNUMBER(Y266)=TRUE,AJ266-Y266,IF(Y266="","",(AJ266)-(MID(RIGHT(Y266,10),4,2)&amp;"/"&amp;LEFT((RIGHT(Y266,10)),2)&amp;"/"&amp;RIGHT(Y266,4))))</f>
        <v>1037</v>
      </c>
      <c r="AV266" s="331" t="s">
        <v>136</v>
      </c>
      <c r="BB266" s="331" t="s">
        <v>4181</v>
      </c>
      <c r="BE266" s="331" t="s">
        <v>125</v>
      </c>
      <c r="BH266" s="331" t="s">
        <v>3514</v>
      </c>
      <c r="BI266" s="347"/>
    </row>
    <row r="267" spans="1:61" s="331" customFormat="1" ht="18" customHeight="1" x14ac:dyDescent="0.35">
      <c r="A267" s="334"/>
      <c r="B267" s="335" t="e">
        <f ca="1">IF(A267="",(IF(ISNUMBER(SUBSTITUTE(LEFT(RIGHT(E267,LEN(E267)-MIN(SEARCH({1,2,3,4,5,6,7,8,9,0},E267&amp;"1234567890"))+1),10),".","/"))=TRUE,AJ267-(SUBSTITUTE(LEFT(RIGHT(E267,LEN(E267)-MIN(SEARCH({1,2,3,4,5,6,7,8,9,0},E267&amp;"1234567890"))+1),10),".","/")),IF((SUBSTITUTE(LEFT(RIGHT(E267,LEN(E267)-MIN(SEARCH({1,2,3,4,5,6,7,8,9,0},E267&amp;"1234567890"))+1),10),".","/"))="","",(AJ267)-(MID(RIGHT((SUBSTITUTE(LEFT(RIGHT(E267,LEN(E267)-MIN(SEARCH({1,2,3,4,5,6,7,8,9,0},E267&amp;"1234567890"))+1),10),".","/")),10),4,2)&amp;"/"&amp;LEFT((RIGHT((SUBSTITUTE(LEFT(RIGHT(E267,LEN(E267)-MIN(SEARCH({1,2,3,4,5,6,7,8,9,0},E267&amp;"1234567890"))+1),10),".","/")),10)),2)&amp;"/"&amp;RIGHT((SUBSTITUTE(LEFT(RIGHT(E267,LEN(E267)-MIN(SEARCH({1,2,3,4,5,6,7,8,9,0},E267&amp;"1234567890"))+1),10),".","/")),4))))),(AJ267-A267))</f>
        <v>#VALUE!</v>
      </c>
      <c r="C267" s="334"/>
      <c r="D267" s="294" t="str">
        <f t="shared" si="43"/>
        <v>FGC-430/2B-002X54</v>
      </c>
      <c r="E267" s="294" t="s">
        <v>4182</v>
      </c>
      <c r="F267" s="294" t="s">
        <v>4183</v>
      </c>
      <c r="G267" s="294" t="s">
        <v>4184</v>
      </c>
      <c r="H267" s="294">
        <v>430</v>
      </c>
      <c r="I267" s="337" t="s">
        <v>116</v>
      </c>
      <c r="J267" s="149">
        <v>4</v>
      </c>
      <c r="K267" s="149">
        <v>1.6</v>
      </c>
      <c r="L267" s="149">
        <v>1.6</v>
      </c>
      <c r="M267" s="149">
        <v>1.63</v>
      </c>
      <c r="N267" s="335">
        <v>750</v>
      </c>
      <c r="O267" s="296">
        <v>0.18</v>
      </c>
      <c r="P267" s="345"/>
      <c r="Q267" s="138">
        <v>54</v>
      </c>
      <c r="R267" s="366"/>
      <c r="S267" s="339"/>
      <c r="T267" s="299"/>
      <c r="U267" s="282" t="s">
        <v>117</v>
      </c>
      <c r="V267" s="282" t="s">
        <v>4185</v>
      </c>
      <c r="W267" s="282" t="s">
        <v>116</v>
      </c>
      <c r="X267" s="340">
        <v>43936</v>
      </c>
      <c r="Y267" s="340">
        <v>43936</v>
      </c>
      <c r="Z267" s="340">
        <v>43967</v>
      </c>
      <c r="AA267" s="340">
        <v>43968</v>
      </c>
      <c r="AB267" s="340"/>
      <c r="AC267" s="341"/>
      <c r="AD267" s="342" t="s">
        <v>64</v>
      </c>
      <c r="AE267" s="342" t="s">
        <v>209</v>
      </c>
      <c r="AF267" s="284" t="s">
        <v>210</v>
      </c>
      <c r="AG267" s="284">
        <v>43313</v>
      </c>
      <c r="AH267" s="284">
        <v>43413</v>
      </c>
      <c r="AI267" s="284"/>
      <c r="AJ267" s="334">
        <f t="shared" ca="1" si="44"/>
        <v>44963</v>
      </c>
      <c r="AK267" s="342">
        <f t="shared" ca="1" si="45"/>
        <v>1550</v>
      </c>
      <c r="AL267" s="342">
        <f t="shared" ca="1" si="46"/>
        <v>996</v>
      </c>
      <c r="AM267" s="284" t="s">
        <v>4186</v>
      </c>
      <c r="AN267" s="284" t="s">
        <v>4183</v>
      </c>
      <c r="AO267" s="343">
        <v>11.609</v>
      </c>
      <c r="AP267" s="343">
        <v>11.638999999999999</v>
      </c>
      <c r="AQ267" s="343">
        <v>11.654999999999999</v>
      </c>
      <c r="AR267" s="343">
        <v>11.66</v>
      </c>
      <c r="AS267" s="331">
        <f t="shared" ca="1" si="47"/>
        <v>1027</v>
      </c>
      <c r="AV267" s="331" t="s">
        <v>136</v>
      </c>
      <c r="BE267" s="331" t="s">
        <v>125</v>
      </c>
      <c r="BH267" s="331" t="s">
        <v>3514</v>
      </c>
      <c r="BI267" s="347" t="s">
        <v>3515</v>
      </c>
    </row>
    <row r="268" spans="1:61" s="331" customFormat="1" ht="18" customHeight="1" x14ac:dyDescent="0.35">
      <c r="A268" s="334"/>
      <c r="B268" s="335" t="e">
        <f ca="1">IF(A268="",(IF(ISNUMBER(SUBSTITUTE(LEFT(RIGHT(E268,LEN(E268)-MIN(SEARCH({1,2,3,4,5,6,7,8,9,0},E268&amp;"1234567890"))+1),10),".","/"))=TRUE,AJ268-(SUBSTITUTE(LEFT(RIGHT(E268,LEN(E268)-MIN(SEARCH({1,2,3,4,5,6,7,8,9,0},E268&amp;"1234567890"))+1),10),".","/")),IF((SUBSTITUTE(LEFT(RIGHT(E268,LEN(E268)-MIN(SEARCH({1,2,3,4,5,6,7,8,9,0},E268&amp;"1234567890"))+1),10),".","/"))="","",(AJ268)-(MID(RIGHT((SUBSTITUTE(LEFT(RIGHT(E268,LEN(E268)-MIN(SEARCH({1,2,3,4,5,6,7,8,9,0},E268&amp;"1234567890"))+1),10),".","/")),10),4,2)&amp;"/"&amp;LEFT((RIGHT((SUBSTITUTE(LEFT(RIGHT(E268,LEN(E268)-MIN(SEARCH({1,2,3,4,5,6,7,8,9,0},E268&amp;"1234567890"))+1),10),".","/")),10)),2)&amp;"/"&amp;RIGHT((SUBSTITUTE(LEFT(RIGHT(E268,LEN(E268)-MIN(SEARCH({1,2,3,4,5,6,7,8,9,0},E268&amp;"1234567890"))+1),10),".","/")),4))))),(AJ268-A268))</f>
        <v>#VALUE!</v>
      </c>
      <c r="C268" s="334"/>
      <c r="D268" s="294" t="str">
        <f t="shared" si="43"/>
        <v>FGC-430/2B-002X54</v>
      </c>
      <c r="E268" s="294" t="s">
        <v>4182</v>
      </c>
      <c r="F268" s="294" t="s">
        <v>4183</v>
      </c>
      <c r="G268" s="294" t="s">
        <v>4187</v>
      </c>
      <c r="H268" s="294">
        <v>430</v>
      </c>
      <c r="I268" s="337" t="s">
        <v>116</v>
      </c>
      <c r="J268" s="149">
        <v>4</v>
      </c>
      <c r="K268" s="149">
        <v>1.6</v>
      </c>
      <c r="L268" s="149">
        <v>1.6</v>
      </c>
      <c r="M268" s="149">
        <v>1.63</v>
      </c>
      <c r="N268" s="335">
        <v>750</v>
      </c>
      <c r="O268" s="296">
        <v>0.185</v>
      </c>
      <c r="P268" s="345"/>
      <c r="Q268" s="138">
        <v>54</v>
      </c>
      <c r="R268" s="366"/>
      <c r="S268" s="339"/>
      <c r="T268" s="299"/>
      <c r="U268" s="282" t="s">
        <v>117</v>
      </c>
      <c r="V268" s="282" t="s">
        <v>4185</v>
      </c>
      <c r="W268" s="282" t="s">
        <v>116</v>
      </c>
      <c r="X268" s="340">
        <v>43936</v>
      </c>
      <c r="Y268" s="340">
        <v>43936</v>
      </c>
      <c r="Z268" s="340">
        <v>43967</v>
      </c>
      <c r="AA268" s="340">
        <v>43968</v>
      </c>
      <c r="AB268" s="340"/>
      <c r="AC268" s="341"/>
      <c r="AD268" s="342" t="s">
        <v>64</v>
      </c>
      <c r="AE268" s="342" t="s">
        <v>209</v>
      </c>
      <c r="AF268" s="284" t="s">
        <v>210</v>
      </c>
      <c r="AG268" s="284">
        <v>43313</v>
      </c>
      <c r="AH268" s="284">
        <v>43413</v>
      </c>
      <c r="AI268" s="284"/>
      <c r="AJ268" s="334">
        <f t="shared" ca="1" si="44"/>
        <v>44963</v>
      </c>
      <c r="AK268" s="342">
        <f t="shared" ca="1" si="45"/>
        <v>1550</v>
      </c>
      <c r="AL268" s="342">
        <f t="shared" ca="1" si="46"/>
        <v>996</v>
      </c>
      <c r="AM268" s="284" t="s">
        <v>4186</v>
      </c>
      <c r="AN268" s="284" t="s">
        <v>4183</v>
      </c>
      <c r="AO268" s="343">
        <v>11.609</v>
      </c>
      <c r="AP268" s="343">
        <v>11.638999999999999</v>
      </c>
      <c r="AQ268" s="343">
        <v>11.654999999999999</v>
      </c>
      <c r="AR268" s="343">
        <v>11.66</v>
      </c>
      <c r="AS268" s="331">
        <f t="shared" ca="1" si="47"/>
        <v>1027</v>
      </c>
      <c r="AV268" s="331" t="s">
        <v>136</v>
      </c>
      <c r="BE268" s="331" t="s">
        <v>125</v>
      </c>
      <c r="BH268" s="331" t="s">
        <v>3514</v>
      </c>
      <c r="BI268" s="347" t="s">
        <v>3515</v>
      </c>
    </row>
    <row r="269" spans="1:61" s="331" customFormat="1" ht="18" customHeight="1" x14ac:dyDescent="0.35">
      <c r="A269" s="334"/>
      <c r="B269" s="335" t="e">
        <f ca="1">IF(A269="",(IF(ISNUMBER(SUBSTITUTE(LEFT(RIGHT(E269,LEN(E269)-MIN(SEARCH({1,2,3,4,5,6,7,8,9,0},E269&amp;"1234567890"))+1),10),".","/"))=TRUE,AJ269-(SUBSTITUTE(LEFT(RIGHT(E269,LEN(E269)-MIN(SEARCH({1,2,3,4,5,6,7,8,9,0},E269&amp;"1234567890"))+1),10),".","/")),IF((SUBSTITUTE(LEFT(RIGHT(E269,LEN(E269)-MIN(SEARCH({1,2,3,4,5,6,7,8,9,0},E269&amp;"1234567890"))+1),10),".","/"))="","",(AJ269)-(MID(RIGHT((SUBSTITUTE(LEFT(RIGHT(E269,LEN(E269)-MIN(SEARCH({1,2,3,4,5,6,7,8,9,0},E269&amp;"1234567890"))+1),10),".","/")),10),4,2)&amp;"/"&amp;LEFT((RIGHT((SUBSTITUTE(LEFT(RIGHT(E269,LEN(E269)-MIN(SEARCH({1,2,3,4,5,6,7,8,9,0},E269&amp;"1234567890"))+1),10),".","/")),10)),2)&amp;"/"&amp;RIGHT((SUBSTITUTE(LEFT(RIGHT(E269,LEN(E269)-MIN(SEARCH({1,2,3,4,5,6,7,8,9,0},E269&amp;"1234567890"))+1),10),".","/")),4))))),(AJ269-A269))</f>
        <v>#VALUE!</v>
      </c>
      <c r="C269" s="334"/>
      <c r="D269" s="294" t="str">
        <f t="shared" si="43"/>
        <v>FGC-430/2B-002X54</v>
      </c>
      <c r="E269" s="294" t="s">
        <v>4182</v>
      </c>
      <c r="F269" s="294" t="s">
        <v>4183</v>
      </c>
      <c r="G269" s="294" t="s">
        <v>4188</v>
      </c>
      <c r="H269" s="294">
        <v>430</v>
      </c>
      <c r="I269" s="337" t="s">
        <v>116</v>
      </c>
      <c r="J269" s="149">
        <v>4</v>
      </c>
      <c r="K269" s="149">
        <v>1.6</v>
      </c>
      <c r="L269" s="149">
        <v>1.6</v>
      </c>
      <c r="M269" s="149">
        <v>1.63</v>
      </c>
      <c r="N269" s="335">
        <v>750</v>
      </c>
      <c r="O269" s="296">
        <v>0.185</v>
      </c>
      <c r="P269" s="345"/>
      <c r="Q269" s="138">
        <v>54</v>
      </c>
      <c r="R269" s="366"/>
      <c r="S269" s="339"/>
      <c r="T269" s="299"/>
      <c r="U269" s="282" t="s">
        <v>117</v>
      </c>
      <c r="V269" s="282" t="s">
        <v>4185</v>
      </c>
      <c r="W269" s="282" t="s">
        <v>116</v>
      </c>
      <c r="X269" s="340">
        <v>43936</v>
      </c>
      <c r="Y269" s="340">
        <v>43936</v>
      </c>
      <c r="Z269" s="340">
        <v>43967</v>
      </c>
      <c r="AA269" s="340">
        <v>43968</v>
      </c>
      <c r="AB269" s="340"/>
      <c r="AC269" s="341"/>
      <c r="AD269" s="342" t="s">
        <v>64</v>
      </c>
      <c r="AE269" s="342" t="s">
        <v>209</v>
      </c>
      <c r="AF269" s="284" t="s">
        <v>210</v>
      </c>
      <c r="AG269" s="284">
        <v>43313</v>
      </c>
      <c r="AH269" s="284">
        <v>43413</v>
      </c>
      <c r="AI269" s="284"/>
      <c r="AJ269" s="334">
        <f t="shared" ca="1" si="44"/>
        <v>44963</v>
      </c>
      <c r="AK269" s="342">
        <f t="shared" ca="1" si="45"/>
        <v>1550</v>
      </c>
      <c r="AL269" s="342">
        <f t="shared" ca="1" si="46"/>
        <v>996</v>
      </c>
      <c r="AM269" s="284" t="s">
        <v>4186</v>
      </c>
      <c r="AN269" s="284" t="s">
        <v>4183</v>
      </c>
      <c r="AO269" s="343">
        <v>11.609</v>
      </c>
      <c r="AP269" s="343">
        <v>11.638999999999999</v>
      </c>
      <c r="AQ269" s="343">
        <v>11.654999999999999</v>
      </c>
      <c r="AR269" s="343">
        <v>11.66</v>
      </c>
      <c r="AS269" s="331">
        <f t="shared" ca="1" si="47"/>
        <v>1027</v>
      </c>
      <c r="AV269" s="331" t="s">
        <v>136</v>
      </c>
      <c r="BE269" s="331" t="s">
        <v>125</v>
      </c>
      <c r="BH269" s="331" t="s">
        <v>3514</v>
      </c>
      <c r="BI269" s="347" t="s">
        <v>3515</v>
      </c>
    </row>
    <row r="270" spans="1:61" s="331" customFormat="1" ht="18" customHeight="1" x14ac:dyDescent="0.35">
      <c r="A270" s="334"/>
      <c r="B270" s="335" t="e">
        <f ca="1">IF(A270="",(IF(ISNUMBER(SUBSTITUTE(LEFT(RIGHT(E270,LEN(E270)-MIN(SEARCH({1,2,3,4,5,6,7,8,9,0},E270&amp;"1234567890"))+1),10),".","/"))=TRUE,AJ270-(SUBSTITUTE(LEFT(RIGHT(E270,LEN(E270)-MIN(SEARCH({1,2,3,4,5,6,7,8,9,0},E270&amp;"1234567890"))+1),10),".","/")),IF((SUBSTITUTE(LEFT(RIGHT(E270,LEN(E270)-MIN(SEARCH({1,2,3,4,5,6,7,8,9,0},E270&amp;"1234567890"))+1),10),".","/"))="","",(AJ270)-(MID(RIGHT((SUBSTITUTE(LEFT(RIGHT(E270,LEN(E270)-MIN(SEARCH({1,2,3,4,5,6,7,8,9,0},E270&amp;"1234567890"))+1),10),".","/")),10),4,2)&amp;"/"&amp;LEFT((RIGHT((SUBSTITUTE(LEFT(RIGHT(E270,LEN(E270)-MIN(SEARCH({1,2,3,4,5,6,7,8,9,0},E270&amp;"1234567890"))+1),10),".","/")),10)),2)&amp;"/"&amp;RIGHT((SUBSTITUTE(LEFT(RIGHT(E270,LEN(E270)-MIN(SEARCH({1,2,3,4,5,6,7,8,9,0},E270&amp;"1234567890"))+1),10),".","/")),4))))),(AJ270-A270))</f>
        <v>#VALUE!</v>
      </c>
      <c r="C270" s="334"/>
      <c r="D270" s="294" t="str">
        <f t="shared" si="43"/>
        <v>FGC-430/2B-002X54</v>
      </c>
      <c r="E270" s="294" t="s">
        <v>4182</v>
      </c>
      <c r="F270" s="294" t="s">
        <v>4183</v>
      </c>
      <c r="G270" s="294" t="s">
        <v>4189</v>
      </c>
      <c r="H270" s="294">
        <v>430</v>
      </c>
      <c r="I270" s="337" t="s">
        <v>116</v>
      </c>
      <c r="J270" s="149">
        <v>4</v>
      </c>
      <c r="K270" s="149">
        <v>1.6</v>
      </c>
      <c r="L270" s="149">
        <v>1.6</v>
      </c>
      <c r="M270" s="149">
        <v>1.63</v>
      </c>
      <c r="N270" s="335">
        <v>750</v>
      </c>
      <c r="O270" s="296">
        <v>0.185</v>
      </c>
      <c r="P270" s="345"/>
      <c r="Q270" s="138">
        <v>54</v>
      </c>
      <c r="R270" s="366"/>
      <c r="S270" s="339"/>
      <c r="T270" s="299"/>
      <c r="U270" s="282" t="s">
        <v>117</v>
      </c>
      <c r="V270" s="282" t="s">
        <v>4185</v>
      </c>
      <c r="W270" s="282" t="s">
        <v>116</v>
      </c>
      <c r="X270" s="340">
        <v>43936</v>
      </c>
      <c r="Y270" s="340">
        <v>43936</v>
      </c>
      <c r="Z270" s="340">
        <v>43967</v>
      </c>
      <c r="AA270" s="340">
        <v>43968</v>
      </c>
      <c r="AB270" s="340"/>
      <c r="AC270" s="341"/>
      <c r="AD270" s="342" t="s">
        <v>64</v>
      </c>
      <c r="AE270" s="342" t="s">
        <v>209</v>
      </c>
      <c r="AF270" s="284" t="s">
        <v>210</v>
      </c>
      <c r="AG270" s="284">
        <v>43313</v>
      </c>
      <c r="AH270" s="284">
        <v>43413</v>
      </c>
      <c r="AI270" s="284"/>
      <c r="AJ270" s="334">
        <f t="shared" ca="1" si="44"/>
        <v>44963</v>
      </c>
      <c r="AK270" s="342">
        <f t="shared" ca="1" si="45"/>
        <v>1550</v>
      </c>
      <c r="AL270" s="342">
        <f t="shared" ca="1" si="46"/>
        <v>996</v>
      </c>
      <c r="AM270" s="284" t="s">
        <v>4186</v>
      </c>
      <c r="AN270" s="284" t="s">
        <v>4183</v>
      </c>
      <c r="AO270" s="343">
        <v>11.609</v>
      </c>
      <c r="AP270" s="343">
        <v>11.638999999999999</v>
      </c>
      <c r="AQ270" s="343">
        <v>11.654999999999999</v>
      </c>
      <c r="AR270" s="343">
        <v>11.66</v>
      </c>
      <c r="AS270" s="331">
        <f t="shared" ca="1" si="47"/>
        <v>1027</v>
      </c>
      <c r="AV270" s="331" t="s">
        <v>136</v>
      </c>
      <c r="BE270" s="331" t="s">
        <v>125</v>
      </c>
      <c r="BH270" s="331" t="s">
        <v>3514</v>
      </c>
      <c r="BI270" s="347" t="s">
        <v>3515</v>
      </c>
    </row>
    <row r="271" spans="1:61" s="331" customFormat="1" ht="18" customHeight="1" x14ac:dyDescent="0.35">
      <c r="A271" s="334"/>
      <c r="B271" s="335">
        <f ca="1">IF(A271="",(IF(ISNUMBER(SUBSTITUTE(LEFT(RIGHT(E271,LEN(E271)-MIN(SEARCH({1,2,3,4,5,6,7,8,9,0},E271&amp;"1234567890"))+1),10),".","/"))=TRUE,AJ271-(SUBSTITUTE(LEFT(RIGHT(E271,LEN(E271)-MIN(SEARCH({1,2,3,4,5,6,7,8,9,0},E271&amp;"1234567890"))+1),10),".","/")),IF((SUBSTITUTE(LEFT(RIGHT(E271,LEN(E271)-MIN(SEARCH({1,2,3,4,5,6,7,8,9,0},E271&amp;"1234567890"))+1),10),".","/"))="","",(AJ271)-(MID(RIGHT((SUBSTITUTE(LEFT(RIGHT(E271,LEN(E271)-MIN(SEARCH({1,2,3,4,5,6,7,8,9,0},E271&amp;"1234567890"))+1),10),".","/")),10),4,2)&amp;"/"&amp;LEFT((RIGHT((SUBSTITUTE(LEFT(RIGHT(E271,LEN(E271)-MIN(SEARCH({1,2,3,4,5,6,7,8,9,0},E271&amp;"1234567890"))+1),10),".","/")),10)),2)&amp;"/"&amp;RIGHT((SUBSTITUTE(LEFT(RIGHT(E271,LEN(E271)-MIN(SEARCH({1,2,3,4,5,6,7,8,9,0},E271&amp;"1234567890"))+1),10),".","/")),4))))),(AJ271-A271))</f>
        <v>854</v>
      </c>
      <c r="C271" s="334"/>
      <c r="D271" s="294" t="str">
        <f t="shared" si="43"/>
        <v>FGC-304/2B-001X29</v>
      </c>
      <c r="E271" s="294" t="s">
        <v>4174</v>
      </c>
      <c r="F271" s="294" t="s">
        <v>4175</v>
      </c>
      <c r="G271" s="336" t="s">
        <v>4190</v>
      </c>
      <c r="H271" s="294">
        <v>304</v>
      </c>
      <c r="I271" s="337" t="s">
        <v>116</v>
      </c>
      <c r="J271" s="149">
        <v>1.1399999999999999</v>
      </c>
      <c r="K271" s="149">
        <v>0.78</v>
      </c>
      <c r="L271" s="149">
        <v>0.77</v>
      </c>
      <c r="M271" s="149">
        <v>0.79</v>
      </c>
      <c r="N271" s="335">
        <v>730</v>
      </c>
      <c r="O271" s="296">
        <v>0.115</v>
      </c>
      <c r="P271" s="345"/>
      <c r="Q271" s="138">
        <v>29</v>
      </c>
      <c r="R271" s="366"/>
      <c r="S271" s="339"/>
      <c r="T271" s="299"/>
      <c r="U271" s="282" t="s">
        <v>117</v>
      </c>
      <c r="V271" s="282" t="s">
        <v>3511</v>
      </c>
      <c r="W271" s="282" t="s">
        <v>116</v>
      </c>
      <c r="X271" s="340" t="s">
        <v>4177</v>
      </c>
      <c r="Y271" s="340" t="s">
        <v>4178</v>
      </c>
      <c r="Z271" s="340" t="s">
        <v>4179</v>
      </c>
      <c r="AA271" s="340"/>
      <c r="AB271" s="340"/>
      <c r="AC271" s="341"/>
      <c r="AD271" s="342" t="s">
        <v>65</v>
      </c>
      <c r="AE271" s="342" t="s">
        <v>132</v>
      </c>
      <c r="AF271" s="284" t="s">
        <v>4180</v>
      </c>
      <c r="AG271" s="284">
        <v>43284</v>
      </c>
      <c r="AH271" s="284">
        <v>43299</v>
      </c>
      <c r="AI271" s="284"/>
      <c r="AJ271" s="334">
        <f t="shared" ca="1" si="44"/>
        <v>44963</v>
      </c>
      <c r="AK271" s="342">
        <f t="shared" ca="1" si="45"/>
        <v>1664</v>
      </c>
      <c r="AL271" s="342">
        <f t="shared" ca="1" si="46"/>
        <v>946</v>
      </c>
      <c r="AM271" s="284"/>
      <c r="AN271" s="284" t="s">
        <v>4175</v>
      </c>
      <c r="AO271" s="343">
        <v>8.9849999999999994</v>
      </c>
      <c r="AP271" s="343">
        <v>9</v>
      </c>
      <c r="AQ271" s="343">
        <v>8.9949999999999992</v>
      </c>
      <c r="AR271" s="343">
        <v>9</v>
      </c>
      <c r="AS271" s="331">
        <f t="shared" ca="1" si="47"/>
        <v>1037</v>
      </c>
      <c r="AV271" s="331" t="s">
        <v>136</v>
      </c>
      <c r="BB271" s="331" t="s">
        <v>4181</v>
      </c>
      <c r="BE271" s="331" t="s">
        <v>125</v>
      </c>
      <c r="BH271" s="331" t="s">
        <v>3514</v>
      </c>
      <c r="BI271" s="347" t="s">
        <v>3515</v>
      </c>
    </row>
    <row r="272" spans="1:61" s="331" customFormat="1" ht="18" customHeight="1" x14ac:dyDescent="0.35">
      <c r="A272" s="334"/>
      <c r="B272" s="335" t="e">
        <f ca="1">IF(A272="",(IF(ISNUMBER(SUBSTITUTE(LEFT(RIGHT(E272,LEN(E272)-MIN(SEARCH({1,2,3,4,5,6,7,8,9,0},E272&amp;"1234567890"))+1),10),".","/"))=TRUE,AJ272-(SUBSTITUTE(LEFT(RIGHT(E272,LEN(E272)-MIN(SEARCH({1,2,3,4,5,6,7,8,9,0},E272&amp;"1234567890"))+1),10),".","/")),IF((SUBSTITUTE(LEFT(RIGHT(E272,LEN(E272)-MIN(SEARCH({1,2,3,4,5,6,7,8,9,0},E272&amp;"1234567890"))+1),10),".","/"))="","",(AJ272)-(MID(RIGHT((SUBSTITUTE(LEFT(RIGHT(E272,LEN(E272)-MIN(SEARCH({1,2,3,4,5,6,7,8,9,0},E272&amp;"1234567890"))+1),10),".","/")),10),4,2)&amp;"/"&amp;LEFT((RIGHT((SUBSTITUTE(LEFT(RIGHT(E272,LEN(E272)-MIN(SEARCH({1,2,3,4,5,6,7,8,9,0},E272&amp;"1234567890"))+1),10),".","/")),10)),2)&amp;"/"&amp;RIGHT((SUBSTITUTE(LEFT(RIGHT(E272,LEN(E272)-MIN(SEARCH({1,2,3,4,5,6,7,8,9,0},E272&amp;"1234567890"))+1),10),".","/")),4))))),(AJ272-A272))</f>
        <v>#VALUE!</v>
      </c>
      <c r="C272" s="334"/>
      <c r="D272" s="294" t="str">
        <f t="shared" si="43"/>
        <v>FGC-430/2B-002X36</v>
      </c>
      <c r="E272" s="294" t="s">
        <v>4191</v>
      </c>
      <c r="F272" s="294" t="s">
        <v>4192</v>
      </c>
      <c r="G272" s="294" t="s">
        <v>4193</v>
      </c>
      <c r="H272" s="294">
        <v>430</v>
      </c>
      <c r="I272" s="337" t="s">
        <v>116</v>
      </c>
      <c r="J272" s="149">
        <v>4</v>
      </c>
      <c r="K272" s="149">
        <v>1.6</v>
      </c>
      <c r="L272" s="149">
        <v>1.58</v>
      </c>
      <c r="M272" s="149">
        <v>1.59</v>
      </c>
      <c r="N272" s="335">
        <v>750</v>
      </c>
      <c r="O272" s="296">
        <f>2.695-2.585</f>
        <v>0.10999999999999988</v>
      </c>
      <c r="P272" s="345"/>
      <c r="Q272" s="138">
        <v>36</v>
      </c>
      <c r="R272" s="376"/>
      <c r="S272" s="339"/>
      <c r="T272" s="299"/>
      <c r="U272" s="282" t="s">
        <v>117</v>
      </c>
      <c r="V272" s="282" t="s">
        <v>4185</v>
      </c>
      <c r="W272" s="282" t="s">
        <v>116</v>
      </c>
      <c r="X272" s="340">
        <v>43941</v>
      </c>
      <c r="Y272" s="340">
        <v>43941</v>
      </c>
      <c r="Z272" s="340">
        <v>43969</v>
      </c>
      <c r="AA272" s="340"/>
      <c r="AB272" s="340"/>
      <c r="AC272" s="341"/>
      <c r="AD272" s="342" t="s">
        <v>64</v>
      </c>
      <c r="AE272" s="342" t="s">
        <v>209</v>
      </c>
      <c r="AF272" s="284" t="s">
        <v>210</v>
      </c>
      <c r="AG272" s="284">
        <v>43313</v>
      </c>
      <c r="AH272" s="284">
        <v>43413</v>
      </c>
      <c r="AI272" s="284"/>
      <c r="AJ272" s="334">
        <f t="shared" ca="1" si="44"/>
        <v>44963</v>
      </c>
      <c r="AK272" s="342">
        <f t="shared" ca="1" si="45"/>
        <v>1550</v>
      </c>
      <c r="AL272" s="342">
        <f t="shared" ca="1" si="46"/>
        <v>994</v>
      </c>
      <c r="AM272" s="284" t="s">
        <v>4194</v>
      </c>
      <c r="AN272" s="284" t="s">
        <v>4192</v>
      </c>
      <c r="AO272" s="343">
        <v>11.17</v>
      </c>
      <c r="AP272" s="343">
        <v>11.2</v>
      </c>
      <c r="AQ272" s="343">
        <v>11.184999999999999</v>
      </c>
      <c r="AR272" s="343">
        <v>11.19</v>
      </c>
      <c r="AS272" s="331">
        <f t="shared" ca="1" si="47"/>
        <v>1022</v>
      </c>
      <c r="AV272" s="331" t="s">
        <v>136</v>
      </c>
      <c r="BE272" s="331" t="s">
        <v>125</v>
      </c>
      <c r="BH272" s="331" t="s">
        <v>3514</v>
      </c>
      <c r="BI272" s="347" t="s">
        <v>3572</v>
      </c>
    </row>
    <row r="273" spans="1:61" s="331" customFormat="1" ht="18" customHeight="1" x14ac:dyDescent="0.35">
      <c r="A273" s="334"/>
      <c r="B273" s="335">
        <f ca="1">IF(A273="",(IF(ISNUMBER(SUBSTITUTE(LEFT(RIGHT(E273,LEN(E273)-MIN(SEARCH({1,2,3,4,5,6,7,8,9,0},E273&amp;"1234567890"))+1),10),".","/"))=TRUE,AJ273-(SUBSTITUTE(LEFT(RIGHT(E273,LEN(E273)-MIN(SEARCH({1,2,3,4,5,6,7,8,9,0},E273&amp;"1234567890"))+1),10),".","/")),IF((SUBSTITUTE(LEFT(RIGHT(E273,LEN(E273)-MIN(SEARCH({1,2,3,4,5,6,7,8,9,0},E273&amp;"1234567890"))+1),10),".","/"))="","",(AJ273)-(MID(RIGHT((SUBSTITUTE(LEFT(RIGHT(E273,LEN(E273)-MIN(SEARCH({1,2,3,4,5,6,7,8,9,0},E273&amp;"1234567890"))+1),10),".","/")),10),4,2)&amp;"/"&amp;LEFT((RIGHT((SUBSTITUTE(LEFT(RIGHT(E273,LEN(E273)-MIN(SEARCH({1,2,3,4,5,6,7,8,9,0},E273&amp;"1234567890"))+1),10),".","/")),10)),2)&amp;"/"&amp;RIGHT((SUBSTITUTE(LEFT(RIGHT(E273,LEN(E273)-MIN(SEARCH({1,2,3,4,5,6,7,8,9,0},E273&amp;"1234567890"))+1),10),".","/")),4))))),(AJ273-A273))</f>
        <v>854</v>
      </c>
      <c r="C273" s="334"/>
      <c r="D273" s="294" t="str">
        <f t="shared" si="43"/>
        <v>FGC-304/2B-001X29</v>
      </c>
      <c r="E273" s="294" t="s">
        <v>4174</v>
      </c>
      <c r="F273" s="294" t="s">
        <v>4175</v>
      </c>
      <c r="G273" s="336" t="s">
        <v>4195</v>
      </c>
      <c r="H273" s="294">
        <v>304</v>
      </c>
      <c r="I273" s="337" t="s">
        <v>116</v>
      </c>
      <c r="J273" s="149">
        <v>1.1399999999999999</v>
      </c>
      <c r="K273" s="149">
        <v>0.78</v>
      </c>
      <c r="L273" s="149">
        <v>0.77</v>
      </c>
      <c r="M273" s="149">
        <v>0.79</v>
      </c>
      <c r="N273" s="335">
        <v>730</v>
      </c>
      <c r="O273" s="296">
        <v>0.13</v>
      </c>
      <c r="P273" s="345"/>
      <c r="Q273" s="138">
        <v>29</v>
      </c>
      <c r="R273" s="366"/>
      <c r="S273" s="339"/>
      <c r="T273" s="299"/>
      <c r="U273" s="282" t="s">
        <v>117</v>
      </c>
      <c r="V273" s="282" t="s">
        <v>3511</v>
      </c>
      <c r="W273" s="282" t="s">
        <v>116</v>
      </c>
      <c r="X273" s="340" t="s">
        <v>4177</v>
      </c>
      <c r="Y273" s="340" t="s">
        <v>4178</v>
      </c>
      <c r="Z273" s="340" t="s">
        <v>4179</v>
      </c>
      <c r="AA273" s="340"/>
      <c r="AB273" s="340"/>
      <c r="AC273" s="341"/>
      <c r="AD273" s="342" t="s">
        <v>65</v>
      </c>
      <c r="AE273" s="342" t="s">
        <v>132</v>
      </c>
      <c r="AF273" s="284" t="s">
        <v>4180</v>
      </c>
      <c r="AG273" s="284">
        <v>43284</v>
      </c>
      <c r="AH273" s="284">
        <v>43299</v>
      </c>
      <c r="AI273" s="284"/>
      <c r="AJ273" s="334">
        <f t="shared" ca="1" si="44"/>
        <v>44963</v>
      </c>
      <c r="AK273" s="342">
        <f t="shared" ca="1" si="45"/>
        <v>1664</v>
      </c>
      <c r="AL273" s="342">
        <f t="shared" ca="1" si="46"/>
        <v>946</v>
      </c>
      <c r="AM273" s="284"/>
      <c r="AN273" s="284" t="s">
        <v>4175</v>
      </c>
      <c r="AO273" s="343">
        <v>8.9849999999999994</v>
      </c>
      <c r="AP273" s="343">
        <v>9</v>
      </c>
      <c r="AQ273" s="343">
        <v>8.9949999999999992</v>
      </c>
      <c r="AR273" s="343">
        <v>9</v>
      </c>
      <c r="AS273" s="331">
        <f t="shared" ca="1" si="47"/>
        <v>1037</v>
      </c>
      <c r="AV273" s="331" t="s">
        <v>136</v>
      </c>
      <c r="BB273" s="331" t="s">
        <v>4181</v>
      </c>
      <c r="BE273" s="331" t="s">
        <v>125</v>
      </c>
      <c r="BH273" s="331" t="s">
        <v>3514</v>
      </c>
      <c r="BI273" s="347"/>
    </row>
    <row r="274" spans="1:61" s="331" customFormat="1" ht="18" customHeight="1" x14ac:dyDescent="0.35">
      <c r="A274" s="334"/>
      <c r="B274" s="335" t="e">
        <f ca="1">IF(A274="",(IF(ISNUMBER(SUBSTITUTE(LEFT(RIGHT(E274,LEN(E274)-MIN(SEARCH({1,2,3,4,5,6,7,8,9,0},E274&amp;"1234567890"))+1),10),".","/"))=TRUE,AJ274-(SUBSTITUTE(LEFT(RIGHT(E274,LEN(E274)-MIN(SEARCH({1,2,3,4,5,6,7,8,9,0},E274&amp;"1234567890"))+1),10),".","/")),IF((SUBSTITUTE(LEFT(RIGHT(E274,LEN(E274)-MIN(SEARCH({1,2,3,4,5,6,7,8,9,0},E274&amp;"1234567890"))+1),10),".","/"))="","",(AJ274)-(MID(RIGHT((SUBSTITUTE(LEFT(RIGHT(E274,LEN(E274)-MIN(SEARCH({1,2,3,4,5,6,7,8,9,0},E274&amp;"1234567890"))+1),10),".","/")),10),4,2)&amp;"/"&amp;LEFT((RIGHT((SUBSTITUTE(LEFT(RIGHT(E274,LEN(E274)-MIN(SEARCH({1,2,3,4,5,6,7,8,9,0},E274&amp;"1234567890"))+1),10),".","/")),10)),2)&amp;"/"&amp;RIGHT((SUBSTITUTE(LEFT(RIGHT(E274,LEN(E274)-MIN(SEARCH({1,2,3,4,5,6,7,8,9,0},E274&amp;"1234567890"))+1),10),".","/")),4))))),(AJ274-A274))</f>
        <v>#VALUE!</v>
      </c>
      <c r="C274" s="334"/>
      <c r="D274" s="294" t="str">
        <f t="shared" si="43"/>
        <v>FGC-430/2B-002X36</v>
      </c>
      <c r="E274" s="294" t="s">
        <v>4191</v>
      </c>
      <c r="F274" s="294" t="s">
        <v>4192</v>
      </c>
      <c r="G274" s="294" t="s">
        <v>4196</v>
      </c>
      <c r="H274" s="294">
        <v>430</v>
      </c>
      <c r="I274" s="337" t="s">
        <v>116</v>
      </c>
      <c r="J274" s="149">
        <v>4</v>
      </c>
      <c r="K274" s="149">
        <v>1.6</v>
      </c>
      <c r="L274" s="149">
        <v>1.58</v>
      </c>
      <c r="M274" s="149">
        <v>1.59</v>
      </c>
      <c r="N274" s="335">
        <v>750</v>
      </c>
      <c r="O274" s="296">
        <f>2.685-2.575</f>
        <v>0.10999999999999988</v>
      </c>
      <c r="P274" s="345"/>
      <c r="Q274" s="138">
        <v>36</v>
      </c>
      <c r="R274" s="376"/>
      <c r="S274" s="339"/>
      <c r="T274" s="299"/>
      <c r="U274" s="282" t="s">
        <v>117</v>
      </c>
      <c r="V274" s="282" t="s">
        <v>4185</v>
      </c>
      <c r="W274" s="282" t="s">
        <v>116</v>
      </c>
      <c r="X274" s="340">
        <v>43941</v>
      </c>
      <c r="Y274" s="340">
        <v>43941</v>
      </c>
      <c r="Z274" s="340">
        <v>43969</v>
      </c>
      <c r="AA274" s="340"/>
      <c r="AB274" s="340"/>
      <c r="AC274" s="341"/>
      <c r="AD274" s="342" t="s">
        <v>64</v>
      </c>
      <c r="AE274" s="342" t="s">
        <v>209</v>
      </c>
      <c r="AF274" s="284" t="s">
        <v>210</v>
      </c>
      <c r="AG274" s="284">
        <v>43313</v>
      </c>
      <c r="AH274" s="284">
        <v>43413</v>
      </c>
      <c r="AI274" s="284"/>
      <c r="AJ274" s="334">
        <f t="shared" ca="1" si="44"/>
        <v>44963</v>
      </c>
      <c r="AK274" s="342">
        <f t="shared" ca="1" si="45"/>
        <v>1550</v>
      </c>
      <c r="AL274" s="342">
        <f t="shared" ca="1" si="46"/>
        <v>994</v>
      </c>
      <c r="AM274" s="284" t="s">
        <v>4194</v>
      </c>
      <c r="AN274" s="284" t="s">
        <v>4192</v>
      </c>
      <c r="AO274" s="343">
        <v>11.17</v>
      </c>
      <c r="AP274" s="343">
        <v>11.2</v>
      </c>
      <c r="AQ274" s="343">
        <v>11.184999999999999</v>
      </c>
      <c r="AR274" s="343">
        <v>11.19</v>
      </c>
      <c r="AS274" s="331">
        <f t="shared" ca="1" si="47"/>
        <v>1022</v>
      </c>
      <c r="AV274" s="331" t="s">
        <v>136</v>
      </c>
      <c r="BE274" s="331" t="s">
        <v>125</v>
      </c>
      <c r="BI274" s="347" t="s">
        <v>3572</v>
      </c>
    </row>
    <row r="275" spans="1:61" s="331" customFormat="1" ht="18" customHeight="1" x14ac:dyDescent="0.35">
      <c r="A275" s="334"/>
      <c r="B275" s="335" t="e">
        <f ca="1">IF(A275="",(IF(ISNUMBER(SUBSTITUTE(LEFT(RIGHT(E275,LEN(E275)-MIN(SEARCH({1,2,3,4,5,6,7,8,9,0},E275&amp;"1234567890"))+1),10),".","/"))=TRUE,AJ275-(SUBSTITUTE(LEFT(RIGHT(E275,LEN(E275)-MIN(SEARCH({1,2,3,4,5,6,7,8,9,0},E275&amp;"1234567890"))+1),10),".","/")),IF((SUBSTITUTE(LEFT(RIGHT(E275,LEN(E275)-MIN(SEARCH({1,2,3,4,5,6,7,8,9,0},E275&amp;"1234567890"))+1),10),".","/"))="","",(AJ275)-(MID(RIGHT((SUBSTITUTE(LEFT(RIGHT(E275,LEN(E275)-MIN(SEARCH({1,2,3,4,5,6,7,8,9,0},E275&amp;"1234567890"))+1),10),".","/")),10),4,2)&amp;"/"&amp;LEFT((RIGHT((SUBSTITUTE(LEFT(RIGHT(E275,LEN(E275)-MIN(SEARCH({1,2,3,4,5,6,7,8,9,0},E275&amp;"1234567890"))+1),10),".","/")),10)),2)&amp;"/"&amp;RIGHT((SUBSTITUTE(LEFT(RIGHT(E275,LEN(E275)-MIN(SEARCH({1,2,3,4,5,6,7,8,9,0},E275&amp;"1234567890"))+1),10),".","/")),4))))),(AJ275-A275))</f>
        <v>#VALUE!</v>
      </c>
      <c r="C275" s="334"/>
      <c r="D275" s="294" t="str">
        <f t="shared" si="43"/>
        <v>FGC-430/2B-001X64,8</v>
      </c>
      <c r="E275" s="294" t="s">
        <v>4191</v>
      </c>
      <c r="F275" s="294" t="s">
        <v>4197</v>
      </c>
      <c r="G275" s="294" t="s">
        <v>4198</v>
      </c>
      <c r="H275" s="294">
        <v>430</v>
      </c>
      <c r="I275" s="337" t="s">
        <v>116</v>
      </c>
      <c r="J275" s="149">
        <v>4</v>
      </c>
      <c r="K275" s="149">
        <v>1.2</v>
      </c>
      <c r="L275" s="149">
        <v>1.21</v>
      </c>
      <c r="M275" s="149">
        <v>1.22</v>
      </c>
      <c r="N275" s="335">
        <v>750</v>
      </c>
      <c r="O275" s="296">
        <f>2.65-2.455</f>
        <v>0.19499999999999984</v>
      </c>
      <c r="P275" s="345"/>
      <c r="Q275" s="138">
        <v>64.8</v>
      </c>
      <c r="R275" s="376"/>
      <c r="S275" s="339"/>
      <c r="T275" s="299"/>
      <c r="U275" s="282" t="s">
        <v>117</v>
      </c>
      <c r="V275" s="282" t="s">
        <v>4185</v>
      </c>
      <c r="W275" s="282" t="s">
        <v>116</v>
      </c>
      <c r="X275" s="340">
        <v>43941</v>
      </c>
      <c r="Y275" s="340">
        <v>43942</v>
      </c>
      <c r="Z275" s="340">
        <v>43968</v>
      </c>
      <c r="AA275" s="340"/>
      <c r="AB275" s="340"/>
      <c r="AC275" s="341"/>
      <c r="AD275" s="342" t="s">
        <v>64</v>
      </c>
      <c r="AE275" s="342" t="s">
        <v>209</v>
      </c>
      <c r="AF275" s="284" t="s">
        <v>210</v>
      </c>
      <c r="AG275" s="284">
        <v>43313</v>
      </c>
      <c r="AH275" s="284">
        <v>43413</v>
      </c>
      <c r="AI275" s="284"/>
      <c r="AJ275" s="334">
        <f t="shared" ca="1" si="44"/>
        <v>44963</v>
      </c>
      <c r="AK275" s="342">
        <f t="shared" ca="1" si="45"/>
        <v>1550</v>
      </c>
      <c r="AL275" s="342">
        <f t="shared" ca="1" si="46"/>
        <v>995</v>
      </c>
      <c r="AM275" s="284" t="s">
        <v>4199</v>
      </c>
      <c r="AN275" s="284" t="s">
        <v>4197</v>
      </c>
      <c r="AO275" s="343">
        <v>10.416</v>
      </c>
      <c r="AP275" s="343">
        <v>10.446</v>
      </c>
      <c r="AQ275" s="343">
        <v>10.43</v>
      </c>
      <c r="AR275" s="343">
        <v>10.435</v>
      </c>
      <c r="AS275" s="331">
        <f t="shared" ca="1" si="47"/>
        <v>1021</v>
      </c>
      <c r="AV275" s="331" t="s">
        <v>136</v>
      </c>
      <c r="BE275" s="331" t="s">
        <v>125</v>
      </c>
      <c r="BH275" s="331" t="s">
        <v>3514</v>
      </c>
      <c r="BI275" s="347" t="s">
        <v>3515</v>
      </c>
    </row>
    <row r="276" spans="1:61" s="331" customFormat="1" ht="18" customHeight="1" x14ac:dyDescent="0.35">
      <c r="A276" s="334"/>
      <c r="B276" s="335" t="e">
        <f ca="1">IF(A276="",(IF(ISNUMBER(SUBSTITUTE(LEFT(RIGHT(E276,LEN(E276)-MIN(SEARCH({1,2,3,4,5,6,7,8,9,0},E276&amp;"1234567890"))+1),10),".","/"))=TRUE,AJ276-(SUBSTITUTE(LEFT(RIGHT(E276,LEN(E276)-MIN(SEARCH({1,2,3,4,5,6,7,8,9,0},E276&amp;"1234567890"))+1),10),".","/")),IF((SUBSTITUTE(LEFT(RIGHT(E276,LEN(E276)-MIN(SEARCH({1,2,3,4,5,6,7,8,9,0},E276&amp;"1234567890"))+1),10),".","/"))="","",(AJ276)-(MID(RIGHT((SUBSTITUTE(LEFT(RIGHT(E276,LEN(E276)-MIN(SEARCH({1,2,3,4,5,6,7,8,9,0},E276&amp;"1234567890"))+1),10),".","/")),10),4,2)&amp;"/"&amp;LEFT((RIGHT((SUBSTITUTE(LEFT(RIGHT(E276,LEN(E276)-MIN(SEARCH({1,2,3,4,5,6,7,8,9,0},E276&amp;"1234567890"))+1),10),".","/")),10)),2)&amp;"/"&amp;RIGHT((SUBSTITUTE(LEFT(RIGHT(E276,LEN(E276)-MIN(SEARCH({1,2,3,4,5,6,7,8,9,0},E276&amp;"1234567890"))+1),10),".","/")),4))))),(AJ276-A276))</f>
        <v>#VALUE!</v>
      </c>
      <c r="C276" s="334"/>
      <c r="D276" s="294" t="str">
        <f t="shared" si="43"/>
        <v>FGC-430/2B-001X57</v>
      </c>
      <c r="E276" s="294" t="s">
        <v>4191</v>
      </c>
      <c r="F276" s="294" t="s">
        <v>4197</v>
      </c>
      <c r="G276" s="294" t="s">
        <v>4200</v>
      </c>
      <c r="H276" s="294">
        <v>430</v>
      </c>
      <c r="I276" s="337" t="s">
        <v>116</v>
      </c>
      <c r="J276" s="149">
        <v>4</v>
      </c>
      <c r="K276" s="149">
        <v>1.2</v>
      </c>
      <c r="L276" s="149">
        <v>1.21</v>
      </c>
      <c r="M276" s="149">
        <v>1.22</v>
      </c>
      <c r="N276" s="335">
        <v>750</v>
      </c>
      <c r="O276" s="296">
        <f>2.635-2.44</f>
        <v>0.19499999999999984</v>
      </c>
      <c r="P276" s="345"/>
      <c r="Q276" s="138">
        <v>57</v>
      </c>
      <c r="R276" s="376"/>
      <c r="S276" s="339"/>
      <c r="T276" s="299"/>
      <c r="U276" s="282" t="s">
        <v>117</v>
      </c>
      <c r="V276" s="282" t="s">
        <v>4185</v>
      </c>
      <c r="W276" s="282" t="s">
        <v>116</v>
      </c>
      <c r="X276" s="340">
        <v>43941</v>
      </c>
      <c r="Y276" s="340">
        <v>43942</v>
      </c>
      <c r="Z276" s="340">
        <v>43968</v>
      </c>
      <c r="AA276" s="340"/>
      <c r="AB276" s="340"/>
      <c r="AC276" s="341"/>
      <c r="AD276" s="342" t="s">
        <v>64</v>
      </c>
      <c r="AE276" s="342" t="s">
        <v>209</v>
      </c>
      <c r="AF276" s="284" t="s">
        <v>210</v>
      </c>
      <c r="AG276" s="284">
        <v>43313</v>
      </c>
      <c r="AH276" s="284">
        <v>43413</v>
      </c>
      <c r="AI276" s="284"/>
      <c r="AJ276" s="334">
        <f t="shared" ca="1" si="44"/>
        <v>44963</v>
      </c>
      <c r="AK276" s="342">
        <f t="shared" ca="1" si="45"/>
        <v>1550</v>
      </c>
      <c r="AL276" s="342">
        <f t="shared" ca="1" si="46"/>
        <v>995</v>
      </c>
      <c r="AM276" s="284" t="s">
        <v>4199</v>
      </c>
      <c r="AN276" s="284" t="s">
        <v>4197</v>
      </c>
      <c r="AO276" s="343">
        <v>10.416</v>
      </c>
      <c r="AP276" s="343">
        <v>10.446</v>
      </c>
      <c r="AQ276" s="343">
        <v>10.43</v>
      </c>
      <c r="AR276" s="343">
        <v>10.435</v>
      </c>
      <c r="AS276" s="331">
        <f t="shared" ca="1" si="47"/>
        <v>1021</v>
      </c>
      <c r="AV276" s="331" t="s">
        <v>136</v>
      </c>
      <c r="BE276" s="331" t="s">
        <v>125</v>
      </c>
      <c r="BH276" s="331" t="s">
        <v>3514</v>
      </c>
      <c r="BI276" s="347"/>
    </row>
    <row r="277" spans="1:61" s="331" customFormat="1" ht="18" customHeight="1" x14ac:dyDescent="0.35">
      <c r="A277" s="334"/>
      <c r="B277" s="335" t="e">
        <f ca="1">IF(A277="",(IF(ISNUMBER(SUBSTITUTE(LEFT(RIGHT(E277,LEN(E277)-MIN(SEARCH({1,2,3,4,5,6,7,8,9,0},E277&amp;"1234567890"))+1),10),".","/"))=TRUE,AJ277-(SUBSTITUTE(LEFT(RIGHT(E277,LEN(E277)-MIN(SEARCH({1,2,3,4,5,6,7,8,9,0},E277&amp;"1234567890"))+1),10),".","/")),IF((SUBSTITUTE(LEFT(RIGHT(E277,LEN(E277)-MIN(SEARCH({1,2,3,4,5,6,7,8,9,0},E277&amp;"1234567890"))+1),10),".","/"))="","",(AJ277)-(MID(RIGHT((SUBSTITUTE(LEFT(RIGHT(E277,LEN(E277)-MIN(SEARCH({1,2,3,4,5,6,7,8,9,0},E277&amp;"1234567890"))+1),10),".","/")),10),4,2)&amp;"/"&amp;LEFT((RIGHT((SUBSTITUTE(LEFT(RIGHT(E277,LEN(E277)-MIN(SEARCH({1,2,3,4,5,6,7,8,9,0},E277&amp;"1234567890"))+1),10),".","/")),10)),2)&amp;"/"&amp;RIGHT((SUBSTITUTE(LEFT(RIGHT(E277,LEN(E277)-MIN(SEARCH({1,2,3,4,5,6,7,8,9,0},E277&amp;"1234567890"))+1),10),".","/")),4))))),(AJ277-A277))</f>
        <v>#VALUE!</v>
      </c>
      <c r="C277" s="334"/>
      <c r="D277" s="294" t="str">
        <f t="shared" si="43"/>
        <v>FGC-430/2B-001X57</v>
      </c>
      <c r="E277" s="294" t="s">
        <v>4191</v>
      </c>
      <c r="F277" s="294" t="s">
        <v>4197</v>
      </c>
      <c r="G277" s="294" t="s">
        <v>4201</v>
      </c>
      <c r="H277" s="294">
        <v>430</v>
      </c>
      <c r="I277" s="337" t="s">
        <v>116</v>
      </c>
      <c r="J277" s="149">
        <v>4</v>
      </c>
      <c r="K277" s="149">
        <v>1.2</v>
      </c>
      <c r="L277" s="149">
        <v>1.21</v>
      </c>
      <c r="M277" s="149">
        <v>1.22</v>
      </c>
      <c r="N277" s="335">
        <v>750</v>
      </c>
      <c r="O277" s="296">
        <f>2.13-1.975</f>
        <v>0.1549999999999998</v>
      </c>
      <c r="P277" s="345"/>
      <c r="Q277" s="138">
        <v>57</v>
      </c>
      <c r="R277" s="376"/>
      <c r="S277" s="339"/>
      <c r="T277" s="299"/>
      <c r="U277" s="282" t="s">
        <v>117</v>
      </c>
      <c r="V277" s="282" t="s">
        <v>4185</v>
      </c>
      <c r="W277" s="282" t="s">
        <v>116</v>
      </c>
      <c r="X277" s="340">
        <v>43941</v>
      </c>
      <c r="Y277" s="340">
        <v>43942</v>
      </c>
      <c r="Z277" s="340">
        <v>43968</v>
      </c>
      <c r="AA277" s="340"/>
      <c r="AB277" s="340"/>
      <c r="AC277" s="341"/>
      <c r="AD277" s="342" t="s">
        <v>64</v>
      </c>
      <c r="AE277" s="342" t="s">
        <v>209</v>
      </c>
      <c r="AF277" s="284" t="s">
        <v>210</v>
      </c>
      <c r="AG277" s="284">
        <v>43313</v>
      </c>
      <c r="AH277" s="284">
        <v>43413</v>
      </c>
      <c r="AI277" s="284"/>
      <c r="AJ277" s="334">
        <f t="shared" ca="1" si="44"/>
        <v>44963</v>
      </c>
      <c r="AK277" s="342">
        <f t="shared" ca="1" si="45"/>
        <v>1550</v>
      </c>
      <c r="AL277" s="342">
        <f t="shared" ca="1" si="46"/>
        <v>995</v>
      </c>
      <c r="AM277" s="284" t="s">
        <v>4199</v>
      </c>
      <c r="AN277" s="284" t="s">
        <v>4197</v>
      </c>
      <c r="AO277" s="343">
        <v>10.416</v>
      </c>
      <c r="AP277" s="343">
        <v>10.446</v>
      </c>
      <c r="AQ277" s="343">
        <v>10.43</v>
      </c>
      <c r="AR277" s="343">
        <v>10.435</v>
      </c>
      <c r="AS277" s="331">
        <f t="shared" ca="1" si="47"/>
        <v>1021</v>
      </c>
      <c r="AV277" s="331" t="s">
        <v>136</v>
      </c>
      <c r="BE277" s="331" t="s">
        <v>125</v>
      </c>
      <c r="BI277" s="347" t="s">
        <v>3572</v>
      </c>
    </row>
    <row r="278" spans="1:61" s="331" customFormat="1" ht="18" customHeight="1" x14ac:dyDescent="0.35">
      <c r="A278" s="334"/>
      <c r="B278" s="335" t="e">
        <f ca="1">IF(A278="",(IF(ISNUMBER(SUBSTITUTE(LEFT(RIGHT(E278,LEN(E278)-MIN(SEARCH({1,2,3,4,5,6,7,8,9,0},E278&amp;"1234567890"))+1),10),".","/"))=TRUE,AJ278-(SUBSTITUTE(LEFT(RIGHT(E278,LEN(E278)-MIN(SEARCH({1,2,3,4,5,6,7,8,9,0},E278&amp;"1234567890"))+1),10),".","/")),IF((SUBSTITUTE(LEFT(RIGHT(E278,LEN(E278)-MIN(SEARCH({1,2,3,4,5,6,7,8,9,0},E278&amp;"1234567890"))+1),10),".","/"))="","",(AJ278)-(MID(RIGHT((SUBSTITUTE(LEFT(RIGHT(E278,LEN(E278)-MIN(SEARCH({1,2,3,4,5,6,7,8,9,0},E278&amp;"1234567890"))+1),10),".","/")),10),4,2)&amp;"/"&amp;LEFT((RIGHT((SUBSTITUTE(LEFT(RIGHT(E278,LEN(E278)-MIN(SEARCH({1,2,3,4,5,6,7,8,9,0},E278&amp;"1234567890"))+1),10),".","/")),10)),2)&amp;"/"&amp;RIGHT((SUBSTITUTE(LEFT(RIGHT(E278,LEN(E278)-MIN(SEARCH({1,2,3,4,5,6,7,8,9,0},E278&amp;"1234567890"))+1),10),".","/")),4))))),(AJ278-A278))</f>
        <v>#VALUE!</v>
      </c>
      <c r="C278" s="334"/>
      <c r="D278" s="294" t="str">
        <f t="shared" si="43"/>
        <v>FGC-430/2B-001X57</v>
      </c>
      <c r="E278" s="294" t="s">
        <v>4191</v>
      </c>
      <c r="F278" s="294" t="s">
        <v>4197</v>
      </c>
      <c r="G278" s="294" t="s">
        <v>4202</v>
      </c>
      <c r="H278" s="294">
        <v>430</v>
      </c>
      <c r="I278" s="337" t="s">
        <v>116</v>
      </c>
      <c r="J278" s="149">
        <v>4</v>
      </c>
      <c r="K278" s="149">
        <v>1.2</v>
      </c>
      <c r="L278" s="149">
        <v>1.21</v>
      </c>
      <c r="M278" s="149">
        <v>1.22</v>
      </c>
      <c r="N278" s="335">
        <v>750</v>
      </c>
      <c r="O278" s="296">
        <f>2.605-2.41</f>
        <v>0.19499999999999984</v>
      </c>
      <c r="P278" s="345"/>
      <c r="Q278" s="138">
        <v>57</v>
      </c>
      <c r="R278" s="376"/>
      <c r="S278" s="339"/>
      <c r="T278" s="299"/>
      <c r="U278" s="282" t="s">
        <v>117</v>
      </c>
      <c r="V278" s="282" t="s">
        <v>4185</v>
      </c>
      <c r="W278" s="282" t="s">
        <v>116</v>
      </c>
      <c r="X278" s="340">
        <v>43941</v>
      </c>
      <c r="Y278" s="340">
        <v>43942</v>
      </c>
      <c r="Z278" s="340">
        <v>43968</v>
      </c>
      <c r="AA278" s="340"/>
      <c r="AB278" s="340"/>
      <c r="AC278" s="341"/>
      <c r="AD278" s="342" t="s">
        <v>64</v>
      </c>
      <c r="AE278" s="342" t="s">
        <v>209</v>
      </c>
      <c r="AF278" s="284" t="s">
        <v>210</v>
      </c>
      <c r="AG278" s="284">
        <v>43313</v>
      </c>
      <c r="AH278" s="284">
        <v>43413</v>
      </c>
      <c r="AI278" s="284"/>
      <c r="AJ278" s="334">
        <f t="shared" ca="1" si="44"/>
        <v>44963</v>
      </c>
      <c r="AK278" s="342">
        <f t="shared" ca="1" si="45"/>
        <v>1550</v>
      </c>
      <c r="AL278" s="342">
        <f t="shared" ca="1" si="46"/>
        <v>995</v>
      </c>
      <c r="AM278" s="284" t="s">
        <v>4199</v>
      </c>
      <c r="AN278" s="284" t="s">
        <v>4197</v>
      </c>
      <c r="AO278" s="343">
        <v>10.416</v>
      </c>
      <c r="AP278" s="343">
        <v>10.446</v>
      </c>
      <c r="AQ278" s="343">
        <v>10.43</v>
      </c>
      <c r="AR278" s="343">
        <v>10.435</v>
      </c>
      <c r="AS278" s="331">
        <f t="shared" ca="1" si="47"/>
        <v>1021</v>
      </c>
      <c r="AV278" s="331" t="s">
        <v>136</v>
      </c>
      <c r="BE278" s="331" t="s">
        <v>125</v>
      </c>
      <c r="BH278" s="331" t="s">
        <v>3514</v>
      </c>
      <c r="BI278" s="347" t="s">
        <v>3572</v>
      </c>
    </row>
    <row r="279" spans="1:61" s="331" customFormat="1" ht="18" customHeight="1" x14ac:dyDescent="0.35">
      <c r="A279" s="334"/>
      <c r="B279" s="335" t="e">
        <f ca="1">IF(A279="",(IF(ISNUMBER(SUBSTITUTE(LEFT(RIGHT(E279,LEN(E279)-MIN(SEARCH({1,2,3,4,5,6,7,8,9,0},E279&amp;"1234567890"))+1),10),".","/"))=TRUE,AJ279-(SUBSTITUTE(LEFT(RIGHT(E279,LEN(E279)-MIN(SEARCH({1,2,3,4,5,6,7,8,9,0},E279&amp;"1234567890"))+1),10),".","/")),IF((SUBSTITUTE(LEFT(RIGHT(E279,LEN(E279)-MIN(SEARCH({1,2,3,4,5,6,7,8,9,0},E279&amp;"1234567890"))+1),10),".","/"))="","",(AJ279)-(MID(RIGHT((SUBSTITUTE(LEFT(RIGHT(E279,LEN(E279)-MIN(SEARCH({1,2,3,4,5,6,7,8,9,0},E279&amp;"1234567890"))+1),10),".","/")),10),4,2)&amp;"/"&amp;LEFT((RIGHT((SUBSTITUTE(LEFT(RIGHT(E279,LEN(E279)-MIN(SEARCH({1,2,3,4,5,6,7,8,9,0},E279&amp;"1234567890"))+1),10),".","/")),10)),2)&amp;"/"&amp;RIGHT((SUBSTITUTE(LEFT(RIGHT(E279,LEN(E279)-MIN(SEARCH({1,2,3,4,5,6,7,8,9,0},E279&amp;"1234567890"))+1),10),".","/")),4))))),(AJ279-A279))</f>
        <v>#VALUE!</v>
      </c>
      <c r="C279" s="334"/>
      <c r="D279" s="294" t="str">
        <f t="shared" si="43"/>
        <v>FGC-430/2B-002X36</v>
      </c>
      <c r="E279" s="294" t="s">
        <v>4191</v>
      </c>
      <c r="F279" s="294" t="s">
        <v>4192</v>
      </c>
      <c r="G279" s="294" t="s">
        <v>4203</v>
      </c>
      <c r="H279" s="294">
        <v>430</v>
      </c>
      <c r="I279" s="337" t="s">
        <v>116</v>
      </c>
      <c r="J279" s="149">
        <v>4</v>
      </c>
      <c r="K279" s="149">
        <v>1.6</v>
      </c>
      <c r="L279" s="149">
        <v>1.58</v>
      </c>
      <c r="M279" s="149">
        <v>1.59</v>
      </c>
      <c r="N279" s="335">
        <v>750</v>
      </c>
      <c r="O279" s="296">
        <f>2.69-2.58</f>
        <v>0.10999999999999988</v>
      </c>
      <c r="P279" s="345"/>
      <c r="Q279" s="138">
        <v>36</v>
      </c>
      <c r="R279" s="376"/>
      <c r="S279" s="339"/>
      <c r="T279" s="299"/>
      <c r="U279" s="282" t="s">
        <v>117</v>
      </c>
      <c r="V279" s="282" t="s">
        <v>4185</v>
      </c>
      <c r="W279" s="282" t="s">
        <v>116</v>
      </c>
      <c r="X279" s="340">
        <v>43941</v>
      </c>
      <c r="Y279" s="340">
        <v>43941</v>
      </c>
      <c r="Z279" s="340">
        <v>43969</v>
      </c>
      <c r="AA279" s="340"/>
      <c r="AB279" s="340"/>
      <c r="AC279" s="341"/>
      <c r="AD279" s="342" t="s">
        <v>64</v>
      </c>
      <c r="AE279" s="342" t="s">
        <v>209</v>
      </c>
      <c r="AF279" s="284" t="s">
        <v>210</v>
      </c>
      <c r="AG279" s="284">
        <v>43313</v>
      </c>
      <c r="AH279" s="284">
        <v>43413</v>
      </c>
      <c r="AI279" s="284"/>
      <c r="AJ279" s="334">
        <f t="shared" ca="1" si="44"/>
        <v>44963</v>
      </c>
      <c r="AK279" s="342">
        <f t="shared" ca="1" si="45"/>
        <v>1550</v>
      </c>
      <c r="AL279" s="342">
        <f t="shared" ca="1" si="46"/>
        <v>994</v>
      </c>
      <c r="AM279" s="284" t="s">
        <v>4194</v>
      </c>
      <c r="AN279" s="284" t="s">
        <v>4192</v>
      </c>
      <c r="AO279" s="343">
        <v>11.17</v>
      </c>
      <c r="AP279" s="343">
        <v>11.2</v>
      </c>
      <c r="AQ279" s="343">
        <v>11.184999999999999</v>
      </c>
      <c r="AR279" s="343">
        <v>11.19</v>
      </c>
      <c r="AS279" s="331">
        <f t="shared" ca="1" si="47"/>
        <v>1022</v>
      </c>
      <c r="AV279" s="331" t="s">
        <v>136</v>
      </c>
      <c r="BE279" s="331" t="s">
        <v>125</v>
      </c>
      <c r="BH279" s="331" t="s">
        <v>3514</v>
      </c>
      <c r="BI279" s="347" t="s">
        <v>3572</v>
      </c>
    </row>
    <row r="280" spans="1:61" s="331" customFormat="1" ht="18" customHeight="1" x14ac:dyDescent="0.35">
      <c r="A280" s="334"/>
      <c r="B280" s="335" t="e">
        <f ca="1">IF(A280="",(IF(ISNUMBER(SUBSTITUTE(LEFT(RIGHT(E280,LEN(E280)-MIN(SEARCH({1,2,3,4,5,6,7,8,9,0},E280&amp;"1234567890"))+1),10),".","/"))=TRUE,AJ280-(SUBSTITUTE(LEFT(RIGHT(E280,LEN(E280)-MIN(SEARCH({1,2,3,4,5,6,7,8,9,0},E280&amp;"1234567890"))+1),10),".","/")),IF((SUBSTITUTE(LEFT(RIGHT(E280,LEN(E280)-MIN(SEARCH({1,2,3,4,5,6,7,8,9,0},E280&amp;"1234567890"))+1),10),".","/"))="","",(AJ280)-(MID(RIGHT((SUBSTITUTE(LEFT(RIGHT(E280,LEN(E280)-MIN(SEARCH({1,2,3,4,5,6,7,8,9,0},E280&amp;"1234567890"))+1),10),".","/")),10),4,2)&amp;"/"&amp;LEFT((RIGHT((SUBSTITUTE(LEFT(RIGHT(E280,LEN(E280)-MIN(SEARCH({1,2,3,4,5,6,7,8,9,0},E280&amp;"1234567890"))+1),10),".","/")),10)),2)&amp;"/"&amp;RIGHT((SUBSTITUTE(LEFT(RIGHT(E280,LEN(E280)-MIN(SEARCH({1,2,3,4,5,6,7,8,9,0},E280&amp;"1234567890"))+1),10),".","/")),4))))),(AJ280-A280))</f>
        <v>#VALUE!</v>
      </c>
      <c r="C280" s="334"/>
      <c r="D280" s="294" t="str">
        <f t="shared" si="43"/>
        <v>FGC-430/2B-002X36</v>
      </c>
      <c r="E280" s="294" t="s">
        <v>4191</v>
      </c>
      <c r="F280" s="294" t="s">
        <v>4192</v>
      </c>
      <c r="G280" s="294" t="s">
        <v>4204</v>
      </c>
      <c r="H280" s="294">
        <v>430</v>
      </c>
      <c r="I280" s="337" t="s">
        <v>116</v>
      </c>
      <c r="J280" s="149">
        <v>4</v>
      </c>
      <c r="K280" s="149">
        <v>1.6</v>
      </c>
      <c r="L280" s="149">
        <v>1.58</v>
      </c>
      <c r="M280" s="149">
        <v>1.59</v>
      </c>
      <c r="N280" s="335">
        <v>750</v>
      </c>
      <c r="O280" s="296">
        <f>2.715-2.605</f>
        <v>0.10999999999999988</v>
      </c>
      <c r="P280" s="345"/>
      <c r="Q280" s="138">
        <v>36</v>
      </c>
      <c r="R280" s="376"/>
      <c r="S280" s="339"/>
      <c r="T280" s="299"/>
      <c r="U280" s="282" t="s">
        <v>117</v>
      </c>
      <c r="V280" s="282" t="s">
        <v>4185</v>
      </c>
      <c r="W280" s="282" t="s">
        <v>116</v>
      </c>
      <c r="X280" s="340">
        <v>43941</v>
      </c>
      <c r="Y280" s="340">
        <v>43941</v>
      </c>
      <c r="Z280" s="340">
        <v>43969</v>
      </c>
      <c r="AA280" s="340"/>
      <c r="AB280" s="340"/>
      <c r="AC280" s="341"/>
      <c r="AD280" s="342" t="s">
        <v>64</v>
      </c>
      <c r="AE280" s="342" t="s">
        <v>209</v>
      </c>
      <c r="AF280" s="284" t="s">
        <v>210</v>
      </c>
      <c r="AG280" s="284">
        <v>43313</v>
      </c>
      <c r="AH280" s="284">
        <v>43413</v>
      </c>
      <c r="AI280" s="284"/>
      <c r="AJ280" s="334">
        <f t="shared" ca="1" si="44"/>
        <v>44963</v>
      </c>
      <c r="AK280" s="342">
        <f t="shared" ca="1" si="45"/>
        <v>1550</v>
      </c>
      <c r="AL280" s="342">
        <f t="shared" ca="1" si="46"/>
        <v>994</v>
      </c>
      <c r="AM280" s="284" t="s">
        <v>4194</v>
      </c>
      <c r="AN280" s="284" t="s">
        <v>4192</v>
      </c>
      <c r="AO280" s="343">
        <v>11.17</v>
      </c>
      <c r="AP280" s="343">
        <v>11.2</v>
      </c>
      <c r="AQ280" s="343">
        <v>11.184999999999999</v>
      </c>
      <c r="AR280" s="343">
        <v>11.19</v>
      </c>
      <c r="AS280" s="331">
        <f t="shared" ca="1" si="47"/>
        <v>1022</v>
      </c>
      <c r="AV280" s="331" t="s">
        <v>136</v>
      </c>
      <c r="BE280" s="331" t="s">
        <v>125</v>
      </c>
      <c r="BH280" s="331" t="s">
        <v>3514</v>
      </c>
      <c r="BI280" s="347" t="s">
        <v>3572</v>
      </c>
    </row>
    <row r="281" spans="1:61" s="331" customFormat="1" ht="18" customHeight="1" x14ac:dyDescent="0.35">
      <c r="A281" s="334"/>
      <c r="B281" s="335" t="e">
        <f ca="1">IF(A281="",(IF(ISNUMBER(SUBSTITUTE(LEFT(RIGHT(E281,LEN(E281)-MIN(SEARCH({1,2,3,4,5,6,7,8,9,0},E281&amp;"1234567890"))+1),10),".","/"))=TRUE,AJ281-(SUBSTITUTE(LEFT(RIGHT(E281,LEN(E281)-MIN(SEARCH({1,2,3,4,5,6,7,8,9,0},E281&amp;"1234567890"))+1),10),".","/")),IF((SUBSTITUTE(LEFT(RIGHT(E281,LEN(E281)-MIN(SEARCH({1,2,3,4,5,6,7,8,9,0},E281&amp;"1234567890"))+1),10),".","/"))="","",(AJ281)-(MID(RIGHT((SUBSTITUTE(LEFT(RIGHT(E281,LEN(E281)-MIN(SEARCH({1,2,3,4,5,6,7,8,9,0},E281&amp;"1234567890"))+1),10),".","/")),10),4,2)&amp;"/"&amp;LEFT((RIGHT((SUBSTITUTE(LEFT(RIGHT(E281,LEN(E281)-MIN(SEARCH({1,2,3,4,5,6,7,8,9,0},E281&amp;"1234567890"))+1),10),".","/")),10)),2)&amp;"/"&amp;RIGHT((SUBSTITUTE(LEFT(RIGHT(E281,LEN(E281)-MIN(SEARCH({1,2,3,4,5,6,7,8,9,0},E281&amp;"1234567890"))+1),10),".","/")),4))))),(AJ281-A281))</f>
        <v>#VALUE!</v>
      </c>
      <c r="C281" s="334"/>
      <c r="D281" s="294" t="str">
        <f t="shared" si="43"/>
        <v>FGC-430/2B-002X58,25</v>
      </c>
      <c r="E281" s="294" t="s">
        <v>4205</v>
      </c>
      <c r="F281" s="294" t="s">
        <v>4206</v>
      </c>
      <c r="G281" s="294" t="s">
        <v>4207</v>
      </c>
      <c r="H281" s="294">
        <v>430</v>
      </c>
      <c r="I281" s="337" t="s">
        <v>116</v>
      </c>
      <c r="J281" s="149">
        <v>4</v>
      </c>
      <c r="K281" s="149">
        <v>1.6</v>
      </c>
      <c r="L281" s="149">
        <v>1.62</v>
      </c>
      <c r="M281" s="149">
        <v>1.64</v>
      </c>
      <c r="N281" s="335">
        <v>750</v>
      </c>
      <c r="O281" s="296">
        <f>2.835-2.615</f>
        <v>0.21999999999999975</v>
      </c>
      <c r="P281" s="345"/>
      <c r="Q281" s="138">
        <v>58.25</v>
      </c>
      <c r="R281" s="366"/>
      <c r="S281" s="339"/>
      <c r="T281" s="299"/>
      <c r="U281" s="282" t="s">
        <v>117</v>
      </c>
      <c r="V281" s="282" t="s">
        <v>4185</v>
      </c>
      <c r="W281" s="282" t="s">
        <v>116</v>
      </c>
      <c r="X281" s="340">
        <v>43941</v>
      </c>
      <c r="Y281" s="340">
        <v>43941</v>
      </c>
      <c r="Z281" s="340">
        <v>43968</v>
      </c>
      <c r="AA281" s="340"/>
      <c r="AB281" s="340"/>
      <c r="AC281" s="341"/>
      <c r="AD281" s="342" t="s">
        <v>64</v>
      </c>
      <c r="AE281" s="342" t="s">
        <v>209</v>
      </c>
      <c r="AF281" s="284" t="s">
        <v>210</v>
      </c>
      <c r="AG281" s="284">
        <v>43313</v>
      </c>
      <c r="AH281" s="284">
        <v>43413</v>
      </c>
      <c r="AI281" s="284"/>
      <c r="AJ281" s="334">
        <f t="shared" ca="1" si="44"/>
        <v>44963</v>
      </c>
      <c r="AK281" s="342">
        <f t="shared" ca="1" si="45"/>
        <v>1550</v>
      </c>
      <c r="AL281" s="342">
        <f t="shared" ca="1" si="46"/>
        <v>995</v>
      </c>
      <c r="AM281" s="284" t="s">
        <v>4194</v>
      </c>
      <c r="AN281" s="284" t="s">
        <v>4206</v>
      </c>
      <c r="AO281" s="343">
        <v>11.597</v>
      </c>
      <c r="AP281" s="343">
        <v>11.626999999999999</v>
      </c>
      <c r="AQ281" s="343">
        <v>11.639999999999999</v>
      </c>
      <c r="AR281" s="343">
        <v>11.645</v>
      </c>
      <c r="AS281" s="331">
        <f t="shared" ca="1" si="47"/>
        <v>1022</v>
      </c>
      <c r="AV281" s="331" t="s">
        <v>136</v>
      </c>
      <c r="BE281" s="331" t="s">
        <v>125</v>
      </c>
      <c r="BH281" s="331" t="s">
        <v>3514</v>
      </c>
      <c r="BI281" s="347" t="s">
        <v>3515</v>
      </c>
    </row>
    <row r="282" spans="1:61" s="331" customFormat="1" ht="18" customHeight="1" x14ac:dyDescent="0.35">
      <c r="A282" s="334"/>
      <c r="B282" s="335" t="e">
        <f ca="1">IF(A282="",(IF(ISNUMBER(SUBSTITUTE(LEFT(RIGHT(E282,LEN(E282)-MIN(SEARCH({1,2,3,4,5,6,7,8,9,0},E282&amp;"1234567890"))+1),10),".","/"))=TRUE,AJ282-(SUBSTITUTE(LEFT(RIGHT(E282,LEN(E282)-MIN(SEARCH({1,2,3,4,5,6,7,8,9,0},E282&amp;"1234567890"))+1),10),".","/")),IF((SUBSTITUTE(LEFT(RIGHT(E282,LEN(E282)-MIN(SEARCH({1,2,3,4,5,6,7,8,9,0},E282&amp;"1234567890"))+1),10),".","/"))="","",(AJ282)-(MID(RIGHT((SUBSTITUTE(LEFT(RIGHT(E282,LEN(E282)-MIN(SEARCH({1,2,3,4,5,6,7,8,9,0},E282&amp;"1234567890"))+1),10),".","/")),10),4,2)&amp;"/"&amp;LEFT((RIGHT((SUBSTITUTE(LEFT(RIGHT(E282,LEN(E282)-MIN(SEARCH({1,2,3,4,5,6,7,8,9,0},E282&amp;"1234567890"))+1),10),".","/")),10)),2)&amp;"/"&amp;RIGHT((SUBSTITUTE(LEFT(RIGHT(E282,LEN(E282)-MIN(SEARCH({1,2,3,4,5,6,7,8,9,0},E282&amp;"1234567890"))+1),10),".","/")),4))))),(AJ282-A282))</f>
        <v>#VALUE!</v>
      </c>
      <c r="C282" s="334"/>
      <c r="D282" s="294" t="str">
        <f t="shared" si="43"/>
        <v>FGC-430/2B-002X58,25</v>
      </c>
      <c r="E282" s="294" t="s">
        <v>4205</v>
      </c>
      <c r="F282" s="294" t="s">
        <v>4206</v>
      </c>
      <c r="G282" s="294" t="s">
        <v>4208</v>
      </c>
      <c r="H282" s="294">
        <v>430</v>
      </c>
      <c r="I282" s="337" t="s">
        <v>116</v>
      </c>
      <c r="J282" s="149">
        <v>4</v>
      </c>
      <c r="K282" s="149">
        <v>1.6</v>
      </c>
      <c r="L282" s="149">
        <v>1.62</v>
      </c>
      <c r="M282" s="149">
        <v>1.64</v>
      </c>
      <c r="N282" s="335">
        <v>750</v>
      </c>
      <c r="O282" s="296">
        <f>2.83-2.61</f>
        <v>0.2200000000000002</v>
      </c>
      <c r="P282" s="345"/>
      <c r="Q282" s="138">
        <v>58.25</v>
      </c>
      <c r="R282" s="366"/>
      <c r="S282" s="339"/>
      <c r="T282" s="299"/>
      <c r="U282" s="282" t="s">
        <v>117</v>
      </c>
      <c r="V282" s="282" t="s">
        <v>4185</v>
      </c>
      <c r="W282" s="282" t="s">
        <v>116</v>
      </c>
      <c r="X282" s="340">
        <v>43941</v>
      </c>
      <c r="Y282" s="340">
        <v>43941</v>
      </c>
      <c r="Z282" s="340">
        <v>43968</v>
      </c>
      <c r="AA282" s="340"/>
      <c r="AB282" s="340"/>
      <c r="AC282" s="341"/>
      <c r="AD282" s="342" t="s">
        <v>64</v>
      </c>
      <c r="AE282" s="342" t="s">
        <v>209</v>
      </c>
      <c r="AF282" s="284" t="s">
        <v>210</v>
      </c>
      <c r="AG282" s="284">
        <v>43313</v>
      </c>
      <c r="AH282" s="284">
        <v>43413</v>
      </c>
      <c r="AI282" s="284"/>
      <c r="AJ282" s="334">
        <f t="shared" ca="1" si="44"/>
        <v>44963</v>
      </c>
      <c r="AK282" s="342">
        <f t="shared" ca="1" si="45"/>
        <v>1550</v>
      </c>
      <c r="AL282" s="342">
        <f t="shared" ca="1" si="46"/>
        <v>995</v>
      </c>
      <c r="AM282" s="284" t="s">
        <v>4194</v>
      </c>
      <c r="AN282" s="284" t="s">
        <v>4206</v>
      </c>
      <c r="AO282" s="343">
        <v>11.597</v>
      </c>
      <c r="AP282" s="343">
        <v>11.626999999999999</v>
      </c>
      <c r="AQ282" s="343">
        <v>11.639999999999999</v>
      </c>
      <c r="AR282" s="343">
        <v>11.645</v>
      </c>
      <c r="AS282" s="331">
        <f t="shared" ca="1" si="47"/>
        <v>1022</v>
      </c>
      <c r="AV282" s="331" t="s">
        <v>136</v>
      </c>
      <c r="BE282" s="331" t="s">
        <v>125</v>
      </c>
      <c r="BH282" s="331" t="s">
        <v>3514</v>
      </c>
      <c r="BI282" s="347" t="s">
        <v>3515</v>
      </c>
    </row>
    <row r="283" spans="1:61" s="331" customFormat="1" ht="18" customHeight="1" x14ac:dyDescent="0.35">
      <c r="A283" s="334"/>
      <c r="B283" s="335" t="e">
        <f ca="1">IF(A283="",(IF(ISNUMBER(SUBSTITUTE(LEFT(RIGHT(E283,LEN(E283)-MIN(SEARCH({1,2,3,4,5,6,7,8,9,0},E283&amp;"1234567890"))+1),10),".","/"))=TRUE,AJ283-(SUBSTITUTE(LEFT(RIGHT(E283,LEN(E283)-MIN(SEARCH({1,2,3,4,5,6,7,8,9,0},E283&amp;"1234567890"))+1),10),".","/")),IF((SUBSTITUTE(LEFT(RIGHT(E283,LEN(E283)-MIN(SEARCH({1,2,3,4,5,6,7,8,9,0},E283&amp;"1234567890"))+1),10),".","/"))="","",(AJ283)-(MID(RIGHT((SUBSTITUTE(LEFT(RIGHT(E283,LEN(E283)-MIN(SEARCH({1,2,3,4,5,6,7,8,9,0},E283&amp;"1234567890"))+1),10),".","/")),10),4,2)&amp;"/"&amp;LEFT((RIGHT((SUBSTITUTE(LEFT(RIGHT(E283,LEN(E283)-MIN(SEARCH({1,2,3,4,5,6,7,8,9,0},E283&amp;"1234567890"))+1),10),".","/")),10)),2)&amp;"/"&amp;RIGHT((SUBSTITUTE(LEFT(RIGHT(E283,LEN(E283)-MIN(SEARCH({1,2,3,4,5,6,7,8,9,0},E283&amp;"1234567890"))+1),10),".","/")),4))))),(AJ283-A283))</f>
        <v>#VALUE!</v>
      </c>
      <c r="C283" s="334"/>
      <c r="D283" s="294" t="str">
        <f t="shared" si="43"/>
        <v>FGC-430/2B-002X58,25</v>
      </c>
      <c r="E283" s="294" t="s">
        <v>4205</v>
      </c>
      <c r="F283" s="294" t="s">
        <v>4206</v>
      </c>
      <c r="G283" s="294" t="s">
        <v>4209</v>
      </c>
      <c r="H283" s="294">
        <v>430</v>
      </c>
      <c r="I283" s="337" t="s">
        <v>116</v>
      </c>
      <c r="J283" s="149">
        <v>4</v>
      </c>
      <c r="K283" s="149">
        <v>1.6</v>
      </c>
      <c r="L283" s="149">
        <v>1.62</v>
      </c>
      <c r="M283" s="149">
        <v>1.64</v>
      </c>
      <c r="N283" s="335">
        <v>750</v>
      </c>
      <c r="O283" s="296">
        <f>2.82-2.595</f>
        <v>0.22499999999999964</v>
      </c>
      <c r="P283" s="345"/>
      <c r="Q283" s="138">
        <v>58.25</v>
      </c>
      <c r="R283" s="366"/>
      <c r="S283" s="339"/>
      <c r="T283" s="299"/>
      <c r="U283" s="282" t="s">
        <v>117</v>
      </c>
      <c r="V283" s="282" t="s">
        <v>4185</v>
      </c>
      <c r="W283" s="282" t="s">
        <v>116</v>
      </c>
      <c r="X283" s="340">
        <v>43941</v>
      </c>
      <c r="Y283" s="340">
        <v>43941</v>
      </c>
      <c r="Z283" s="340">
        <v>43968</v>
      </c>
      <c r="AA283" s="340"/>
      <c r="AB283" s="340"/>
      <c r="AC283" s="341"/>
      <c r="AD283" s="342" t="s">
        <v>64</v>
      </c>
      <c r="AE283" s="342" t="s">
        <v>209</v>
      </c>
      <c r="AF283" s="284" t="s">
        <v>210</v>
      </c>
      <c r="AG283" s="284">
        <v>43313</v>
      </c>
      <c r="AH283" s="284">
        <v>43413</v>
      </c>
      <c r="AI283" s="284"/>
      <c r="AJ283" s="334">
        <f t="shared" ca="1" si="44"/>
        <v>44963</v>
      </c>
      <c r="AK283" s="342">
        <f t="shared" ca="1" si="45"/>
        <v>1550</v>
      </c>
      <c r="AL283" s="342">
        <f t="shared" ca="1" si="46"/>
        <v>995</v>
      </c>
      <c r="AM283" s="284" t="s">
        <v>4194</v>
      </c>
      <c r="AN283" s="284" t="s">
        <v>4206</v>
      </c>
      <c r="AO283" s="343">
        <v>11.597</v>
      </c>
      <c r="AP283" s="343">
        <v>11.626999999999999</v>
      </c>
      <c r="AQ283" s="343">
        <v>11.639999999999999</v>
      </c>
      <c r="AR283" s="343">
        <v>11.645</v>
      </c>
      <c r="AS283" s="331">
        <f t="shared" ca="1" si="47"/>
        <v>1022</v>
      </c>
      <c r="AV283" s="331" t="s">
        <v>136</v>
      </c>
      <c r="BE283" s="331" t="s">
        <v>125</v>
      </c>
      <c r="BH283" s="331" t="s">
        <v>3514</v>
      </c>
      <c r="BI283" s="347" t="s">
        <v>3515</v>
      </c>
    </row>
    <row r="284" spans="1:61" s="331" customFormat="1" ht="18" customHeight="1" x14ac:dyDescent="0.35">
      <c r="A284" s="334"/>
      <c r="B284" s="335" t="e">
        <f ca="1">IF(A284="",(IF(ISNUMBER(SUBSTITUTE(LEFT(RIGHT(E284,LEN(E284)-MIN(SEARCH({1,2,3,4,5,6,7,8,9,0},E284&amp;"1234567890"))+1),10),".","/"))=TRUE,AJ284-(SUBSTITUTE(LEFT(RIGHT(E284,LEN(E284)-MIN(SEARCH({1,2,3,4,5,6,7,8,9,0},E284&amp;"1234567890"))+1),10),".","/")),IF((SUBSTITUTE(LEFT(RIGHT(E284,LEN(E284)-MIN(SEARCH({1,2,3,4,5,6,7,8,9,0},E284&amp;"1234567890"))+1),10),".","/"))="","",(AJ284)-(MID(RIGHT((SUBSTITUTE(LEFT(RIGHT(E284,LEN(E284)-MIN(SEARCH({1,2,3,4,5,6,7,8,9,0},E284&amp;"1234567890"))+1),10),".","/")),10),4,2)&amp;"/"&amp;LEFT((RIGHT((SUBSTITUTE(LEFT(RIGHT(E284,LEN(E284)-MIN(SEARCH({1,2,3,4,5,6,7,8,9,0},E284&amp;"1234567890"))+1),10),".","/")),10)),2)&amp;"/"&amp;RIGHT((SUBSTITUTE(LEFT(RIGHT(E284,LEN(E284)-MIN(SEARCH({1,2,3,4,5,6,7,8,9,0},E284&amp;"1234567890"))+1),10),".","/")),4))))),(AJ284-A284))</f>
        <v>#VALUE!</v>
      </c>
      <c r="C284" s="334"/>
      <c r="D284" s="294" t="str">
        <f t="shared" si="43"/>
        <v>FGC-430/2B-002X58,25</v>
      </c>
      <c r="E284" s="294" t="s">
        <v>4205</v>
      </c>
      <c r="F284" s="294" t="s">
        <v>4206</v>
      </c>
      <c r="G284" s="294" t="s">
        <v>4210</v>
      </c>
      <c r="H284" s="294">
        <v>430</v>
      </c>
      <c r="I284" s="337" t="s">
        <v>116</v>
      </c>
      <c r="J284" s="149">
        <v>4</v>
      </c>
      <c r="K284" s="149">
        <v>1.6</v>
      </c>
      <c r="L284" s="149">
        <v>1.62</v>
      </c>
      <c r="M284" s="149">
        <v>1.64</v>
      </c>
      <c r="N284" s="335">
        <v>750</v>
      </c>
      <c r="O284" s="296">
        <f>2.725-2.515</f>
        <v>0.20999999999999996</v>
      </c>
      <c r="P284" s="345"/>
      <c r="Q284" s="138">
        <v>58.25</v>
      </c>
      <c r="R284" s="366"/>
      <c r="S284" s="339"/>
      <c r="T284" s="299"/>
      <c r="U284" s="282" t="s">
        <v>117</v>
      </c>
      <c r="V284" s="282" t="s">
        <v>4185</v>
      </c>
      <c r="W284" s="282" t="s">
        <v>116</v>
      </c>
      <c r="X284" s="340">
        <v>43941</v>
      </c>
      <c r="Y284" s="340">
        <v>43941</v>
      </c>
      <c r="Z284" s="340">
        <v>43968</v>
      </c>
      <c r="AA284" s="340"/>
      <c r="AB284" s="340"/>
      <c r="AC284" s="341"/>
      <c r="AD284" s="342" t="s">
        <v>64</v>
      </c>
      <c r="AE284" s="342" t="s">
        <v>209</v>
      </c>
      <c r="AF284" s="284" t="s">
        <v>210</v>
      </c>
      <c r="AG284" s="284">
        <v>43313</v>
      </c>
      <c r="AH284" s="284">
        <v>43413</v>
      </c>
      <c r="AI284" s="284"/>
      <c r="AJ284" s="334">
        <f t="shared" ca="1" si="44"/>
        <v>44963</v>
      </c>
      <c r="AK284" s="342">
        <f t="shared" ca="1" si="45"/>
        <v>1550</v>
      </c>
      <c r="AL284" s="342">
        <f t="shared" ca="1" si="46"/>
        <v>995</v>
      </c>
      <c r="AM284" s="284" t="s">
        <v>4194</v>
      </c>
      <c r="AN284" s="284" t="s">
        <v>4206</v>
      </c>
      <c r="AO284" s="343">
        <v>11.597</v>
      </c>
      <c r="AP284" s="343">
        <v>11.626999999999999</v>
      </c>
      <c r="AQ284" s="343">
        <v>11.639999999999999</v>
      </c>
      <c r="AR284" s="343">
        <v>11.645</v>
      </c>
      <c r="AS284" s="331">
        <f t="shared" ca="1" si="47"/>
        <v>1022</v>
      </c>
      <c r="AV284" s="331" t="s">
        <v>136</v>
      </c>
      <c r="BE284" s="331" t="s">
        <v>125</v>
      </c>
      <c r="BH284" s="331" t="s">
        <v>3514</v>
      </c>
      <c r="BI284" s="347" t="s">
        <v>3515</v>
      </c>
    </row>
    <row r="285" spans="1:61" s="331" customFormat="1" ht="18" customHeight="1" x14ac:dyDescent="0.35">
      <c r="A285" s="334"/>
      <c r="B285" s="335" t="e">
        <f ca="1">IF(A285="",(IF(ISNUMBER(SUBSTITUTE(LEFT(RIGHT(E285,LEN(E285)-MIN(SEARCH({1,2,3,4,5,6,7,8,9,0},E285&amp;"1234567890"))+1),10),".","/"))=TRUE,AJ285-(SUBSTITUTE(LEFT(RIGHT(E285,LEN(E285)-MIN(SEARCH({1,2,3,4,5,6,7,8,9,0},E285&amp;"1234567890"))+1),10),".","/")),IF((SUBSTITUTE(LEFT(RIGHT(E285,LEN(E285)-MIN(SEARCH({1,2,3,4,5,6,7,8,9,0},E285&amp;"1234567890"))+1),10),".","/"))="","",(AJ285)-(MID(RIGHT((SUBSTITUTE(LEFT(RIGHT(E285,LEN(E285)-MIN(SEARCH({1,2,3,4,5,6,7,8,9,0},E285&amp;"1234567890"))+1),10),".","/")),10),4,2)&amp;"/"&amp;LEFT((RIGHT((SUBSTITUTE(LEFT(RIGHT(E285,LEN(E285)-MIN(SEARCH({1,2,3,4,5,6,7,8,9,0},E285&amp;"1234567890"))+1),10),".","/")),10)),2)&amp;"/"&amp;RIGHT((SUBSTITUTE(LEFT(RIGHT(E285,LEN(E285)-MIN(SEARCH({1,2,3,4,5,6,7,8,9,0},E285&amp;"1234567890"))+1),10),".","/")),4))))),(AJ285-A285))</f>
        <v>#VALUE!</v>
      </c>
      <c r="C285" s="334"/>
      <c r="D285" s="294" t="str">
        <f t="shared" si="43"/>
        <v>FGC-430/2B-001X34</v>
      </c>
      <c r="E285" s="294" t="s">
        <v>4211</v>
      </c>
      <c r="F285" s="294" t="s">
        <v>4212</v>
      </c>
      <c r="G285" s="294" t="s">
        <v>4213</v>
      </c>
      <c r="H285" s="294">
        <v>430</v>
      </c>
      <c r="I285" s="337" t="s">
        <v>116</v>
      </c>
      <c r="J285" s="149">
        <v>1.19</v>
      </c>
      <c r="K285" s="149">
        <v>1.19</v>
      </c>
      <c r="L285" s="149"/>
      <c r="M285" s="149"/>
      <c r="N285" s="335">
        <v>770</v>
      </c>
      <c r="O285" s="296">
        <f>2.335-2.22</f>
        <v>0.11499999999999977</v>
      </c>
      <c r="P285" s="839"/>
      <c r="Q285" s="138">
        <v>34</v>
      </c>
      <c r="R285" s="366"/>
      <c r="S285" s="339"/>
      <c r="T285" s="299"/>
      <c r="U285" s="282" t="s">
        <v>117</v>
      </c>
      <c r="V285" s="282" t="s">
        <v>4214</v>
      </c>
      <c r="W285" s="282"/>
      <c r="X285" s="340"/>
      <c r="Y285" s="340"/>
      <c r="Z285" s="340"/>
      <c r="AA285" s="340"/>
      <c r="AB285" s="340"/>
      <c r="AC285" s="341"/>
      <c r="AD285" s="342" t="s">
        <v>116</v>
      </c>
      <c r="AE285" s="342" t="s">
        <v>322</v>
      </c>
      <c r="AF285" s="284" t="s">
        <v>4215</v>
      </c>
      <c r="AG285" s="284">
        <v>44006</v>
      </c>
      <c r="AH285" s="284">
        <v>44026</v>
      </c>
      <c r="AI285" s="284"/>
      <c r="AJ285" s="334">
        <f t="shared" ca="1" si="44"/>
        <v>44963</v>
      </c>
      <c r="AK285" s="342">
        <f t="shared" ca="1" si="45"/>
        <v>937</v>
      </c>
      <c r="AL285" s="342" t="str">
        <f t="shared" si="46"/>
        <v/>
      </c>
      <c r="AM285" s="284"/>
      <c r="AN285" s="284" t="s">
        <v>4216</v>
      </c>
      <c r="AO285" s="343">
        <v>12.566000000000001</v>
      </c>
      <c r="AP285" s="343">
        <v>12.596000000000002</v>
      </c>
      <c r="AQ285" s="343">
        <v>12.621</v>
      </c>
      <c r="AR285" s="343">
        <v>12.626000000000001</v>
      </c>
      <c r="AS285" s="331" t="str">
        <f t="shared" si="47"/>
        <v/>
      </c>
      <c r="AV285" s="331" t="s">
        <v>136</v>
      </c>
      <c r="BH285" s="331" t="s">
        <v>3514</v>
      </c>
      <c r="BI285" s="347" t="s">
        <v>3515</v>
      </c>
    </row>
    <row r="286" spans="1:61" s="331" customFormat="1" ht="18" customHeight="1" x14ac:dyDescent="0.35">
      <c r="A286" s="334"/>
      <c r="B286" s="335" t="e">
        <f ca="1">IF(A286="",(IF(ISNUMBER(SUBSTITUTE(LEFT(RIGHT(E286,LEN(E286)-MIN(SEARCH({1,2,3,4,5,6,7,8,9,0},E286&amp;"1234567890"))+1),10),".","/"))=TRUE,AJ286-(SUBSTITUTE(LEFT(RIGHT(E286,LEN(E286)-MIN(SEARCH({1,2,3,4,5,6,7,8,9,0},E286&amp;"1234567890"))+1),10),".","/")),IF((SUBSTITUTE(LEFT(RIGHT(E286,LEN(E286)-MIN(SEARCH({1,2,3,4,5,6,7,8,9,0},E286&amp;"1234567890"))+1),10),".","/"))="","",(AJ286)-(MID(RIGHT((SUBSTITUTE(LEFT(RIGHT(E286,LEN(E286)-MIN(SEARCH({1,2,3,4,5,6,7,8,9,0},E286&amp;"1234567890"))+1),10),".","/")),10),4,2)&amp;"/"&amp;LEFT((RIGHT((SUBSTITUTE(LEFT(RIGHT(E286,LEN(E286)-MIN(SEARCH({1,2,3,4,5,6,7,8,9,0},E286&amp;"1234567890"))+1),10),".","/")),10)),2)&amp;"/"&amp;RIGHT((SUBSTITUTE(LEFT(RIGHT(E286,LEN(E286)-MIN(SEARCH({1,2,3,4,5,6,7,8,9,0},E286&amp;"1234567890"))+1),10),".","/")),4))))),(AJ286-A286))</f>
        <v>#VALUE!</v>
      </c>
      <c r="C286" s="334"/>
      <c r="D286" s="294" t="str">
        <f t="shared" si="43"/>
        <v>FGC-430/2B-001X37</v>
      </c>
      <c r="E286" s="294" t="s">
        <v>4211</v>
      </c>
      <c r="F286" s="294" t="s">
        <v>4217</v>
      </c>
      <c r="G286" s="294" t="s">
        <v>4218</v>
      </c>
      <c r="H286" s="294">
        <v>430</v>
      </c>
      <c r="I286" s="337" t="s">
        <v>116</v>
      </c>
      <c r="J286" s="149">
        <v>1.19</v>
      </c>
      <c r="K286" s="149">
        <v>1.19</v>
      </c>
      <c r="L286" s="149"/>
      <c r="M286" s="149"/>
      <c r="N286" s="335">
        <v>770</v>
      </c>
      <c r="O286" s="296">
        <f>1.705-1.625</f>
        <v>8.0000000000000071E-2</v>
      </c>
      <c r="P286" s="841"/>
      <c r="Q286" s="138">
        <v>37</v>
      </c>
      <c r="R286" s="366"/>
      <c r="S286" s="339"/>
      <c r="T286" s="299"/>
      <c r="U286" s="282" t="s">
        <v>117</v>
      </c>
      <c r="V286" s="282" t="s">
        <v>4214</v>
      </c>
      <c r="W286" s="282"/>
      <c r="X286" s="340"/>
      <c r="Y286" s="340"/>
      <c r="Z286" s="340"/>
      <c r="AA286" s="340"/>
      <c r="AB286" s="340"/>
      <c r="AC286" s="341"/>
      <c r="AD286" s="342" t="s">
        <v>116</v>
      </c>
      <c r="AE286" s="342" t="s">
        <v>322</v>
      </c>
      <c r="AF286" s="284" t="s">
        <v>4215</v>
      </c>
      <c r="AG286" s="284">
        <v>44006</v>
      </c>
      <c r="AH286" s="284">
        <v>44026</v>
      </c>
      <c r="AI286" s="284"/>
      <c r="AJ286" s="334">
        <f t="shared" ca="1" si="44"/>
        <v>44963</v>
      </c>
      <c r="AK286" s="342">
        <f t="shared" ca="1" si="45"/>
        <v>937</v>
      </c>
      <c r="AL286" s="342" t="str">
        <f t="shared" si="46"/>
        <v/>
      </c>
      <c r="AM286" s="284"/>
      <c r="AN286" s="284" t="s">
        <v>4216</v>
      </c>
      <c r="AO286" s="343">
        <v>12.624000000000001</v>
      </c>
      <c r="AP286" s="343">
        <v>12.654000000000002</v>
      </c>
      <c r="AQ286" s="343">
        <v>12.679</v>
      </c>
      <c r="AR286" s="343">
        <v>12.684000000000001</v>
      </c>
      <c r="AS286" s="331" t="str">
        <f t="shared" si="47"/>
        <v/>
      </c>
      <c r="AV286" s="331" t="s">
        <v>136</v>
      </c>
      <c r="BH286" s="331" t="s">
        <v>3514</v>
      </c>
      <c r="BI286" s="347" t="s">
        <v>3515</v>
      </c>
    </row>
    <row r="287" spans="1:61" s="331" customFormat="1" ht="18" customHeight="1" x14ac:dyDescent="0.35">
      <c r="A287" s="334"/>
      <c r="B287" s="335" t="e">
        <f ca="1">IF(A287="",(IF(ISNUMBER(SUBSTITUTE(LEFT(RIGHT(E287,LEN(E287)-MIN(SEARCH({1,2,3,4,5,6,7,8,9,0},E287&amp;"1234567890"))+1),10),".","/"))=TRUE,AJ287-(SUBSTITUTE(LEFT(RIGHT(E287,LEN(E287)-MIN(SEARCH({1,2,3,4,5,6,7,8,9,0},E287&amp;"1234567890"))+1),10),".","/")),IF((SUBSTITUTE(LEFT(RIGHT(E287,LEN(E287)-MIN(SEARCH({1,2,3,4,5,6,7,8,9,0},E287&amp;"1234567890"))+1),10),".","/"))="","",(AJ287)-(MID(RIGHT((SUBSTITUTE(LEFT(RIGHT(E287,LEN(E287)-MIN(SEARCH({1,2,3,4,5,6,7,8,9,0},E287&amp;"1234567890"))+1),10),".","/")),10),4,2)&amp;"/"&amp;LEFT((RIGHT((SUBSTITUTE(LEFT(RIGHT(E287,LEN(E287)-MIN(SEARCH({1,2,3,4,5,6,7,8,9,0},E287&amp;"1234567890"))+1),10),".","/")),10)),2)&amp;"/"&amp;RIGHT((SUBSTITUTE(LEFT(RIGHT(E287,LEN(E287)-MIN(SEARCH({1,2,3,4,5,6,7,8,9,0},E287&amp;"1234567890"))+1),10),".","/")),4))))),(AJ287-A287))</f>
        <v>#VALUE!</v>
      </c>
      <c r="C287" s="334"/>
      <c r="D287" s="294" t="str">
        <f t="shared" si="43"/>
        <v>FGC-430/2B-001X37</v>
      </c>
      <c r="E287" s="294" t="s">
        <v>4211</v>
      </c>
      <c r="F287" s="294" t="s">
        <v>4217</v>
      </c>
      <c r="G287" s="294" t="s">
        <v>4219</v>
      </c>
      <c r="H287" s="294">
        <v>430</v>
      </c>
      <c r="I287" s="337" t="s">
        <v>116</v>
      </c>
      <c r="J287" s="149">
        <v>1.19</v>
      </c>
      <c r="K287" s="149">
        <v>1.19</v>
      </c>
      <c r="L287" s="149"/>
      <c r="M287" s="149"/>
      <c r="N287" s="335">
        <v>770</v>
      </c>
      <c r="O287" s="296">
        <f>1.72-1.64</f>
        <v>8.0000000000000071E-2</v>
      </c>
      <c r="P287" s="841"/>
      <c r="Q287" s="138">
        <v>37</v>
      </c>
      <c r="R287" s="366"/>
      <c r="S287" s="339"/>
      <c r="T287" s="299"/>
      <c r="U287" s="282" t="s">
        <v>117</v>
      </c>
      <c r="V287" s="282" t="s">
        <v>4214</v>
      </c>
      <c r="W287" s="282"/>
      <c r="X287" s="340"/>
      <c r="Y287" s="340"/>
      <c r="Z287" s="340"/>
      <c r="AA287" s="340"/>
      <c r="AB287" s="340"/>
      <c r="AC287" s="341"/>
      <c r="AD287" s="342" t="s">
        <v>116</v>
      </c>
      <c r="AE287" s="342" t="s">
        <v>322</v>
      </c>
      <c r="AF287" s="284" t="s">
        <v>4215</v>
      </c>
      <c r="AG287" s="284">
        <v>44006</v>
      </c>
      <c r="AH287" s="284">
        <v>44026</v>
      </c>
      <c r="AI287" s="284"/>
      <c r="AJ287" s="334">
        <f t="shared" ca="1" si="44"/>
        <v>44963</v>
      </c>
      <c r="AK287" s="342">
        <f t="shared" ca="1" si="45"/>
        <v>937</v>
      </c>
      <c r="AL287" s="342" t="str">
        <f t="shared" si="46"/>
        <v/>
      </c>
      <c r="AM287" s="284"/>
      <c r="AN287" s="284" t="s">
        <v>4216</v>
      </c>
      <c r="AO287" s="343">
        <v>12.624000000000001</v>
      </c>
      <c r="AP287" s="343">
        <v>12.654000000000002</v>
      </c>
      <c r="AQ287" s="343">
        <v>12.679</v>
      </c>
      <c r="AR287" s="343">
        <v>12.684000000000001</v>
      </c>
      <c r="AS287" s="331" t="str">
        <f t="shared" si="47"/>
        <v/>
      </c>
      <c r="AV287" s="331" t="s">
        <v>136</v>
      </c>
      <c r="BH287" s="331" t="s">
        <v>3514</v>
      </c>
      <c r="BI287" s="347" t="s">
        <v>3515</v>
      </c>
    </row>
    <row r="288" spans="1:61" s="331" customFormat="1" ht="18" customHeight="1" x14ac:dyDescent="0.35">
      <c r="A288" s="334"/>
      <c r="B288" s="335" t="e">
        <f ca="1">IF(A288="",(IF(ISNUMBER(SUBSTITUTE(LEFT(RIGHT(E288,LEN(E288)-MIN(SEARCH({1,2,3,4,5,6,7,8,9,0},E288&amp;"1234567890"))+1),10),".","/"))=TRUE,AJ288-(SUBSTITUTE(LEFT(RIGHT(E288,LEN(E288)-MIN(SEARCH({1,2,3,4,5,6,7,8,9,0},E288&amp;"1234567890"))+1),10),".","/")),IF((SUBSTITUTE(LEFT(RIGHT(E288,LEN(E288)-MIN(SEARCH({1,2,3,4,5,6,7,8,9,0},E288&amp;"1234567890"))+1),10),".","/"))="","",(AJ288)-(MID(RIGHT((SUBSTITUTE(LEFT(RIGHT(E288,LEN(E288)-MIN(SEARCH({1,2,3,4,5,6,7,8,9,0},E288&amp;"1234567890"))+1),10),".","/")),10),4,2)&amp;"/"&amp;LEFT((RIGHT((SUBSTITUTE(LEFT(RIGHT(E288,LEN(E288)-MIN(SEARCH({1,2,3,4,5,6,7,8,9,0},E288&amp;"1234567890"))+1),10),".","/")),10)),2)&amp;"/"&amp;RIGHT((SUBSTITUTE(LEFT(RIGHT(E288,LEN(E288)-MIN(SEARCH({1,2,3,4,5,6,7,8,9,0},E288&amp;"1234567890"))+1),10),".","/")),4))))),(AJ288-A288))</f>
        <v>#VALUE!</v>
      </c>
      <c r="C288" s="334"/>
      <c r="D288" s="294" t="str">
        <f t="shared" si="43"/>
        <v>FGC-430/2B-001X34</v>
      </c>
      <c r="E288" s="294" t="s">
        <v>4211</v>
      </c>
      <c r="F288" s="294" t="s">
        <v>4212</v>
      </c>
      <c r="G288" s="294" t="s">
        <v>4220</v>
      </c>
      <c r="H288" s="294">
        <v>430</v>
      </c>
      <c r="I288" s="337" t="s">
        <v>116</v>
      </c>
      <c r="J288" s="149">
        <v>1.19</v>
      </c>
      <c r="K288" s="149">
        <v>1.19</v>
      </c>
      <c r="L288" s="149"/>
      <c r="M288" s="149"/>
      <c r="N288" s="335">
        <v>770</v>
      </c>
      <c r="O288" s="296">
        <f>1.69-1.61</f>
        <v>7.9999999999999849E-2</v>
      </c>
      <c r="P288" s="841"/>
      <c r="Q288" s="138">
        <v>34</v>
      </c>
      <c r="R288" s="366"/>
      <c r="S288" s="339"/>
      <c r="T288" s="299"/>
      <c r="U288" s="282" t="s">
        <v>117</v>
      </c>
      <c r="V288" s="282" t="s">
        <v>4214</v>
      </c>
      <c r="W288" s="282"/>
      <c r="X288" s="340"/>
      <c r="Y288" s="340"/>
      <c r="Z288" s="340"/>
      <c r="AA288" s="340"/>
      <c r="AB288" s="340"/>
      <c r="AC288" s="341"/>
      <c r="AD288" s="342" t="s">
        <v>116</v>
      </c>
      <c r="AE288" s="342" t="s">
        <v>322</v>
      </c>
      <c r="AF288" s="284" t="s">
        <v>4215</v>
      </c>
      <c r="AG288" s="284">
        <v>44006</v>
      </c>
      <c r="AH288" s="284">
        <v>44026</v>
      </c>
      <c r="AI288" s="284"/>
      <c r="AJ288" s="334">
        <f t="shared" ca="1" si="44"/>
        <v>44963</v>
      </c>
      <c r="AK288" s="342">
        <f t="shared" ca="1" si="45"/>
        <v>937</v>
      </c>
      <c r="AL288" s="342" t="str">
        <f t="shared" si="46"/>
        <v/>
      </c>
      <c r="AM288" s="284"/>
      <c r="AN288" s="284" t="s">
        <v>4216</v>
      </c>
      <c r="AO288" s="343">
        <v>12.566000000000001</v>
      </c>
      <c r="AP288" s="343">
        <v>12.596000000000002</v>
      </c>
      <c r="AQ288" s="343">
        <v>12.621</v>
      </c>
      <c r="AR288" s="343">
        <v>12.626000000000001</v>
      </c>
      <c r="AS288" s="331" t="str">
        <f t="shared" si="47"/>
        <v/>
      </c>
      <c r="AV288" s="331" t="s">
        <v>136</v>
      </c>
      <c r="BH288" s="331" t="s">
        <v>3514</v>
      </c>
      <c r="BI288" s="347" t="s">
        <v>3515</v>
      </c>
    </row>
    <row r="289" spans="1:61" s="331" customFormat="1" ht="18" customHeight="1" x14ac:dyDescent="0.35">
      <c r="A289" s="334"/>
      <c r="B289" s="335" t="e">
        <f ca="1">IF(A289="",(IF(ISNUMBER(SUBSTITUTE(LEFT(RIGHT(E289,LEN(E289)-MIN(SEARCH({1,2,3,4,5,6,7,8,9,0},E289&amp;"1234567890"))+1),10),".","/"))=TRUE,AJ289-(SUBSTITUTE(LEFT(RIGHT(E289,LEN(E289)-MIN(SEARCH({1,2,3,4,5,6,7,8,9,0},E289&amp;"1234567890"))+1),10),".","/")),IF((SUBSTITUTE(LEFT(RIGHT(E289,LEN(E289)-MIN(SEARCH({1,2,3,4,5,6,7,8,9,0},E289&amp;"1234567890"))+1),10),".","/"))="","",(AJ289)-(MID(RIGHT((SUBSTITUTE(LEFT(RIGHT(E289,LEN(E289)-MIN(SEARCH({1,2,3,4,5,6,7,8,9,0},E289&amp;"1234567890"))+1),10),".","/")),10),4,2)&amp;"/"&amp;LEFT((RIGHT((SUBSTITUTE(LEFT(RIGHT(E289,LEN(E289)-MIN(SEARCH({1,2,3,4,5,6,7,8,9,0},E289&amp;"1234567890"))+1),10),".","/")),10)),2)&amp;"/"&amp;RIGHT((SUBSTITUTE(LEFT(RIGHT(E289,LEN(E289)-MIN(SEARCH({1,2,3,4,5,6,7,8,9,0},E289&amp;"1234567890"))+1),10),".","/")),4))))),(AJ289-A289))</f>
        <v>#VALUE!</v>
      </c>
      <c r="C289" s="334"/>
      <c r="D289" s="294" t="str">
        <f t="shared" si="43"/>
        <v>FGC-430/2B-001X34</v>
      </c>
      <c r="E289" s="294" t="s">
        <v>4211</v>
      </c>
      <c r="F289" s="294" t="s">
        <v>4212</v>
      </c>
      <c r="G289" s="294" t="s">
        <v>4221</v>
      </c>
      <c r="H289" s="294">
        <v>430</v>
      </c>
      <c r="I289" s="337" t="s">
        <v>116</v>
      </c>
      <c r="J289" s="149">
        <v>1.19</v>
      </c>
      <c r="K289" s="149">
        <v>1.19</v>
      </c>
      <c r="L289" s="149"/>
      <c r="M289" s="149"/>
      <c r="N289" s="335">
        <v>770</v>
      </c>
      <c r="O289" s="296">
        <f>1.8-1.715</f>
        <v>8.4999999999999964E-2</v>
      </c>
      <c r="P289" s="841"/>
      <c r="Q289" s="138">
        <v>34</v>
      </c>
      <c r="R289" s="366"/>
      <c r="S289" s="339"/>
      <c r="T289" s="299"/>
      <c r="U289" s="282" t="s">
        <v>117</v>
      </c>
      <c r="V289" s="282" t="s">
        <v>4214</v>
      </c>
      <c r="W289" s="282"/>
      <c r="X289" s="340"/>
      <c r="Y289" s="340"/>
      <c r="Z289" s="340"/>
      <c r="AA289" s="340"/>
      <c r="AB289" s="340"/>
      <c r="AC289" s="341"/>
      <c r="AD289" s="342" t="s">
        <v>116</v>
      </c>
      <c r="AE289" s="342" t="s">
        <v>322</v>
      </c>
      <c r="AF289" s="284" t="s">
        <v>4215</v>
      </c>
      <c r="AG289" s="284">
        <v>44006</v>
      </c>
      <c r="AH289" s="284">
        <v>44026</v>
      </c>
      <c r="AI289" s="284"/>
      <c r="AJ289" s="334">
        <f t="shared" ca="1" si="44"/>
        <v>44963</v>
      </c>
      <c r="AK289" s="342">
        <f t="shared" ca="1" si="45"/>
        <v>937</v>
      </c>
      <c r="AL289" s="342" t="str">
        <f t="shared" si="46"/>
        <v/>
      </c>
      <c r="AM289" s="284"/>
      <c r="AN289" s="284" t="s">
        <v>4216</v>
      </c>
      <c r="AO289" s="343">
        <v>12.566000000000001</v>
      </c>
      <c r="AP289" s="343">
        <v>12.596000000000002</v>
      </c>
      <c r="AQ289" s="343">
        <v>12.621</v>
      </c>
      <c r="AR289" s="343">
        <v>12.626000000000001</v>
      </c>
      <c r="AS289" s="331" t="str">
        <f t="shared" si="47"/>
        <v/>
      </c>
      <c r="AV289" s="331" t="s">
        <v>136</v>
      </c>
      <c r="BH289" s="331" t="s">
        <v>3514</v>
      </c>
      <c r="BI289" s="347" t="s">
        <v>3515</v>
      </c>
    </row>
    <row r="290" spans="1:61" s="331" customFormat="1" ht="18" customHeight="1" x14ac:dyDescent="0.35">
      <c r="A290" s="334"/>
      <c r="B290" s="335" t="e">
        <f ca="1">IF(A290="",(IF(ISNUMBER(SUBSTITUTE(LEFT(RIGHT(E290,LEN(E290)-MIN(SEARCH({1,2,3,4,5,6,7,8,9,0},E290&amp;"1234567890"))+1),10),".","/"))=TRUE,AJ290-(SUBSTITUTE(LEFT(RIGHT(E290,LEN(E290)-MIN(SEARCH({1,2,3,4,5,6,7,8,9,0},E290&amp;"1234567890"))+1),10),".","/")),IF((SUBSTITUTE(LEFT(RIGHT(E290,LEN(E290)-MIN(SEARCH({1,2,3,4,5,6,7,8,9,0},E290&amp;"1234567890"))+1),10),".","/"))="","",(AJ290)-(MID(RIGHT((SUBSTITUTE(LEFT(RIGHT(E290,LEN(E290)-MIN(SEARCH({1,2,3,4,5,6,7,8,9,0},E290&amp;"1234567890"))+1),10),".","/")),10),4,2)&amp;"/"&amp;LEFT((RIGHT((SUBSTITUTE(LEFT(RIGHT(E290,LEN(E290)-MIN(SEARCH({1,2,3,4,5,6,7,8,9,0},E290&amp;"1234567890"))+1),10),".","/")),10)),2)&amp;"/"&amp;RIGHT((SUBSTITUTE(LEFT(RIGHT(E290,LEN(E290)-MIN(SEARCH({1,2,3,4,5,6,7,8,9,0},E290&amp;"1234567890"))+1),10),".","/")),4))))),(AJ290-A290))</f>
        <v>#VALUE!</v>
      </c>
      <c r="C290" s="334"/>
      <c r="D290" s="294" t="str">
        <f t="shared" si="43"/>
        <v>FGC-430/2B-001X37</v>
      </c>
      <c r="E290" s="294" t="s">
        <v>4211</v>
      </c>
      <c r="F290" s="294" t="s">
        <v>4217</v>
      </c>
      <c r="G290" s="294" t="s">
        <v>4222</v>
      </c>
      <c r="H290" s="294">
        <v>430</v>
      </c>
      <c r="I290" s="337" t="s">
        <v>116</v>
      </c>
      <c r="J290" s="149">
        <v>1.19</v>
      </c>
      <c r="K290" s="149">
        <v>1.19</v>
      </c>
      <c r="L290" s="149"/>
      <c r="M290" s="149"/>
      <c r="N290" s="335">
        <v>770</v>
      </c>
      <c r="O290" s="296">
        <f>1.65-1.57</f>
        <v>7.9999999999999849E-2</v>
      </c>
      <c r="P290" s="840"/>
      <c r="Q290" s="138">
        <v>37</v>
      </c>
      <c r="R290" s="366"/>
      <c r="S290" s="339"/>
      <c r="T290" s="299"/>
      <c r="U290" s="282" t="s">
        <v>117</v>
      </c>
      <c r="V290" s="282" t="s">
        <v>4214</v>
      </c>
      <c r="W290" s="282"/>
      <c r="X290" s="340"/>
      <c r="Y290" s="340"/>
      <c r="Z290" s="340"/>
      <c r="AA290" s="340"/>
      <c r="AB290" s="340"/>
      <c r="AC290" s="341"/>
      <c r="AD290" s="342" t="s">
        <v>116</v>
      </c>
      <c r="AE290" s="342" t="s">
        <v>322</v>
      </c>
      <c r="AF290" s="284" t="s">
        <v>4215</v>
      </c>
      <c r="AG290" s="284">
        <v>44006</v>
      </c>
      <c r="AH290" s="284">
        <v>44026</v>
      </c>
      <c r="AI290" s="284"/>
      <c r="AJ290" s="334">
        <f t="shared" ca="1" si="44"/>
        <v>44963</v>
      </c>
      <c r="AK290" s="342">
        <f t="shared" ca="1" si="45"/>
        <v>937</v>
      </c>
      <c r="AL290" s="342" t="str">
        <f t="shared" si="46"/>
        <v/>
      </c>
      <c r="AM290" s="284"/>
      <c r="AN290" s="284" t="s">
        <v>4216</v>
      </c>
      <c r="AO290" s="343">
        <v>12.624000000000001</v>
      </c>
      <c r="AP290" s="343">
        <v>12.654000000000002</v>
      </c>
      <c r="AQ290" s="343">
        <v>12.679</v>
      </c>
      <c r="AR290" s="343">
        <v>12.684000000000001</v>
      </c>
      <c r="AS290" s="331" t="str">
        <f t="shared" si="47"/>
        <v/>
      </c>
      <c r="AV290" s="331" t="s">
        <v>136</v>
      </c>
      <c r="BH290" s="331" t="s">
        <v>3514</v>
      </c>
      <c r="BI290" s="347" t="s">
        <v>3515</v>
      </c>
    </row>
    <row r="291" spans="1:61" s="331" customFormat="1" ht="18" customHeight="1" x14ac:dyDescent="0.35">
      <c r="A291" s="334"/>
      <c r="B291" s="335" t="e">
        <f ca="1">IF(A291="",(IF(ISNUMBER(SUBSTITUTE(LEFT(RIGHT(E291,LEN(E291)-MIN(SEARCH({1,2,3,4,5,6,7,8,9,0},E291&amp;"1234567890"))+1),10),".","/"))=TRUE,AJ291-(SUBSTITUTE(LEFT(RIGHT(E291,LEN(E291)-MIN(SEARCH({1,2,3,4,5,6,7,8,9,0},E291&amp;"1234567890"))+1),10),".","/")),IF((SUBSTITUTE(LEFT(RIGHT(E291,LEN(E291)-MIN(SEARCH({1,2,3,4,5,6,7,8,9,0},E291&amp;"1234567890"))+1),10),".","/"))="","",(AJ291)-(MID(RIGHT((SUBSTITUTE(LEFT(RIGHT(E291,LEN(E291)-MIN(SEARCH({1,2,3,4,5,6,7,8,9,0},E291&amp;"1234567890"))+1),10),".","/")),10),4,2)&amp;"/"&amp;LEFT((RIGHT((SUBSTITUTE(LEFT(RIGHT(E291,LEN(E291)-MIN(SEARCH({1,2,3,4,5,6,7,8,9,0},E291&amp;"1234567890"))+1),10),".","/")),10)),2)&amp;"/"&amp;RIGHT((SUBSTITUTE(LEFT(RIGHT(E291,LEN(E291)-MIN(SEARCH({1,2,3,4,5,6,7,8,9,0},E291&amp;"1234567890"))+1),10),".","/")),4))))),(AJ291-A291))</f>
        <v>#VALUE!</v>
      </c>
      <c r="C291" s="334"/>
      <c r="D291" s="294" t="str">
        <f t="shared" si="43"/>
        <v>FGC-430/2B-001X50</v>
      </c>
      <c r="E291" s="294" t="s">
        <v>4223</v>
      </c>
      <c r="F291" s="294" t="s">
        <v>4217</v>
      </c>
      <c r="G291" s="294" t="s">
        <v>4224</v>
      </c>
      <c r="H291" s="294">
        <v>430</v>
      </c>
      <c r="I291" s="337" t="s">
        <v>116</v>
      </c>
      <c r="J291" s="149">
        <v>1.19</v>
      </c>
      <c r="K291" s="149">
        <v>1.19</v>
      </c>
      <c r="L291" s="149"/>
      <c r="M291" s="149"/>
      <c r="N291" s="335">
        <v>770</v>
      </c>
      <c r="O291" s="296">
        <f>2.58-2.4</f>
        <v>0.18000000000000016</v>
      </c>
      <c r="P291" s="345"/>
      <c r="Q291" s="138">
        <v>50</v>
      </c>
      <c r="R291" s="366"/>
      <c r="S291" s="339"/>
      <c r="T291" s="299"/>
      <c r="U291" s="282" t="s">
        <v>117</v>
      </c>
      <c r="V291" s="282" t="s">
        <v>4214</v>
      </c>
      <c r="W291" s="282"/>
      <c r="X291" s="340"/>
      <c r="Y291" s="340"/>
      <c r="Z291" s="340"/>
      <c r="AA291" s="340"/>
      <c r="AB291" s="340"/>
      <c r="AC291" s="341"/>
      <c r="AD291" s="342" t="s">
        <v>116</v>
      </c>
      <c r="AE291" s="342" t="s">
        <v>322</v>
      </c>
      <c r="AF291" s="284" t="s">
        <v>4215</v>
      </c>
      <c r="AG291" s="284">
        <v>44006</v>
      </c>
      <c r="AH291" s="284">
        <v>44026</v>
      </c>
      <c r="AI291" s="284"/>
      <c r="AJ291" s="334">
        <f t="shared" ca="1" si="44"/>
        <v>44963</v>
      </c>
      <c r="AK291" s="342">
        <f t="shared" ca="1" si="45"/>
        <v>937</v>
      </c>
      <c r="AL291" s="342" t="str">
        <f t="shared" si="46"/>
        <v/>
      </c>
      <c r="AM291" s="284"/>
      <c r="AN291" s="284" t="s">
        <v>4216</v>
      </c>
      <c r="AO291" s="343">
        <v>12.624000000000001</v>
      </c>
      <c r="AP291" s="343">
        <v>12.654000000000002</v>
      </c>
      <c r="AQ291" s="343">
        <v>12.679</v>
      </c>
      <c r="AR291" s="343">
        <v>12.684000000000001</v>
      </c>
      <c r="AS291" s="331" t="str">
        <f t="shared" si="47"/>
        <v/>
      </c>
      <c r="AV291" s="331" t="s">
        <v>136</v>
      </c>
      <c r="BH291" s="331" t="s">
        <v>3514</v>
      </c>
      <c r="BI291" s="347" t="s">
        <v>3515</v>
      </c>
    </row>
    <row r="292" spans="1:61" s="331" customFormat="1" ht="18" customHeight="1" x14ac:dyDescent="0.35">
      <c r="A292" s="334"/>
      <c r="B292" s="335" t="e">
        <f ca="1">IF(A292="",(IF(ISNUMBER(SUBSTITUTE(LEFT(RIGHT(E292,LEN(E292)-MIN(SEARCH({1,2,3,4,5,6,7,8,9,0},E292&amp;"1234567890"))+1),10),".","/"))=TRUE,AJ292-(SUBSTITUTE(LEFT(RIGHT(E292,LEN(E292)-MIN(SEARCH({1,2,3,4,5,6,7,8,9,0},E292&amp;"1234567890"))+1),10),".","/")),IF((SUBSTITUTE(LEFT(RIGHT(E292,LEN(E292)-MIN(SEARCH({1,2,3,4,5,6,7,8,9,0},E292&amp;"1234567890"))+1),10),".","/"))="","",(AJ292)-(MID(RIGHT((SUBSTITUTE(LEFT(RIGHT(E292,LEN(E292)-MIN(SEARCH({1,2,3,4,5,6,7,8,9,0},E292&amp;"1234567890"))+1),10),".","/")),10),4,2)&amp;"/"&amp;LEFT((RIGHT((SUBSTITUTE(LEFT(RIGHT(E292,LEN(E292)-MIN(SEARCH({1,2,3,4,5,6,7,8,9,0},E292&amp;"1234567890"))+1),10),".","/")),10)),2)&amp;"/"&amp;RIGHT((SUBSTITUTE(LEFT(RIGHT(E292,LEN(E292)-MIN(SEARCH({1,2,3,4,5,6,7,8,9,0},E292&amp;"1234567890"))+1),10),".","/")),4))))),(AJ292-A292))</f>
        <v>#VALUE!</v>
      </c>
      <c r="C292" s="334"/>
      <c r="D292" s="294" t="str">
        <f t="shared" si="43"/>
        <v>FGC-430/2B-001X50</v>
      </c>
      <c r="E292" s="294" t="s">
        <v>4223</v>
      </c>
      <c r="F292" s="294" t="s">
        <v>4217</v>
      </c>
      <c r="G292" s="294" t="s">
        <v>4225</v>
      </c>
      <c r="H292" s="294">
        <v>430</v>
      </c>
      <c r="I292" s="337" t="s">
        <v>116</v>
      </c>
      <c r="J292" s="149">
        <v>1.19</v>
      </c>
      <c r="K292" s="149">
        <v>1.19</v>
      </c>
      <c r="L292" s="149"/>
      <c r="M292" s="149"/>
      <c r="N292" s="335">
        <v>770</v>
      </c>
      <c r="O292" s="296">
        <f>2.57-2.4</f>
        <v>0.16999999999999993</v>
      </c>
      <c r="P292" s="345"/>
      <c r="Q292" s="138">
        <v>50</v>
      </c>
      <c r="R292" s="366"/>
      <c r="S292" s="339"/>
      <c r="T292" s="299"/>
      <c r="U292" s="282" t="s">
        <v>117</v>
      </c>
      <c r="V292" s="282" t="s">
        <v>4214</v>
      </c>
      <c r="W292" s="282"/>
      <c r="X292" s="340"/>
      <c r="Y292" s="340"/>
      <c r="Z292" s="340"/>
      <c r="AA292" s="340"/>
      <c r="AB292" s="340"/>
      <c r="AC292" s="341"/>
      <c r="AD292" s="342" t="s">
        <v>116</v>
      </c>
      <c r="AE292" s="342" t="s">
        <v>322</v>
      </c>
      <c r="AF292" s="284" t="s">
        <v>4215</v>
      </c>
      <c r="AG292" s="284">
        <v>44006</v>
      </c>
      <c r="AH292" s="284">
        <v>44026</v>
      </c>
      <c r="AI292" s="284"/>
      <c r="AJ292" s="334">
        <f t="shared" ca="1" si="44"/>
        <v>44963</v>
      </c>
      <c r="AK292" s="342">
        <f t="shared" ca="1" si="45"/>
        <v>937</v>
      </c>
      <c r="AL292" s="342" t="str">
        <f t="shared" si="46"/>
        <v/>
      </c>
      <c r="AM292" s="284"/>
      <c r="AN292" s="284" t="s">
        <v>4216</v>
      </c>
      <c r="AO292" s="343">
        <v>12.624000000000001</v>
      </c>
      <c r="AP292" s="343">
        <v>12.654000000000002</v>
      </c>
      <c r="AQ292" s="343">
        <v>12.679</v>
      </c>
      <c r="AR292" s="343">
        <v>12.684000000000001</v>
      </c>
      <c r="AS292" s="331" t="str">
        <f t="shared" si="47"/>
        <v/>
      </c>
      <c r="AV292" s="331" t="s">
        <v>136</v>
      </c>
      <c r="BH292" s="331" t="s">
        <v>3514</v>
      </c>
      <c r="BI292" s="347" t="s">
        <v>3515</v>
      </c>
    </row>
    <row r="293" spans="1:61" s="331" customFormat="1" ht="18" customHeight="1" x14ac:dyDescent="0.35">
      <c r="A293" s="334"/>
      <c r="B293" s="335" t="e">
        <f ca="1">IF(A293="",(IF(ISNUMBER(SUBSTITUTE(LEFT(RIGHT(E293,LEN(E293)-MIN(SEARCH({1,2,3,4,5,6,7,8,9,0},E293&amp;"1234567890"))+1),10),".","/"))=TRUE,AJ293-(SUBSTITUTE(LEFT(RIGHT(E293,LEN(E293)-MIN(SEARCH({1,2,3,4,5,6,7,8,9,0},E293&amp;"1234567890"))+1),10),".","/")),IF((SUBSTITUTE(LEFT(RIGHT(E293,LEN(E293)-MIN(SEARCH({1,2,3,4,5,6,7,8,9,0},E293&amp;"1234567890"))+1),10),".","/"))="","",(AJ293)-(MID(RIGHT((SUBSTITUTE(LEFT(RIGHT(E293,LEN(E293)-MIN(SEARCH({1,2,3,4,5,6,7,8,9,0},E293&amp;"1234567890"))+1),10),".","/")),10),4,2)&amp;"/"&amp;LEFT((RIGHT((SUBSTITUTE(LEFT(RIGHT(E293,LEN(E293)-MIN(SEARCH({1,2,3,4,5,6,7,8,9,0},E293&amp;"1234567890"))+1),10),".","/")),10)),2)&amp;"/"&amp;RIGHT((SUBSTITUTE(LEFT(RIGHT(E293,LEN(E293)-MIN(SEARCH({1,2,3,4,5,6,7,8,9,0},E293&amp;"1234567890"))+1),10),".","/")),4))))),(AJ293-A293))</f>
        <v>#VALUE!</v>
      </c>
      <c r="C293" s="334"/>
      <c r="D293" s="294" t="str">
        <f t="shared" si="43"/>
        <v>FGC-430/2B-001X50</v>
      </c>
      <c r="E293" s="294" t="s">
        <v>4223</v>
      </c>
      <c r="F293" s="294" t="s">
        <v>4217</v>
      </c>
      <c r="G293" s="294" t="s">
        <v>4226</v>
      </c>
      <c r="H293" s="294">
        <v>430</v>
      </c>
      <c r="I293" s="337" t="s">
        <v>116</v>
      </c>
      <c r="J293" s="149">
        <v>1.19</v>
      </c>
      <c r="K293" s="149">
        <v>1.19</v>
      </c>
      <c r="L293" s="149"/>
      <c r="M293" s="149"/>
      <c r="N293" s="335">
        <v>770</v>
      </c>
      <c r="O293" s="296">
        <f>2.235-2.08</f>
        <v>0.1549999999999998</v>
      </c>
      <c r="P293" s="345"/>
      <c r="Q293" s="138">
        <v>50</v>
      </c>
      <c r="R293" s="366"/>
      <c r="S293" s="339"/>
      <c r="T293" s="299"/>
      <c r="U293" s="282" t="s">
        <v>117</v>
      </c>
      <c r="V293" s="282" t="s">
        <v>4214</v>
      </c>
      <c r="W293" s="282"/>
      <c r="X293" s="340"/>
      <c r="Y293" s="340"/>
      <c r="Z293" s="340"/>
      <c r="AA293" s="340"/>
      <c r="AB293" s="340"/>
      <c r="AC293" s="341"/>
      <c r="AD293" s="342" t="s">
        <v>116</v>
      </c>
      <c r="AE293" s="342" t="s">
        <v>322</v>
      </c>
      <c r="AF293" s="284" t="s">
        <v>4215</v>
      </c>
      <c r="AG293" s="284">
        <v>44006</v>
      </c>
      <c r="AH293" s="284">
        <v>44026</v>
      </c>
      <c r="AI293" s="284"/>
      <c r="AJ293" s="334">
        <f t="shared" ca="1" si="44"/>
        <v>44963</v>
      </c>
      <c r="AK293" s="342">
        <f t="shared" ca="1" si="45"/>
        <v>937</v>
      </c>
      <c r="AL293" s="342" t="str">
        <f t="shared" si="46"/>
        <v/>
      </c>
      <c r="AM293" s="284"/>
      <c r="AN293" s="284" t="s">
        <v>4216</v>
      </c>
      <c r="AO293" s="343">
        <v>12.624000000000001</v>
      </c>
      <c r="AP293" s="343">
        <v>12.654000000000002</v>
      </c>
      <c r="AQ293" s="343">
        <v>12.679</v>
      </c>
      <c r="AR293" s="343">
        <v>12.684000000000001</v>
      </c>
      <c r="AS293" s="331" t="str">
        <f t="shared" si="47"/>
        <v/>
      </c>
      <c r="AV293" s="331" t="s">
        <v>136</v>
      </c>
      <c r="BH293" s="331" t="s">
        <v>3514</v>
      </c>
      <c r="BI293" s="347" t="s">
        <v>3515</v>
      </c>
    </row>
    <row r="294" spans="1:61" s="331" customFormat="1" ht="18" customHeight="1" x14ac:dyDescent="0.35">
      <c r="A294" s="334"/>
      <c r="B294" s="335">
        <f ca="1">IF(A294="",(IF(ISNUMBER(SUBSTITUTE(LEFT(RIGHT(E294,LEN(E294)-MIN(SEARCH({1,2,3,4,5,6,7,8,9,0},E294&amp;"1234567890"))+1),10),".","/"))=TRUE,AJ294-(SUBSTITUTE(LEFT(RIGHT(E294,LEN(E294)-MIN(SEARCH({1,2,3,4,5,6,7,8,9,0},E294&amp;"1234567890"))+1),10),".","/")),IF((SUBSTITUTE(LEFT(RIGHT(E294,LEN(E294)-MIN(SEARCH({1,2,3,4,5,6,7,8,9,0},E294&amp;"1234567890"))+1),10),".","/"))="","",(AJ294)-(MID(RIGHT((SUBSTITUTE(LEFT(RIGHT(E294,LEN(E294)-MIN(SEARCH({1,2,3,4,5,6,7,8,9,0},E294&amp;"1234567890"))+1),10),".","/")),10),4,2)&amp;"/"&amp;LEFT((RIGHT((SUBSTITUTE(LEFT(RIGHT(E294,LEN(E294)-MIN(SEARCH({1,2,3,4,5,6,7,8,9,0},E294&amp;"1234567890"))+1),10),".","/")),10)),2)&amp;"/"&amp;RIGHT((SUBSTITUTE(LEFT(RIGHT(E294,LEN(E294)-MIN(SEARCH({1,2,3,4,5,6,7,8,9,0},E294&amp;"1234567890"))+1),10),".","/")),4))))),(AJ294-A294))</f>
        <v>1033</v>
      </c>
      <c r="C294" s="334"/>
      <c r="D294" s="294" t="str">
        <f t="shared" si="43"/>
        <v>FGC-304/FH-001X50</v>
      </c>
      <c r="E294" s="294" t="s">
        <v>4227</v>
      </c>
      <c r="F294" s="294" t="s">
        <v>4228</v>
      </c>
      <c r="G294" s="294" t="s">
        <v>4229</v>
      </c>
      <c r="H294" s="294">
        <v>304</v>
      </c>
      <c r="I294" s="337" t="s">
        <v>65</v>
      </c>
      <c r="J294" s="149">
        <v>0.95</v>
      </c>
      <c r="K294" s="149">
        <v>0.5</v>
      </c>
      <c r="L294" s="149"/>
      <c r="M294" s="149"/>
      <c r="N294" s="335">
        <v>770</v>
      </c>
      <c r="O294" s="296">
        <v>0.26500000000000001</v>
      </c>
      <c r="P294" s="345"/>
      <c r="Q294" s="138">
        <v>50</v>
      </c>
      <c r="R294" s="366"/>
      <c r="S294" s="339"/>
      <c r="T294" s="299"/>
      <c r="U294" s="282" t="s">
        <v>117</v>
      </c>
      <c r="V294" s="282" t="s">
        <v>4230</v>
      </c>
      <c r="W294" s="282" t="s">
        <v>116</v>
      </c>
      <c r="X294" s="340">
        <v>43945</v>
      </c>
      <c r="Y294" s="340" t="s">
        <v>4231</v>
      </c>
      <c r="Z294" s="340">
        <v>43948</v>
      </c>
      <c r="AA294" s="340" t="s">
        <v>4232</v>
      </c>
      <c r="AB294" s="340"/>
      <c r="AC294" s="341"/>
      <c r="AD294" s="342" t="s">
        <v>64</v>
      </c>
      <c r="AE294" s="342" t="s">
        <v>203</v>
      </c>
      <c r="AF294" s="284" t="s">
        <v>238</v>
      </c>
      <c r="AG294" s="284"/>
      <c r="AH294" s="284">
        <v>43881</v>
      </c>
      <c r="AI294" s="284"/>
      <c r="AJ294" s="334">
        <f t="shared" ca="1" si="44"/>
        <v>44963</v>
      </c>
      <c r="AK294" s="342">
        <f t="shared" ca="1" si="45"/>
        <v>1082</v>
      </c>
      <c r="AL294" s="342">
        <f t="shared" ca="1" si="46"/>
        <v>1015</v>
      </c>
      <c r="AM294" s="284"/>
      <c r="AN294" s="284" t="s">
        <v>4233</v>
      </c>
      <c r="AO294" s="343">
        <v>7.2450000000000001</v>
      </c>
      <c r="AP294" s="343">
        <v>7.2549999999999999</v>
      </c>
      <c r="AQ294" s="343">
        <v>7.2700000000000005</v>
      </c>
      <c r="AR294" s="343">
        <v>7.2750000000000004</v>
      </c>
      <c r="AS294" s="331">
        <f t="shared" ca="1" si="47"/>
        <v>1097</v>
      </c>
      <c r="AV294" s="331" t="s">
        <v>136</v>
      </c>
      <c r="BI294" s="347"/>
    </row>
    <row r="295" spans="1:61" s="331" customFormat="1" ht="18" customHeight="1" x14ac:dyDescent="0.35">
      <c r="A295" s="334"/>
      <c r="B295" s="335" t="e">
        <f ca="1">IF(A295="",(IF(ISNUMBER(SUBSTITUTE(LEFT(RIGHT(E295,LEN(E295)-MIN(SEARCH({1,2,3,4,5,6,7,8,9,0},E295&amp;"1234567890"))+1),10),".","/"))=TRUE,AJ295-(SUBSTITUTE(LEFT(RIGHT(E295,LEN(E295)-MIN(SEARCH({1,2,3,4,5,6,7,8,9,0},E295&amp;"1234567890"))+1),10),".","/")),IF((SUBSTITUTE(LEFT(RIGHT(E295,LEN(E295)-MIN(SEARCH({1,2,3,4,5,6,7,8,9,0},E295&amp;"1234567890"))+1),10),".","/"))="","",(AJ295)-(MID(RIGHT((SUBSTITUTE(LEFT(RIGHT(E295,LEN(E295)-MIN(SEARCH({1,2,3,4,5,6,7,8,9,0},E295&amp;"1234567890"))+1),10),".","/")),10),4,2)&amp;"/"&amp;LEFT((RIGHT((SUBSTITUTE(LEFT(RIGHT(E295,LEN(E295)-MIN(SEARCH({1,2,3,4,5,6,7,8,9,0},E295&amp;"1234567890"))+1),10),".","/")),10)),2)&amp;"/"&amp;RIGHT((SUBSTITUTE(LEFT(RIGHT(E295,LEN(E295)-MIN(SEARCH({1,2,3,4,5,6,7,8,9,0},E295&amp;"1234567890"))+1),10),".","/")),4))))),(AJ295-A295))</f>
        <v>#VALUE!</v>
      </c>
      <c r="C295" s="334"/>
      <c r="D295" s="294" t="str">
        <f t="shared" si="43"/>
        <v>FGC-304L/FH-000X50</v>
      </c>
      <c r="E295" s="294" t="s">
        <v>4234</v>
      </c>
      <c r="F295" s="294" t="s">
        <v>4235</v>
      </c>
      <c r="G295" s="294" t="s">
        <v>4236</v>
      </c>
      <c r="H295" s="294" t="s">
        <v>230</v>
      </c>
      <c r="I295" s="337" t="s">
        <v>65</v>
      </c>
      <c r="J295" s="149">
        <v>0.78</v>
      </c>
      <c r="K295" s="149">
        <v>0.4</v>
      </c>
      <c r="L295" s="149"/>
      <c r="M295" s="149"/>
      <c r="N295" s="335">
        <v>770</v>
      </c>
      <c r="O295" s="296">
        <f>1.21-1.125</f>
        <v>8.4999999999999964E-2</v>
      </c>
      <c r="P295" s="345"/>
      <c r="Q295" s="138">
        <v>50</v>
      </c>
      <c r="R295" s="366"/>
      <c r="S295" s="339"/>
      <c r="T295" s="299"/>
      <c r="U295" s="282" t="s">
        <v>117</v>
      </c>
      <c r="V295" s="282" t="s">
        <v>4230</v>
      </c>
      <c r="W295" s="282" t="s">
        <v>116</v>
      </c>
      <c r="X295" s="340" t="s">
        <v>4237</v>
      </c>
      <c r="Y295" s="340" t="s">
        <v>4238</v>
      </c>
      <c r="Z295" s="340" t="s">
        <v>4239</v>
      </c>
      <c r="AA295" s="340">
        <v>44078</v>
      </c>
      <c r="AB295" s="340"/>
      <c r="AC295" s="341"/>
      <c r="AD295" s="342" t="s">
        <v>64</v>
      </c>
      <c r="AE295" s="342" t="s">
        <v>203</v>
      </c>
      <c r="AF295" s="284" t="s">
        <v>3512</v>
      </c>
      <c r="AG295" s="284"/>
      <c r="AH295" s="284">
        <v>44069</v>
      </c>
      <c r="AI295" s="284"/>
      <c r="AJ295" s="334">
        <f t="shared" ca="1" si="44"/>
        <v>44963</v>
      </c>
      <c r="AK295" s="342">
        <f t="shared" ca="1" si="45"/>
        <v>894</v>
      </c>
      <c r="AL295" s="342" t="e">
        <f t="shared" ca="1" si="46"/>
        <v>#VALUE!</v>
      </c>
      <c r="AM295" s="284"/>
      <c r="AN295" s="284" t="s">
        <v>4240</v>
      </c>
      <c r="AO295" s="343">
        <v>10.41</v>
      </c>
      <c r="AP295" s="343">
        <v>10.42</v>
      </c>
      <c r="AQ295" s="343">
        <v>10.444999999999999</v>
      </c>
      <c r="AR295" s="343">
        <v>10.45</v>
      </c>
      <c r="AS295" s="331">
        <f t="shared" ca="1" si="47"/>
        <v>1092</v>
      </c>
      <c r="AV295" s="331" t="s">
        <v>136</v>
      </c>
      <c r="BH295" s="331" t="s">
        <v>3514</v>
      </c>
      <c r="BI295" s="347" t="s">
        <v>3572</v>
      </c>
    </row>
    <row r="296" spans="1:61" s="331" customFormat="1" ht="18" customHeight="1" x14ac:dyDescent="0.35">
      <c r="A296" s="334"/>
      <c r="B296" s="335">
        <f ca="1">IF(A296="",(IF(ISNUMBER(SUBSTITUTE(LEFT(RIGHT(E296,LEN(E296)-MIN(SEARCH({1,2,3,4,5,6,7,8,9,0},E296&amp;"1234567890"))+1),10),".","/"))=TRUE,AJ296-(SUBSTITUTE(LEFT(RIGHT(E296,LEN(E296)-MIN(SEARCH({1,2,3,4,5,6,7,8,9,0},E296&amp;"1234567890"))+1),10),".","/")),IF((SUBSTITUTE(LEFT(RIGHT(E296,LEN(E296)-MIN(SEARCH({1,2,3,4,5,6,7,8,9,0},E296&amp;"1234567890"))+1),10),".","/"))="","",(AJ296)-(MID(RIGHT((SUBSTITUTE(LEFT(RIGHT(E296,LEN(E296)-MIN(SEARCH({1,2,3,4,5,6,7,8,9,0},E296&amp;"1234567890"))+1),10),".","/")),10),4,2)&amp;"/"&amp;LEFT((RIGHT((SUBSTITUTE(LEFT(RIGHT(E296,LEN(E296)-MIN(SEARCH({1,2,3,4,5,6,7,8,9,0},E296&amp;"1234567890"))+1),10),".","/")),10)),2)&amp;"/"&amp;RIGHT((SUBSTITUTE(LEFT(RIGHT(E296,LEN(E296)-MIN(SEARCH({1,2,3,4,5,6,7,8,9,0},E296&amp;"1234567890"))+1),10),".","/")),4))))),(AJ296-A296))</f>
        <v>1093</v>
      </c>
      <c r="C296" s="334"/>
      <c r="D296" s="294" t="str">
        <f t="shared" si="43"/>
        <v>FGC-J1/2B-001X48,3</v>
      </c>
      <c r="E296" s="294" t="s">
        <v>4241</v>
      </c>
      <c r="F296" s="294" t="s">
        <v>4242</v>
      </c>
      <c r="G296" s="336" t="s">
        <v>4243</v>
      </c>
      <c r="H296" s="294" t="s">
        <v>27</v>
      </c>
      <c r="I296" s="337" t="s">
        <v>116</v>
      </c>
      <c r="J296" s="149">
        <v>0.95</v>
      </c>
      <c r="K296" s="149">
        <v>0.95</v>
      </c>
      <c r="L296" s="149"/>
      <c r="M296" s="149"/>
      <c r="N296" s="335">
        <v>730</v>
      </c>
      <c r="O296" s="296">
        <f>3.565-3.33</f>
        <v>0.23499999999999988</v>
      </c>
      <c r="P296" s="374"/>
      <c r="Q296" s="138">
        <v>48.3</v>
      </c>
      <c r="R296" s="366"/>
      <c r="S296" s="339"/>
      <c r="T296" s="299" t="s">
        <v>4244</v>
      </c>
      <c r="U296" s="282" t="s">
        <v>865</v>
      </c>
      <c r="V296" s="282" t="s">
        <v>3511</v>
      </c>
      <c r="W296" s="282"/>
      <c r="X296" s="340"/>
      <c r="Y296" s="340"/>
      <c r="Z296" s="340"/>
      <c r="AA296" s="340"/>
      <c r="AB296" s="340"/>
      <c r="AC296" s="341"/>
      <c r="AD296" s="342" t="s">
        <v>116</v>
      </c>
      <c r="AE296" s="342" t="s">
        <v>261</v>
      </c>
      <c r="AF296" s="284" t="s">
        <v>262</v>
      </c>
      <c r="AG296" s="284">
        <v>44042</v>
      </c>
      <c r="AH296" s="284">
        <v>44068</v>
      </c>
      <c r="AI296" s="284"/>
      <c r="AJ296" s="334">
        <f t="shared" ca="1" si="44"/>
        <v>44963</v>
      </c>
      <c r="AK296" s="342">
        <f t="shared" ca="1" si="45"/>
        <v>895</v>
      </c>
      <c r="AL296" s="342" t="str">
        <f t="shared" si="46"/>
        <v/>
      </c>
      <c r="AM296" s="284" t="s">
        <v>4245</v>
      </c>
      <c r="AN296" s="284" t="s">
        <v>4246</v>
      </c>
      <c r="AO296" s="343">
        <v>11.691000000000001</v>
      </c>
      <c r="AP296" s="343">
        <v>11.721</v>
      </c>
      <c r="AQ296" s="343">
        <v>11.745999999999999</v>
      </c>
      <c r="AR296" s="343">
        <v>11.750999999999999</v>
      </c>
      <c r="AS296" s="331" t="str">
        <f t="shared" si="47"/>
        <v/>
      </c>
      <c r="AV296" s="331" t="s">
        <v>136</v>
      </c>
      <c r="BH296" s="331" t="s">
        <v>3514</v>
      </c>
      <c r="BI296" s="347" t="s">
        <v>3515</v>
      </c>
    </row>
    <row r="297" spans="1:61" s="331" customFormat="1" ht="18" customHeight="1" x14ac:dyDescent="0.35">
      <c r="A297" s="334"/>
      <c r="B297" s="335">
        <f ca="1">IF(A297="",(IF(ISNUMBER(SUBSTITUTE(LEFT(RIGHT(E297,LEN(E297)-MIN(SEARCH({1,2,3,4,5,6,7,8,9,0},E297&amp;"1234567890"))+1),10),".","/"))=TRUE,AJ297-(SUBSTITUTE(LEFT(RIGHT(E297,LEN(E297)-MIN(SEARCH({1,2,3,4,5,6,7,8,9,0},E297&amp;"1234567890"))+1),10),".","/")),IF((SUBSTITUTE(LEFT(RIGHT(E297,LEN(E297)-MIN(SEARCH({1,2,3,4,5,6,7,8,9,0},E297&amp;"1234567890"))+1),10),".","/"))="","",(AJ297)-(MID(RIGHT((SUBSTITUTE(LEFT(RIGHT(E297,LEN(E297)-MIN(SEARCH({1,2,3,4,5,6,7,8,9,0},E297&amp;"1234567890"))+1),10),".","/")),10),4,2)&amp;"/"&amp;LEFT((RIGHT((SUBSTITUTE(LEFT(RIGHT(E297,LEN(E297)-MIN(SEARCH({1,2,3,4,5,6,7,8,9,0},E297&amp;"1234567890"))+1),10),".","/")),10)),2)&amp;"/"&amp;RIGHT((SUBSTITUTE(LEFT(RIGHT(E297,LEN(E297)-MIN(SEARCH({1,2,3,4,5,6,7,8,9,0},E297&amp;"1234567890"))+1),10),".","/")),4))))),(AJ297-A297))</f>
        <v>1121</v>
      </c>
      <c r="C297" s="334"/>
      <c r="D297" s="294" t="str">
        <f t="shared" si="43"/>
        <v>FGC-J4/2B-000X79.2+49.3</v>
      </c>
      <c r="E297" s="294" t="s">
        <v>4247</v>
      </c>
      <c r="F297" s="294" t="s">
        <v>4248</v>
      </c>
      <c r="G297" s="294" t="s">
        <v>4249</v>
      </c>
      <c r="H297" s="294" t="s">
        <v>30</v>
      </c>
      <c r="I297" s="337" t="s">
        <v>116</v>
      </c>
      <c r="J297" s="149">
        <v>0.63</v>
      </c>
      <c r="K297" s="149">
        <v>0.34</v>
      </c>
      <c r="L297" s="149">
        <v>0.33</v>
      </c>
      <c r="M297" s="149">
        <v>0.34</v>
      </c>
      <c r="N297" s="335">
        <v>726</v>
      </c>
      <c r="O297" s="296">
        <f>3.89-3.19</f>
        <v>0.70000000000000018</v>
      </c>
      <c r="P297" s="345"/>
      <c r="Q297" s="138" t="s">
        <v>4250</v>
      </c>
      <c r="R297" s="366"/>
      <c r="S297" s="339"/>
      <c r="T297" s="299"/>
      <c r="U297" s="282" t="s">
        <v>568</v>
      </c>
      <c r="V297" s="282" t="s">
        <v>4251</v>
      </c>
      <c r="W297" s="282" t="s">
        <v>208</v>
      </c>
      <c r="X297" s="340">
        <v>44165</v>
      </c>
      <c r="Y297" s="340">
        <v>44165</v>
      </c>
      <c r="Z297" s="340" t="s">
        <v>4252</v>
      </c>
      <c r="AA297" s="340">
        <v>44165</v>
      </c>
      <c r="AB297" s="340"/>
      <c r="AC297" s="341" t="s">
        <v>181</v>
      </c>
      <c r="AD297" s="342" t="s">
        <v>65</v>
      </c>
      <c r="AE297" s="342" t="s">
        <v>132</v>
      </c>
      <c r="AF297" s="284" t="s">
        <v>4253</v>
      </c>
      <c r="AG297" s="284">
        <v>43385</v>
      </c>
      <c r="AH297" s="284">
        <v>43410</v>
      </c>
      <c r="AI297" s="284"/>
      <c r="AJ297" s="334">
        <f t="shared" ca="1" si="44"/>
        <v>44963</v>
      </c>
      <c r="AK297" s="342">
        <f t="shared" ca="1" si="45"/>
        <v>1553</v>
      </c>
      <c r="AL297" s="342">
        <f t="shared" ca="1" si="46"/>
        <v>1121</v>
      </c>
      <c r="AM297" s="284" t="s">
        <v>4254</v>
      </c>
      <c r="AN297" s="284" t="s">
        <v>4255</v>
      </c>
      <c r="AO297" s="343">
        <v>11.648999999999999</v>
      </c>
      <c r="AP297" s="343">
        <v>11.664</v>
      </c>
      <c r="AQ297" s="343">
        <v>11.659999999999998</v>
      </c>
      <c r="AR297" s="343">
        <v>11.664999999999999</v>
      </c>
      <c r="AS297" s="331">
        <f t="shared" ca="1" si="47"/>
        <v>798</v>
      </c>
      <c r="AT297" s="331">
        <v>144</v>
      </c>
      <c r="AV297" s="331" t="s">
        <v>136</v>
      </c>
      <c r="BC297" s="331" t="s">
        <v>186</v>
      </c>
      <c r="BI297" s="347" t="s">
        <v>4256</v>
      </c>
    </row>
    <row r="298" spans="1:61" s="331" customFormat="1" ht="18" customHeight="1" x14ac:dyDescent="0.35">
      <c r="A298" s="334"/>
      <c r="B298" s="335">
        <f ca="1">IF(A298="",(IF(ISNUMBER(SUBSTITUTE(LEFT(RIGHT(E298,LEN(E298)-MIN(SEARCH({1,2,3,4,5,6,7,8,9,0},E298&amp;"1234567890"))+1),10),".","/"))=TRUE,AJ298-(SUBSTITUTE(LEFT(RIGHT(E298,LEN(E298)-MIN(SEARCH({1,2,3,4,5,6,7,8,9,0},E298&amp;"1234567890"))+1),10),".","/")),IF((SUBSTITUTE(LEFT(RIGHT(E298,LEN(E298)-MIN(SEARCH({1,2,3,4,5,6,7,8,9,0},E298&amp;"1234567890"))+1),10),".","/"))="","",(AJ298)-(MID(RIGHT((SUBSTITUTE(LEFT(RIGHT(E298,LEN(E298)-MIN(SEARCH({1,2,3,4,5,6,7,8,9,0},E298&amp;"1234567890"))+1),10),".","/")),10),4,2)&amp;"/"&amp;LEFT((RIGHT((SUBSTITUTE(LEFT(RIGHT(E298,LEN(E298)-MIN(SEARCH({1,2,3,4,5,6,7,8,9,0},E298&amp;"1234567890"))+1),10),".","/")),10)),2)&amp;"/"&amp;RIGHT((SUBSTITUTE(LEFT(RIGHT(E298,LEN(E298)-MIN(SEARCH({1,2,3,4,5,6,7,8,9,0},E298&amp;"1234567890"))+1),10),".","/")),4))))),(AJ298-A298))</f>
        <v>1121</v>
      </c>
      <c r="C298" s="334"/>
      <c r="D298" s="294" t="str">
        <f t="shared" si="43"/>
        <v>FGC-J4/2B-000X79.2+49.3</v>
      </c>
      <c r="E298" s="294" t="s">
        <v>4247</v>
      </c>
      <c r="F298" s="294" t="s">
        <v>4248</v>
      </c>
      <c r="G298" s="294" t="s">
        <v>4257</v>
      </c>
      <c r="H298" s="294" t="s">
        <v>30</v>
      </c>
      <c r="I298" s="337" t="s">
        <v>116</v>
      </c>
      <c r="J298" s="149">
        <v>0.63</v>
      </c>
      <c r="K298" s="149">
        <v>0.34</v>
      </c>
      <c r="L298" s="149">
        <v>0.33</v>
      </c>
      <c r="M298" s="149">
        <v>0.34</v>
      </c>
      <c r="N298" s="335">
        <v>726</v>
      </c>
      <c r="O298" s="296">
        <v>0.7</v>
      </c>
      <c r="P298" s="345"/>
      <c r="Q298" s="138" t="s">
        <v>4250</v>
      </c>
      <c r="R298" s="366"/>
      <c r="S298" s="339"/>
      <c r="T298" s="299"/>
      <c r="U298" s="282" t="s">
        <v>568</v>
      </c>
      <c r="V298" s="282" t="s">
        <v>4251</v>
      </c>
      <c r="W298" s="282" t="s">
        <v>208</v>
      </c>
      <c r="X298" s="340">
        <v>44165</v>
      </c>
      <c r="Y298" s="340">
        <v>44165</v>
      </c>
      <c r="Z298" s="340" t="s">
        <v>4252</v>
      </c>
      <c r="AA298" s="340">
        <v>44165</v>
      </c>
      <c r="AB298" s="340"/>
      <c r="AC298" s="341" t="s">
        <v>181</v>
      </c>
      <c r="AD298" s="342" t="s">
        <v>65</v>
      </c>
      <c r="AE298" s="342" t="s">
        <v>132</v>
      </c>
      <c r="AF298" s="284" t="s">
        <v>4253</v>
      </c>
      <c r="AG298" s="284">
        <v>43385</v>
      </c>
      <c r="AH298" s="284">
        <v>43410</v>
      </c>
      <c r="AI298" s="284"/>
      <c r="AJ298" s="334">
        <f t="shared" ca="1" si="44"/>
        <v>44963</v>
      </c>
      <c r="AK298" s="342">
        <f t="shared" ca="1" si="45"/>
        <v>1553</v>
      </c>
      <c r="AL298" s="342">
        <f t="shared" ca="1" si="46"/>
        <v>1121</v>
      </c>
      <c r="AM298" s="284" t="s">
        <v>4254</v>
      </c>
      <c r="AN298" s="284" t="s">
        <v>4255</v>
      </c>
      <c r="AO298" s="343">
        <v>11.648999999999999</v>
      </c>
      <c r="AP298" s="343">
        <v>11.664</v>
      </c>
      <c r="AQ298" s="343">
        <v>11.659999999999998</v>
      </c>
      <c r="AR298" s="343">
        <v>11.664999999999999</v>
      </c>
      <c r="AS298" s="331">
        <f t="shared" ca="1" si="47"/>
        <v>798</v>
      </c>
      <c r="AT298" s="331">
        <v>144</v>
      </c>
      <c r="AV298" s="331" t="s">
        <v>136</v>
      </c>
      <c r="BC298" s="331" t="s">
        <v>186</v>
      </c>
      <c r="BI298" s="347" t="s">
        <v>4256</v>
      </c>
    </row>
    <row r="299" spans="1:61" s="331" customFormat="1" ht="18" customHeight="1" x14ac:dyDescent="0.35">
      <c r="A299" s="334">
        <v>44172</v>
      </c>
      <c r="B299" s="335">
        <f ca="1">IF(A299="",(IF(ISNUMBER(SUBSTITUTE(LEFT(RIGHT(E299,LEN(E299)-MIN(SEARCH({1,2,3,4,5,6,7,8,9,0},E299&amp;"1234567890"))+1),10),".","/"))=TRUE,AJ299-(SUBSTITUTE(LEFT(RIGHT(E299,LEN(E299)-MIN(SEARCH({1,2,3,4,5,6,7,8,9,0},E299&amp;"1234567890"))+1),10),".","/")),IF((SUBSTITUTE(LEFT(RIGHT(E299,LEN(E299)-MIN(SEARCH({1,2,3,4,5,6,7,8,9,0},E299&amp;"1234567890"))+1),10),".","/"))="","",(AJ299)-(MID(RIGHT((SUBSTITUTE(LEFT(RIGHT(E299,LEN(E299)-MIN(SEARCH({1,2,3,4,5,6,7,8,9,0},E299&amp;"1234567890"))+1),10),".","/")),10),4,2)&amp;"/"&amp;LEFT((RIGHT((SUBSTITUTE(LEFT(RIGHT(E299,LEN(E299)-MIN(SEARCH({1,2,3,4,5,6,7,8,9,0},E299&amp;"1234567890"))+1),10),".","/")),10)),2)&amp;"/"&amp;RIGHT((SUBSTITUTE(LEFT(RIGHT(E299,LEN(E299)-MIN(SEARCH({1,2,3,4,5,6,7,8,9,0},E299&amp;"1234567890"))+1),10),".","/")),4))))),(AJ299-A299))</f>
        <v>791</v>
      </c>
      <c r="C299" s="334"/>
      <c r="D299" s="294" t="str">
        <f t="shared" si="43"/>
        <v>FGC-J4/2B-000X130</v>
      </c>
      <c r="E299" s="294" t="s">
        <v>4247</v>
      </c>
      <c r="F299" s="294" t="s">
        <v>4248</v>
      </c>
      <c r="G299" s="294" t="s">
        <v>4258</v>
      </c>
      <c r="H299" s="294" t="s">
        <v>30</v>
      </c>
      <c r="I299" s="337" t="s">
        <v>116</v>
      </c>
      <c r="J299" s="149">
        <v>0.63</v>
      </c>
      <c r="K299" s="149">
        <v>0.34</v>
      </c>
      <c r="L299" s="149">
        <v>0.33</v>
      </c>
      <c r="M299" s="149">
        <v>0.34</v>
      </c>
      <c r="N299" s="335">
        <v>726</v>
      </c>
      <c r="O299" s="296">
        <f>2.96-2.42</f>
        <v>0.54</v>
      </c>
      <c r="P299" s="345"/>
      <c r="Q299" s="138">
        <v>130</v>
      </c>
      <c r="R299" s="366"/>
      <c r="S299" s="339"/>
      <c r="T299" s="299"/>
      <c r="U299" s="282" t="s">
        <v>568</v>
      </c>
      <c r="V299" s="282" t="s">
        <v>4251</v>
      </c>
      <c r="W299" s="282" t="s">
        <v>208</v>
      </c>
      <c r="X299" s="340">
        <v>44165</v>
      </c>
      <c r="Y299" s="340">
        <v>44165</v>
      </c>
      <c r="Z299" s="340" t="s">
        <v>4252</v>
      </c>
      <c r="AA299" s="340">
        <v>44165</v>
      </c>
      <c r="AB299" s="340"/>
      <c r="AC299" s="341" t="s">
        <v>181</v>
      </c>
      <c r="AD299" s="342" t="s">
        <v>65</v>
      </c>
      <c r="AE299" s="342" t="s">
        <v>132</v>
      </c>
      <c r="AF299" s="284" t="s">
        <v>4253</v>
      </c>
      <c r="AG299" s="284">
        <v>43385</v>
      </c>
      <c r="AH299" s="284">
        <v>43410</v>
      </c>
      <c r="AI299" s="284"/>
      <c r="AJ299" s="334">
        <f t="shared" ca="1" si="44"/>
        <v>44963</v>
      </c>
      <c r="AK299" s="342">
        <f t="shared" ca="1" si="45"/>
        <v>1553</v>
      </c>
      <c r="AL299" s="342">
        <f t="shared" ca="1" si="46"/>
        <v>1121</v>
      </c>
      <c r="AM299" s="284" t="s">
        <v>4254</v>
      </c>
      <c r="AN299" s="284" t="s">
        <v>4255</v>
      </c>
      <c r="AO299" s="343">
        <v>11.648999999999999</v>
      </c>
      <c r="AP299" s="343">
        <v>11.664</v>
      </c>
      <c r="AQ299" s="343">
        <v>11.659999999999998</v>
      </c>
      <c r="AR299" s="343">
        <v>11.664999999999999</v>
      </c>
      <c r="AS299" s="331">
        <f t="shared" ca="1" si="47"/>
        <v>798</v>
      </c>
      <c r="AT299" s="331">
        <v>144</v>
      </c>
      <c r="AV299" s="331" t="s">
        <v>136</v>
      </c>
      <c r="BC299" s="331" t="s">
        <v>186</v>
      </c>
      <c r="BI299" s="347" t="s">
        <v>3572</v>
      </c>
    </row>
    <row r="300" spans="1:61" s="331" customFormat="1" ht="18" customHeight="1" x14ac:dyDescent="0.35">
      <c r="A300" s="334">
        <v>44173</v>
      </c>
      <c r="B300" s="335">
        <f ca="1">IF(A300="",(IF(ISNUMBER(SUBSTITUTE(LEFT(RIGHT(E300,LEN(E300)-MIN(SEARCH({1,2,3,4,5,6,7,8,9,0},E300&amp;"1234567890"))+1),10),".","/"))=TRUE,AJ300-(SUBSTITUTE(LEFT(RIGHT(E300,LEN(E300)-MIN(SEARCH({1,2,3,4,5,6,7,8,9,0},E300&amp;"1234567890"))+1),10),".","/")),IF((SUBSTITUTE(LEFT(RIGHT(E300,LEN(E300)-MIN(SEARCH({1,2,3,4,5,6,7,8,9,0},E300&amp;"1234567890"))+1),10),".","/"))="","",(AJ300)-(MID(RIGHT((SUBSTITUTE(LEFT(RIGHT(E300,LEN(E300)-MIN(SEARCH({1,2,3,4,5,6,7,8,9,0},E300&amp;"1234567890"))+1),10),".","/")),10),4,2)&amp;"/"&amp;LEFT((RIGHT((SUBSTITUTE(LEFT(RIGHT(E300,LEN(E300)-MIN(SEARCH({1,2,3,4,5,6,7,8,9,0},E300&amp;"1234567890"))+1),10),".","/")),10)),2)&amp;"/"&amp;RIGHT((SUBSTITUTE(LEFT(RIGHT(E300,LEN(E300)-MIN(SEARCH({1,2,3,4,5,6,7,8,9,0},E300&amp;"1234567890"))+1),10),".","/")),4))))),(AJ300-A300))</f>
        <v>790</v>
      </c>
      <c r="C300" s="334"/>
      <c r="D300" s="294" t="str">
        <f t="shared" si="43"/>
        <v>FGC-304/2B-002X50</v>
      </c>
      <c r="E300" s="294" t="s">
        <v>4259</v>
      </c>
      <c r="F300" s="294" t="s">
        <v>4260</v>
      </c>
      <c r="G300" s="294" t="s">
        <v>4261</v>
      </c>
      <c r="H300" s="294">
        <v>304</v>
      </c>
      <c r="I300" s="337" t="s">
        <v>116</v>
      </c>
      <c r="J300" s="149">
        <v>3.8</v>
      </c>
      <c r="K300" s="149">
        <v>1.76</v>
      </c>
      <c r="L300" s="149">
        <v>1.75</v>
      </c>
      <c r="M300" s="149">
        <v>1.76</v>
      </c>
      <c r="N300" s="335">
        <v>770</v>
      </c>
      <c r="O300" s="296">
        <f>5.245-4.885</f>
        <v>0.36000000000000032</v>
      </c>
      <c r="P300" s="345"/>
      <c r="Q300" s="138">
        <v>50</v>
      </c>
      <c r="R300" s="366"/>
      <c r="S300" s="339"/>
      <c r="T300" s="299"/>
      <c r="U300" s="282" t="s">
        <v>117</v>
      </c>
      <c r="V300" s="282" t="s">
        <v>4262</v>
      </c>
      <c r="W300" s="282" t="s">
        <v>116</v>
      </c>
      <c r="X300" s="340">
        <v>44165</v>
      </c>
      <c r="Y300" s="340">
        <v>44165</v>
      </c>
      <c r="Z300" s="340">
        <v>44166</v>
      </c>
      <c r="AA300" s="340"/>
      <c r="AB300" s="340"/>
      <c r="AC300" s="341"/>
      <c r="AD300" s="342" t="s">
        <v>64</v>
      </c>
      <c r="AE300" s="342" t="s">
        <v>154</v>
      </c>
      <c r="AF300" s="284" t="s">
        <v>271</v>
      </c>
      <c r="AG300" s="284"/>
      <c r="AH300" s="284">
        <v>44156</v>
      </c>
      <c r="AI300" s="284"/>
      <c r="AJ300" s="334">
        <f t="shared" ca="1" si="44"/>
        <v>44963</v>
      </c>
      <c r="AK300" s="342">
        <f t="shared" ca="1" si="45"/>
        <v>807</v>
      </c>
      <c r="AL300" s="342">
        <f t="shared" ca="1" si="46"/>
        <v>797</v>
      </c>
      <c r="AM300" s="284"/>
      <c r="AN300" s="284" t="s">
        <v>4263</v>
      </c>
      <c r="AO300" s="343">
        <v>10.59</v>
      </c>
      <c r="AP300" s="343">
        <v>10.6</v>
      </c>
      <c r="AQ300" s="343">
        <v>10.624999999999998</v>
      </c>
      <c r="AR300" s="343">
        <v>10.629999999999999</v>
      </c>
      <c r="AS300" s="331">
        <f t="shared" ca="1" si="47"/>
        <v>798</v>
      </c>
      <c r="AV300" s="331" t="s">
        <v>136</v>
      </c>
      <c r="BI300" s="347" t="s">
        <v>3572</v>
      </c>
    </row>
    <row r="301" spans="1:61" s="331" customFormat="1" ht="18" customHeight="1" x14ac:dyDescent="0.35">
      <c r="A301" s="334">
        <v>44173</v>
      </c>
      <c r="B301" s="335">
        <f ca="1">IF(A301="",(IF(ISNUMBER(SUBSTITUTE(LEFT(RIGHT(E301,LEN(E301)-MIN(SEARCH({1,2,3,4,5,6,7,8,9,0},E301&amp;"1234567890"))+1),10),".","/"))=TRUE,AJ301-(SUBSTITUTE(LEFT(RIGHT(E301,LEN(E301)-MIN(SEARCH({1,2,3,4,5,6,7,8,9,0},E301&amp;"1234567890"))+1),10),".","/")),IF((SUBSTITUTE(LEFT(RIGHT(E301,LEN(E301)-MIN(SEARCH({1,2,3,4,5,6,7,8,9,0},E301&amp;"1234567890"))+1),10),".","/"))="","",(AJ301)-(MID(RIGHT((SUBSTITUTE(LEFT(RIGHT(E301,LEN(E301)-MIN(SEARCH({1,2,3,4,5,6,7,8,9,0},E301&amp;"1234567890"))+1),10),".","/")),10),4,2)&amp;"/"&amp;LEFT((RIGHT((SUBSTITUTE(LEFT(RIGHT(E301,LEN(E301)-MIN(SEARCH({1,2,3,4,5,6,7,8,9,0},E301&amp;"1234567890"))+1),10),".","/")),10)),2)&amp;"/"&amp;RIGHT((SUBSTITUTE(LEFT(RIGHT(E301,LEN(E301)-MIN(SEARCH({1,2,3,4,5,6,7,8,9,0},E301&amp;"1234567890"))+1),10),".","/")),4))))),(AJ301-A301))</f>
        <v>790</v>
      </c>
      <c r="C301" s="334"/>
      <c r="D301" s="294" t="str">
        <f t="shared" si="43"/>
        <v>FGC-304/2B-002X50</v>
      </c>
      <c r="E301" s="294" t="s">
        <v>4259</v>
      </c>
      <c r="F301" s="294" t="s">
        <v>4260</v>
      </c>
      <c r="G301" s="294" t="s">
        <v>4264</v>
      </c>
      <c r="H301" s="294">
        <v>304</v>
      </c>
      <c r="I301" s="337" t="s">
        <v>116</v>
      </c>
      <c r="J301" s="149">
        <v>3.8</v>
      </c>
      <c r="K301" s="149">
        <v>1.76</v>
      </c>
      <c r="L301" s="149">
        <v>1.75</v>
      </c>
      <c r="M301" s="149">
        <v>1.76</v>
      </c>
      <c r="N301" s="335">
        <v>770</v>
      </c>
      <c r="O301" s="296">
        <f>5.21-4.845</f>
        <v>0.36500000000000021</v>
      </c>
      <c r="P301" s="345"/>
      <c r="Q301" s="138">
        <v>50</v>
      </c>
      <c r="R301" s="366"/>
      <c r="S301" s="339"/>
      <c r="T301" s="299"/>
      <c r="U301" s="282" t="s">
        <v>117</v>
      </c>
      <c r="V301" s="282" t="s">
        <v>4262</v>
      </c>
      <c r="W301" s="282" t="s">
        <v>116</v>
      </c>
      <c r="X301" s="340">
        <v>44165</v>
      </c>
      <c r="Y301" s="340">
        <v>44165</v>
      </c>
      <c r="Z301" s="340">
        <v>44166</v>
      </c>
      <c r="AA301" s="340"/>
      <c r="AB301" s="340"/>
      <c r="AC301" s="341"/>
      <c r="AD301" s="342" t="s">
        <v>64</v>
      </c>
      <c r="AE301" s="342" t="s">
        <v>154</v>
      </c>
      <c r="AF301" s="284" t="s">
        <v>271</v>
      </c>
      <c r="AG301" s="284"/>
      <c r="AH301" s="284">
        <v>44156</v>
      </c>
      <c r="AI301" s="284"/>
      <c r="AJ301" s="334">
        <f t="shared" ca="1" si="44"/>
        <v>44963</v>
      </c>
      <c r="AK301" s="342">
        <f t="shared" ca="1" si="45"/>
        <v>807</v>
      </c>
      <c r="AL301" s="342">
        <f t="shared" ca="1" si="46"/>
        <v>797</v>
      </c>
      <c r="AM301" s="284"/>
      <c r="AN301" s="284" t="s">
        <v>4263</v>
      </c>
      <c r="AO301" s="343">
        <v>10.59</v>
      </c>
      <c r="AP301" s="343">
        <v>10.6</v>
      </c>
      <c r="AQ301" s="343">
        <v>10.624999999999998</v>
      </c>
      <c r="AR301" s="343">
        <v>10.629999999999999</v>
      </c>
      <c r="AS301" s="331">
        <f t="shared" ca="1" si="47"/>
        <v>798</v>
      </c>
      <c r="AV301" s="331" t="s">
        <v>136</v>
      </c>
      <c r="BI301" s="347" t="s">
        <v>3572</v>
      </c>
    </row>
    <row r="302" spans="1:61" s="331" customFormat="1" ht="18" customHeight="1" x14ac:dyDescent="0.35">
      <c r="A302" s="334">
        <v>44184</v>
      </c>
      <c r="B302" s="335">
        <f ca="1">IF(A302="",(IF(ISNUMBER(SUBSTITUTE(LEFT(RIGHT(E302,LEN(E302)-MIN(SEARCH({1,2,3,4,5,6,7,8,9,0},E302&amp;"1234567890"))+1),10),".","/"))=TRUE,AJ302-(SUBSTITUTE(LEFT(RIGHT(E302,LEN(E302)-MIN(SEARCH({1,2,3,4,5,6,7,8,9,0},E302&amp;"1234567890"))+1),10),".","/")),IF((SUBSTITUTE(LEFT(RIGHT(E302,LEN(E302)-MIN(SEARCH({1,2,3,4,5,6,7,8,9,0},E302&amp;"1234567890"))+1),10),".","/"))="","",(AJ302)-(MID(RIGHT((SUBSTITUTE(LEFT(RIGHT(E302,LEN(E302)-MIN(SEARCH({1,2,3,4,5,6,7,8,9,0},E302&amp;"1234567890"))+1),10),".","/")),10),4,2)&amp;"/"&amp;LEFT((RIGHT((SUBSTITUTE(LEFT(RIGHT(E302,LEN(E302)-MIN(SEARCH({1,2,3,4,5,6,7,8,9,0},E302&amp;"1234567890"))+1),10),".","/")),10)),2)&amp;"/"&amp;RIGHT((SUBSTITUTE(LEFT(RIGHT(E302,LEN(E302)-MIN(SEARCH({1,2,3,4,5,6,7,8,9,0},E302&amp;"1234567890"))+1),10),".","/")),4))))),(AJ302-A302))</f>
        <v>779</v>
      </c>
      <c r="C302" s="334"/>
      <c r="D302" s="294" t="str">
        <f t="shared" si="43"/>
        <v>FGC-304/2B-002X760</v>
      </c>
      <c r="E302" s="294" t="s">
        <v>4265</v>
      </c>
      <c r="F302" s="294" t="s">
        <v>4266</v>
      </c>
      <c r="G302" s="294" t="s">
        <v>4267</v>
      </c>
      <c r="H302" s="294">
        <v>304</v>
      </c>
      <c r="I302" s="337" t="s">
        <v>116</v>
      </c>
      <c r="J302" s="149">
        <v>3.78</v>
      </c>
      <c r="K302" s="149">
        <v>1.8</v>
      </c>
      <c r="L302" s="149">
        <v>1.74</v>
      </c>
      <c r="M302" s="149">
        <v>1.77</v>
      </c>
      <c r="N302" s="335">
        <v>770</v>
      </c>
      <c r="O302" s="296">
        <v>5.1100000000000003</v>
      </c>
      <c r="P302" s="345">
        <v>5.1449999999999996</v>
      </c>
      <c r="Q302" s="138">
        <v>760</v>
      </c>
      <c r="R302" s="366"/>
      <c r="S302" s="339"/>
      <c r="T302" s="299"/>
      <c r="U302" s="282" t="s">
        <v>117</v>
      </c>
      <c r="V302" s="282" t="s">
        <v>4268</v>
      </c>
      <c r="W302" s="282" t="s">
        <v>116</v>
      </c>
      <c r="X302" s="340">
        <v>44182</v>
      </c>
      <c r="Y302" s="340">
        <v>44182</v>
      </c>
      <c r="Z302" s="340">
        <v>44183</v>
      </c>
      <c r="AA302" s="340"/>
      <c r="AB302" s="340"/>
      <c r="AC302" s="341"/>
      <c r="AD302" s="342" t="s">
        <v>64</v>
      </c>
      <c r="AE302" s="342" t="s">
        <v>154</v>
      </c>
      <c r="AF302" s="284" t="s">
        <v>4269</v>
      </c>
      <c r="AG302" s="284"/>
      <c r="AH302" s="284">
        <v>44179</v>
      </c>
      <c r="AI302" s="284"/>
      <c r="AJ302" s="334">
        <f t="shared" ca="1" si="44"/>
        <v>44963</v>
      </c>
      <c r="AK302" s="342">
        <f t="shared" ca="1" si="45"/>
        <v>784</v>
      </c>
      <c r="AL302" s="342">
        <f t="shared" ca="1" si="46"/>
        <v>780</v>
      </c>
      <c r="AM302" s="284"/>
      <c r="AN302" s="284" t="s">
        <v>4270</v>
      </c>
      <c r="AO302" s="343">
        <v>10.365</v>
      </c>
      <c r="AP302" s="343">
        <v>10.375</v>
      </c>
      <c r="AQ302" s="343">
        <v>10.399999999999999</v>
      </c>
      <c r="AR302" s="343">
        <v>10.404999999999999</v>
      </c>
      <c r="AS302" s="331">
        <f t="shared" ca="1" si="47"/>
        <v>781</v>
      </c>
      <c r="AV302" s="331" t="s">
        <v>136</v>
      </c>
      <c r="BI302" s="347" t="s">
        <v>3584</v>
      </c>
    </row>
    <row r="303" spans="1:61" s="331" customFormat="1" ht="18" customHeight="1" x14ac:dyDescent="0.35">
      <c r="A303" s="334"/>
      <c r="B303" s="335" t="e">
        <f ca="1">IF(A303="",(IF(ISNUMBER(SUBSTITUTE(LEFT(RIGHT(E303,LEN(E303)-MIN(SEARCH({1,2,3,4,5,6,7,8,9,0},E303&amp;"1234567890"))+1),10),".","/"))=TRUE,AJ303-(SUBSTITUTE(LEFT(RIGHT(E303,LEN(E303)-MIN(SEARCH({1,2,3,4,5,6,7,8,9,0},E303&amp;"1234567890"))+1),10),".","/")),IF((SUBSTITUTE(LEFT(RIGHT(E303,LEN(E303)-MIN(SEARCH({1,2,3,4,5,6,7,8,9,0},E303&amp;"1234567890"))+1),10),".","/"))="","",(AJ303)-(MID(RIGHT((SUBSTITUTE(LEFT(RIGHT(E303,LEN(E303)-MIN(SEARCH({1,2,3,4,5,6,7,8,9,0},E303&amp;"1234567890"))+1),10),".","/")),10),4,2)&amp;"/"&amp;LEFT((RIGHT((SUBSTITUTE(LEFT(RIGHT(E303,LEN(E303)-MIN(SEARCH({1,2,3,4,5,6,7,8,9,0},E303&amp;"1234567890"))+1),10),".","/")),10)),2)&amp;"/"&amp;RIGHT((SUBSTITUTE(LEFT(RIGHT(E303,LEN(E303)-MIN(SEARCH({1,2,3,4,5,6,7,8,9,0},E303&amp;"1234567890"))+1),10),".","/")),4))))),(AJ303-A303))</f>
        <v>#VALUE!</v>
      </c>
      <c r="C303" s="334"/>
      <c r="D303" s="294" t="str">
        <f t="shared" si="43"/>
        <v>FGC-304/2B-002X35</v>
      </c>
      <c r="E303" s="294" t="s">
        <v>4271</v>
      </c>
      <c r="F303" s="294" t="s">
        <v>4272</v>
      </c>
      <c r="G303" s="294" t="s">
        <v>4273</v>
      </c>
      <c r="H303" s="294">
        <v>304</v>
      </c>
      <c r="I303" s="337" t="s">
        <v>116</v>
      </c>
      <c r="J303" s="149">
        <v>3.99</v>
      </c>
      <c r="K303" s="149">
        <v>1.95</v>
      </c>
      <c r="L303" s="149">
        <v>1.91</v>
      </c>
      <c r="M303" s="149">
        <v>1.93</v>
      </c>
      <c r="N303" s="335">
        <v>770</v>
      </c>
      <c r="O303" s="296">
        <f>4.84-4.595</f>
        <v>0.24500000000000011</v>
      </c>
      <c r="P303" s="345"/>
      <c r="Q303" s="138">
        <v>35</v>
      </c>
      <c r="R303" s="366"/>
      <c r="S303" s="339"/>
      <c r="T303" s="299"/>
      <c r="U303" s="282" t="s">
        <v>117</v>
      </c>
      <c r="V303" s="282" t="s">
        <v>4274</v>
      </c>
      <c r="W303" s="282" t="s">
        <v>116</v>
      </c>
      <c r="X303" s="340">
        <v>44185</v>
      </c>
      <c r="Y303" s="340">
        <v>44186</v>
      </c>
      <c r="Z303" s="340">
        <v>44186</v>
      </c>
      <c r="AA303" s="340"/>
      <c r="AB303" s="340"/>
      <c r="AC303" s="341"/>
      <c r="AD303" s="342" t="s">
        <v>64</v>
      </c>
      <c r="AE303" s="342" t="s">
        <v>154</v>
      </c>
      <c r="AF303" s="284" t="s">
        <v>4269</v>
      </c>
      <c r="AG303" s="284"/>
      <c r="AH303" s="284">
        <v>44179</v>
      </c>
      <c r="AI303" s="284"/>
      <c r="AJ303" s="334">
        <f t="shared" ca="1" si="44"/>
        <v>44963</v>
      </c>
      <c r="AK303" s="342">
        <f t="shared" ca="1" si="45"/>
        <v>784</v>
      </c>
      <c r="AL303" s="342">
        <f t="shared" ca="1" si="46"/>
        <v>777</v>
      </c>
      <c r="AM303" s="284"/>
      <c r="AN303" s="284" t="s">
        <v>4275</v>
      </c>
      <c r="AO303" s="343">
        <v>10.315</v>
      </c>
      <c r="AP303" s="343">
        <v>10.324999999999999</v>
      </c>
      <c r="AQ303" s="343">
        <v>10.349999999999998</v>
      </c>
      <c r="AR303" s="343">
        <v>10.354999999999999</v>
      </c>
      <c r="AS303" s="331">
        <f t="shared" ca="1" si="47"/>
        <v>777</v>
      </c>
      <c r="AV303" s="331" t="s">
        <v>136</v>
      </c>
      <c r="BI303" s="347" t="s">
        <v>3572</v>
      </c>
    </row>
    <row r="304" spans="1:61" s="331" customFormat="1" ht="18" customHeight="1" x14ac:dyDescent="0.35">
      <c r="A304" s="334"/>
      <c r="B304" s="335" t="e">
        <f ca="1">IF(A304="",(IF(ISNUMBER(SUBSTITUTE(LEFT(RIGHT(E304,LEN(E304)-MIN(SEARCH({1,2,3,4,5,6,7,8,9,0},E304&amp;"1234567890"))+1),10),".","/"))=TRUE,AJ304-(SUBSTITUTE(LEFT(RIGHT(E304,LEN(E304)-MIN(SEARCH({1,2,3,4,5,6,7,8,9,0},E304&amp;"1234567890"))+1),10),".","/")),IF((SUBSTITUTE(LEFT(RIGHT(E304,LEN(E304)-MIN(SEARCH({1,2,3,4,5,6,7,8,9,0},E304&amp;"1234567890"))+1),10),".","/"))="","",(AJ304)-(MID(RIGHT((SUBSTITUTE(LEFT(RIGHT(E304,LEN(E304)-MIN(SEARCH({1,2,3,4,5,6,7,8,9,0},E304&amp;"1234567890"))+1),10),".","/")),10),4,2)&amp;"/"&amp;LEFT((RIGHT((SUBSTITUTE(LEFT(RIGHT(E304,LEN(E304)-MIN(SEARCH({1,2,3,4,5,6,7,8,9,0},E304&amp;"1234567890"))+1),10),".","/")),10)),2)&amp;"/"&amp;RIGHT((SUBSTITUTE(LEFT(RIGHT(E304,LEN(E304)-MIN(SEARCH({1,2,3,4,5,6,7,8,9,0},E304&amp;"1234567890"))+1),10),".","/")),4))))),(AJ304-A304))</f>
        <v>#VALUE!</v>
      </c>
      <c r="C304" s="334"/>
      <c r="D304" s="294" t="str">
        <f t="shared" si="43"/>
        <v>FGC-304/2B-001X96,8</v>
      </c>
      <c r="E304" s="294" t="s">
        <v>4276</v>
      </c>
      <c r="F304" s="294" t="s">
        <v>4277</v>
      </c>
      <c r="G304" s="336" t="s">
        <v>4278</v>
      </c>
      <c r="H304" s="294">
        <v>304</v>
      </c>
      <c r="I304" s="337" t="s">
        <v>116</v>
      </c>
      <c r="J304" s="149">
        <v>3.99</v>
      </c>
      <c r="K304" s="149">
        <v>1.48</v>
      </c>
      <c r="L304" s="149">
        <v>1.47</v>
      </c>
      <c r="M304" s="149">
        <v>1.48</v>
      </c>
      <c r="N304" s="335">
        <v>770</v>
      </c>
      <c r="O304" s="296">
        <f>5.705-4.975</f>
        <v>0.73000000000000043</v>
      </c>
      <c r="P304" s="345"/>
      <c r="Q304" s="138">
        <v>96.8</v>
      </c>
      <c r="R304" s="138"/>
      <c r="S304" s="339"/>
      <c r="T304" s="299"/>
      <c r="U304" s="282" t="s">
        <v>4279</v>
      </c>
      <c r="V304" s="282" t="s">
        <v>4280</v>
      </c>
      <c r="W304" s="282" t="s">
        <v>116</v>
      </c>
      <c r="X304" s="340">
        <v>44188</v>
      </c>
      <c r="Y304" s="340">
        <v>44188</v>
      </c>
      <c r="Z304" s="340">
        <v>44190</v>
      </c>
      <c r="AA304" s="340"/>
      <c r="AB304" s="340"/>
      <c r="AC304" s="341"/>
      <c r="AD304" s="342" t="s">
        <v>64</v>
      </c>
      <c r="AE304" s="342" t="s">
        <v>154</v>
      </c>
      <c r="AF304" s="284" t="s">
        <v>4269</v>
      </c>
      <c r="AG304" s="284"/>
      <c r="AH304" s="284">
        <v>44179</v>
      </c>
      <c r="AI304" s="284"/>
      <c r="AJ304" s="334">
        <f t="shared" ca="1" si="44"/>
        <v>44963</v>
      </c>
      <c r="AK304" s="342">
        <f t="shared" ca="1" si="45"/>
        <v>784</v>
      </c>
      <c r="AL304" s="342">
        <f t="shared" ca="1" si="46"/>
        <v>773</v>
      </c>
      <c r="AM304" s="284"/>
      <c r="AN304" s="284" t="s">
        <v>4281</v>
      </c>
      <c r="AO304" s="343">
        <v>11.9</v>
      </c>
      <c r="AP304" s="343">
        <v>11.91</v>
      </c>
      <c r="AQ304" s="343">
        <v>11.934999999999999</v>
      </c>
      <c r="AR304" s="343">
        <v>11.94</v>
      </c>
      <c r="AS304" s="331">
        <f t="shared" ca="1" si="47"/>
        <v>775</v>
      </c>
      <c r="AV304" s="331" t="s">
        <v>136</v>
      </c>
      <c r="BI304" s="347" t="s">
        <v>3584</v>
      </c>
    </row>
    <row r="305" spans="1:61" s="331" customFormat="1" ht="18" customHeight="1" x14ac:dyDescent="0.35">
      <c r="A305" s="334"/>
      <c r="B305" s="335" t="e">
        <f ca="1">IF(A305="",(IF(ISNUMBER(SUBSTITUTE(LEFT(RIGHT(E305,LEN(E305)-MIN(SEARCH({1,2,3,4,5,6,7,8,9,0},E305&amp;"1234567890"))+1),10),".","/"))=TRUE,AJ305-(SUBSTITUTE(LEFT(RIGHT(E305,LEN(E305)-MIN(SEARCH({1,2,3,4,5,6,7,8,9,0},E305&amp;"1234567890"))+1),10),".","/")),IF((SUBSTITUTE(LEFT(RIGHT(E305,LEN(E305)-MIN(SEARCH({1,2,3,4,5,6,7,8,9,0},E305&amp;"1234567890"))+1),10),".","/"))="","",(AJ305)-(MID(RIGHT((SUBSTITUTE(LEFT(RIGHT(E305,LEN(E305)-MIN(SEARCH({1,2,3,4,5,6,7,8,9,0},E305&amp;"1234567890"))+1),10),".","/")),10),4,2)&amp;"/"&amp;LEFT((RIGHT((SUBSTITUTE(LEFT(RIGHT(E305,LEN(E305)-MIN(SEARCH({1,2,3,4,5,6,7,8,9,0},E305&amp;"1234567890"))+1),10),".","/")),10)),2)&amp;"/"&amp;RIGHT((SUBSTITUTE(LEFT(RIGHT(E305,LEN(E305)-MIN(SEARCH({1,2,3,4,5,6,7,8,9,0},E305&amp;"1234567890"))+1),10),".","/")),4))))),(AJ305-A305))</f>
        <v>#VALUE!</v>
      </c>
      <c r="C305" s="334"/>
      <c r="D305" s="294" t="str">
        <f t="shared" si="43"/>
        <v>FGC-304/2B-001X96,8</v>
      </c>
      <c r="E305" s="294" t="s">
        <v>4276</v>
      </c>
      <c r="F305" s="294" t="s">
        <v>4277</v>
      </c>
      <c r="G305" s="336" t="s">
        <v>4282</v>
      </c>
      <c r="H305" s="294">
        <v>304</v>
      </c>
      <c r="I305" s="337" t="s">
        <v>116</v>
      </c>
      <c r="J305" s="149">
        <v>3.99</v>
      </c>
      <c r="K305" s="149">
        <v>1.48</v>
      </c>
      <c r="L305" s="149">
        <v>1.47</v>
      </c>
      <c r="M305" s="149">
        <v>1.48</v>
      </c>
      <c r="N305" s="335">
        <v>770</v>
      </c>
      <c r="O305" s="296">
        <f>5.8-5.03</f>
        <v>0.76999999999999957</v>
      </c>
      <c r="P305" s="345"/>
      <c r="Q305" s="138">
        <v>96.8</v>
      </c>
      <c r="R305" s="138"/>
      <c r="S305" s="339"/>
      <c r="T305" s="299"/>
      <c r="U305" s="282" t="s">
        <v>4279</v>
      </c>
      <c r="V305" s="282" t="s">
        <v>4280</v>
      </c>
      <c r="W305" s="282" t="s">
        <v>116</v>
      </c>
      <c r="X305" s="340">
        <v>44188</v>
      </c>
      <c r="Y305" s="340">
        <v>44188</v>
      </c>
      <c r="Z305" s="340">
        <v>44190</v>
      </c>
      <c r="AA305" s="340"/>
      <c r="AB305" s="340"/>
      <c r="AC305" s="341"/>
      <c r="AD305" s="342" t="s">
        <v>64</v>
      </c>
      <c r="AE305" s="342" t="s">
        <v>154</v>
      </c>
      <c r="AF305" s="284" t="s">
        <v>4269</v>
      </c>
      <c r="AG305" s="284"/>
      <c r="AH305" s="284">
        <v>44179</v>
      </c>
      <c r="AI305" s="284"/>
      <c r="AJ305" s="334">
        <f t="shared" ca="1" si="44"/>
        <v>44963</v>
      </c>
      <c r="AK305" s="342">
        <f t="shared" ca="1" si="45"/>
        <v>784</v>
      </c>
      <c r="AL305" s="342">
        <f t="shared" ca="1" si="46"/>
        <v>773</v>
      </c>
      <c r="AM305" s="284"/>
      <c r="AN305" s="284" t="s">
        <v>4281</v>
      </c>
      <c r="AO305" s="343">
        <v>11.9</v>
      </c>
      <c r="AP305" s="343">
        <v>11.91</v>
      </c>
      <c r="AQ305" s="343">
        <v>11.934999999999999</v>
      </c>
      <c r="AR305" s="343">
        <v>11.94</v>
      </c>
      <c r="AS305" s="331">
        <f t="shared" ca="1" si="47"/>
        <v>775</v>
      </c>
      <c r="AV305" s="331" t="s">
        <v>136</v>
      </c>
      <c r="BI305" s="347" t="s">
        <v>3584</v>
      </c>
    </row>
    <row r="306" spans="1:61" s="331" customFormat="1" ht="18" customHeight="1" x14ac:dyDescent="0.35">
      <c r="A306" s="334"/>
      <c r="B306" s="335" t="e">
        <f ca="1">IF(A306="",(IF(ISNUMBER(SUBSTITUTE(LEFT(RIGHT(E306,LEN(E306)-MIN(SEARCH({1,2,3,4,5,6,7,8,9,0},E306&amp;"1234567890"))+1),10),".","/"))=TRUE,AJ306-(SUBSTITUTE(LEFT(RIGHT(E306,LEN(E306)-MIN(SEARCH({1,2,3,4,5,6,7,8,9,0},E306&amp;"1234567890"))+1),10),".","/")),IF((SUBSTITUTE(LEFT(RIGHT(E306,LEN(E306)-MIN(SEARCH({1,2,3,4,5,6,7,8,9,0},E306&amp;"1234567890"))+1),10),".","/"))="","",(AJ306)-(MID(RIGHT((SUBSTITUTE(LEFT(RIGHT(E306,LEN(E306)-MIN(SEARCH({1,2,3,4,5,6,7,8,9,0},E306&amp;"1234567890"))+1),10),".","/")),10),4,2)&amp;"/"&amp;LEFT((RIGHT((SUBSTITUTE(LEFT(RIGHT(E306,LEN(E306)-MIN(SEARCH({1,2,3,4,5,6,7,8,9,0},E306&amp;"1234567890"))+1),10),".","/")),10)),2)&amp;"/"&amp;RIGHT((SUBSTITUTE(LEFT(RIGHT(E306,LEN(E306)-MIN(SEARCH({1,2,3,4,5,6,7,8,9,0},E306&amp;"1234567890"))+1),10),".","/")),4))))),(AJ306-A306))</f>
        <v>#VALUE!</v>
      </c>
      <c r="C306" s="334"/>
      <c r="D306" s="294" t="str">
        <f t="shared" si="43"/>
        <v>FGC-304/2B-001X45</v>
      </c>
      <c r="E306" s="294" t="s">
        <v>4276</v>
      </c>
      <c r="F306" s="294" t="s">
        <v>4283</v>
      </c>
      <c r="G306" s="373" t="s">
        <v>4284</v>
      </c>
      <c r="H306" s="294">
        <v>304</v>
      </c>
      <c r="I306" s="337" t="s">
        <v>116</v>
      </c>
      <c r="J306" s="149">
        <v>2.93</v>
      </c>
      <c r="K306" s="149">
        <v>0.8</v>
      </c>
      <c r="L306" s="149">
        <v>0.78</v>
      </c>
      <c r="M306" s="149">
        <v>0.8</v>
      </c>
      <c r="N306" s="335">
        <v>770</v>
      </c>
      <c r="O306" s="296">
        <f>10.545-9.86</f>
        <v>0.6850000000000005</v>
      </c>
      <c r="P306" s="345"/>
      <c r="Q306" s="138">
        <v>45</v>
      </c>
      <c r="R306" s="138"/>
      <c r="S306" s="339"/>
      <c r="T306" s="299"/>
      <c r="U306" s="282" t="s">
        <v>117</v>
      </c>
      <c r="V306" s="282" t="s">
        <v>4280</v>
      </c>
      <c r="W306" s="282" t="s">
        <v>116</v>
      </c>
      <c r="X306" s="340">
        <v>44182</v>
      </c>
      <c r="Y306" s="340">
        <v>44183</v>
      </c>
      <c r="Z306" s="340">
        <v>44183</v>
      </c>
      <c r="AA306" s="340"/>
      <c r="AB306" s="340"/>
      <c r="AC306" s="341"/>
      <c r="AD306" s="342" t="s">
        <v>64</v>
      </c>
      <c r="AE306" s="342" t="s">
        <v>154</v>
      </c>
      <c r="AF306" s="284" t="s">
        <v>4269</v>
      </c>
      <c r="AG306" s="284"/>
      <c r="AH306" s="284">
        <v>44179</v>
      </c>
      <c r="AI306" s="284"/>
      <c r="AJ306" s="334">
        <f t="shared" ca="1" si="44"/>
        <v>44963</v>
      </c>
      <c r="AK306" s="342">
        <f t="shared" ca="1" si="45"/>
        <v>784</v>
      </c>
      <c r="AL306" s="342">
        <f t="shared" ca="1" si="46"/>
        <v>780</v>
      </c>
      <c r="AM306" s="284"/>
      <c r="AN306" s="284" t="s">
        <v>4285</v>
      </c>
      <c r="AO306" s="343">
        <v>10.62</v>
      </c>
      <c r="AP306" s="343">
        <v>10.63</v>
      </c>
      <c r="AQ306" s="343">
        <v>10.654999999999999</v>
      </c>
      <c r="AR306" s="343">
        <v>10.66</v>
      </c>
      <c r="AS306" s="331">
        <f t="shared" ca="1" si="47"/>
        <v>780</v>
      </c>
      <c r="AV306" s="331" t="s">
        <v>136</v>
      </c>
      <c r="BI306" s="347" t="s">
        <v>3515</v>
      </c>
    </row>
    <row r="307" spans="1:61" s="331" customFormat="1" ht="18" customHeight="1" x14ac:dyDescent="0.35">
      <c r="A307" s="334"/>
      <c r="B307" s="335" t="e">
        <f ca="1">IF(A307="",(IF(ISNUMBER(SUBSTITUTE(LEFT(RIGHT(E307,LEN(E307)-MIN(SEARCH({1,2,3,4,5,6,7,8,9,0},E307&amp;"1234567890"))+1),10),".","/"))=TRUE,AJ307-(SUBSTITUTE(LEFT(RIGHT(E307,LEN(E307)-MIN(SEARCH({1,2,3,4,5,6,7,8,9,0},E307&amp;"1234567890"))+1),10),".","/")),IF((SUBSTITUTE(LEFT(RIGHT(E307,LEN(E307)-MIN(SEARCH({1,2,3,4,5,6,7,8,9,0},E307&amp;"1234567890"))+1),10),".","/"))="","",(AJ307)-(MID(RIGHT((SUBSTITUTE(LEFT(RIGHT(E307,LEN(E307)-MIN(SEARCH({1,2,3,4,5,6,7,8,9,0},E307&amp;"1234567890"))+1),10),".","/")),10),4,2)&amp;"/"&amp;LEFT((RIGHT((SUBSTITUTE(LEFT(RIGHT(E307,LEN(E307)-MIN(SEARCH({1,2,3,4,5,6,7,8,9,0},E307&amp;"1234567890"))+1),10),".","/")),10)),2)&amp;"/"&amp;RIGHT((SUBSTITUTE(LEFT(RIGHT(E307,LEN(E307)-MIN(SEARCH({1,2,3,4,5,6,7,8,9,0},E307&amp;"1234567890"))+1),10),".","/")),4))))),(AJ307-A307))</f>
        <v>#VALUE!</v>
      </c>
      <c r="C307" s="334"/>
      <c r="D307" s="294" t="str">
        <f t="shared" ref="D307:D370" si="48">IF(Q307="MULTI","FGM","FGC")&amp;"-"&amp;H307&amp;"/"&amp;I307&amp;"-"&amp;TEXT(K307,"0.00")&amp;"X"&amp;IF(Q307="MULTI",N307,Q307)</f>
        <v>FGC-J3/2B-000X33,2</v>
      </c>
      <c r="E307" s="294" t="s">
        <v>4286</v>
      </c>
      <c r="F307" s="294" t="s">
        <v>4287</v>
      </c>
      <c r="G307" s="294" t="s">
        <v>4288</v>
      </c>
      <c r="H307" s="294" t="s">
        <v>29</v>
      </c>
      <c r="I307" s="337" t="s">
        <v>116</v>
      </c>
      <c r="J307" s="149">
        <v>0.75</v>
      </c>
      <c r="K307" s="149">
        <v>0.39</v>
      </c>
      <c r="L307" s="149">
        <v>0.38</v>
      </c>
      <c r="M307" s="149">
        <v>0.39</v>
      </c>
      <c r="N307" s="335">
        <v>585</v>
      </c>
      <c r="O307" s="296">
        <f>1.94-1.825</f>
        <v>0.11499999999999999</v>
      </c>
      <c r="P307" s="345"/>
      <c r="Q307" s="138">
        <v>33.200000000000003</v>
      </c>
      <c r="R307" s="138"/>
      <c r="S307" s="339"/>
      <c r="T307" s="299"/>
      <c r="U307" s="282" t="s">
        <v>117</v>
      </c>
      <c r="V307" s="282" t="s">
        <v>4289</v>
      </c>
      <c r="W307" s="282" t="s">
        <v>208</v>
      </c>
      <c r="X307" s="340" t="s">
        <v>4290</v>
      </c>
      <c r="Y307" s="340" t="s">
        <v>4290</v>
      </c>
      <c r="Z307" s="340" t="s">
        <v>4291</v>
      </c>
      <c r="AA307" s="340">
        <v>44158</v>
      </c>
      <c r="AB307" s="340"/>
      <c r="AC307" s="341"/>
      <c r="AD307" s="342" t="s">
        <v>64</v>
      </c>
      <c r="AE307" s="342" t="s">
        <v>261</v>
      </c>
      <c r="AF307" s="284" t="s">
        <v>3795</v>
      </c>
      <c r="AG307" s="284">
        <v>44126</v>
      </c>
      <c r="AH307" s="284">
        <v>44154</v>
      </c>
      <c r="AI307" s="284"/>
      <c r="AJ307" s="334">
        <f t="shared" ca="1" si="44"/>
        <v>44963</v>
      </c>
      <c r="AK307" s="342">
        <f t="shared" ca="1" si="45"/>
        <v>809</v>
      </c>
      <c r="AL307" s="342" t="e">
        <f t="shared" ca="1" si="46"/>
        <v>#VALUE!</v>
      </c>
      <c r="AM307" s="284"/>
      <c r="AN307" s="284" t="s">
        <v>4292</v>
      </c>
      <c r="AO307" s="343">
        <v>8.0540000000000003</v>
      </c>
      <c r="AP307" s="343">
        <v>8.0839999999999996</v>
      </c>
      <c r="AQ307" s="343">
        <v>8.1089999999999982</v>
      </c>
      <c r="AR307" s="343">
        <v>8.113999999999999</v>
      </c>
      <c r="AS307" s="331" t="e">
        <f t="shared" ca="1" si="47"/>
        <v>#VALUE!</v>
      </c>
      <c r="AV307" s="331" t="s">
        <v>136</v>
      </c>
      <c r="BI307" s="347" t="s">
        <v>3572</v>
      </c>
    </row>
    <row r="308" spans="1:61" s="331" customFormat="1" ht="18" customHeight="1" x14ac:dyDescent="0.35">
      <c r="A308" s="334"/>
      <c r="B308" s="335" t="e">
        <f ca="1">IF(A308="",(IF(ISNUMBER(SUBSTITUTE(LEFT(RIGHT(E308,LEN(E308)-MIN(SEARCH({1,2,3,4,5,6,7,8,9,0},E308&amp;"1234567890"))+1),10),".","/"))=TRUE,AJ308-(SUBSTITUTE(LEFT(RIGHT(E308,LEN(E308)-MIN(SEARCH({1,2,3,4,5,6,7,8,9,0},E308&amp;"1234567890"))+1),10),".","/")),IF((SUBSTITUTE(LEFT(RIGHT(E308,LEN(E308)-MIN(SEARCH({1,2,3,4,5,6,7,8,9,0},E308&amp;"1234567890"))+1),10),".","/"))="","",(AJ308)-(MID(RIGHT((SUBSTITUTE(LEFT(RIGHT(E308,LEN(E308)-MIN(SEARCH({1,2,3,4,5,6,7,8,9,0},E308&amp;"1234567890"))+1),10),".","/")),10),4,2)&amp;"/"&amp;LEFT((RIGHT((SUBSTITUTE(LEFT(RIGHT(E308,LEN(E308)-MIN(SEARCH({1,2,3,4,5,6,7,8,9,0},E308&amp;"1234567890"))+1),10),".","/")),10)),2)&amp;"/"&amp;RIGHT((SUBSTITUTE(LEFT(RIGHT(E308,LEN(E308)-MIN(SEARCH({1,2,3,4,5,6,7,8,9,0},E308&amp;"1234567890"))+1),10),".","/")),4))))),(AJ308-A308))</f>
        <v>#VALUE!</v>
      </c>
      <c r="C308" s="334"/>
      <c r="D308" s="294" t="str">
        <f t="shared" si="48"/>
        <v>FGC-J3/2B-000X33,2</v>
      </c>
      <c r="E308" s="294" t="s">
        <v>4286</v>
      </c>
      <c r="F308" s="294" t="s">
        <v>4287</v>
      </c>
      <c r="G308" s="294" t="s">
        <v>4288</v>
      </c>
      <c r="H308" s="294" t="s">
        <v>29</v>
      </c>
      <c r="I308" s="337" t="s">
        <v>116</v>
      </c>
      <c r="J308" s="149">
        <v>0.75</v>
      </c>
      <c r="K308" s="149">
        <v>0.39</v>
      </c>
      <c r="L308" s="149">
        <v>0.38</v>
      </c>
      <c r="M308" s="149">
        <v>0.39</v>
      </c>
      <c r="N308" s="335">
        <v>585</v>
      </c>
      <c r="O308" s="296">
        <f>1.94-1.825</f>
        <v>0.11499999999999999</v>
      </c>
      <c r="P308" s="345"/>
      <c r="Q308" s="138">
        <v>33.200000000000003</v>
      </c>
      <c r="R308" s="138"/>
      <c r="S308" s="339"/>
      <c r="T308" s="299"/>
      <c r="U308" s="282" t="s">
        <v>117</v>
      </c>
      <c r="V308" s="282" t="s">
        <v>4289</v>
      </c>
      <c r="W308" s="282" t="s">
        <v>208</v>
      </c>
      <c r="X308" s="340" t="s">
        <v>4290</v>
      </c>
      <c r="Y308" s="340" t="s">
        <v>4290</v>
      </c>
      <c r="Z308" s="340" t="s">
        <v>4291</v>
      </c>
      <c r="AA308" s="340">
        <v>44158</v>
      </c>
      <c r="AB308" s="340"/>
      <c r="AC308" s="341"/>
      <c r="AD308" s="342" t="s">
        <v>64</v>
      </c>
      <c r="AE308" s="342" t="s">
        <v>261</v>
      </c>
      <c r="AF308" s="284" t="s">
        <v>3795</v>
      </c>
      <c r="AG308" s="284">
        <v>44126</v>
      </c>
      <c r="AH308" s="284">
        <v>44154</v>
      </c>
      <c r="AI308" s="284"/>
      <c r="AJ308" s="334">
        <f t="shared" ca="1" si="44"/>
        <v>44963</v>
      </c>
      <c r="AK308" s="342">
        <f t="shared" ca="1" si="45"/>
        <v>809</v>
      </c>
      <c r="AL308" s="342" t="e">
        <f t="shared" ca="1" si="46"/>
        <v>#VALUE!</v>
      </c>
      <c r="AM308" s="284"/>
      <c r="AN308" s="284" t="s">
        <v>4292</v>
      </c>
      <c r="AO308" s="343">
        <v>8.0540000000000003</v>
      </c>
      <c r="AP308" s="343">
        <v>8.0839999999999996</v>
      </c>
      <c r="AQ308" s="343">
        <v>8.1089999999999982</v>
      </c>
      <c r="AR308" s="343">
        <v>8.113999999999999</v>
      </c>
      <c r="AS308" s="331" t="e">
        <f t="shared" ca="1" si="47"/>
        <v>#VALUE!</v>
      </c>
      <c r="AV308" s="331" t="s">
        <v>136</v>
      </c>
      <c r="BI308" s="347" t="s">
        <v>3572</v>
      </c>
    </row>
    <row r="309" spans="1:61" s="331" customFormat="1" ht="18" customHeight="1" x14ac:dyDescent="0.35">
      <c r="A309" s="334"/>
      <c r="B309" s="335" t="e">
        <f ca="1">IF(A309="",(IF(ISNUMBER(SUBSTITUTE(LEFT(RIGHT(E309,LEN(E309)-MIN(SEARCH({1,2,3,4,5,6,7,8,9,0},E309&amp;"1234567890"))+1),10),".","/"))=TRUE,AJ309-(SUBSTITUTE(LEFT(RIGHT(E309,LEN(E309)-MIN(SEARCH({1,2,3,4,5,6,7,8,9,0},E309&amp;"1234567890"))+1),10),".","/")),IF((SUBSTITUTE(LEFT(RIGHT(E309,LEN(E309)-MIN(SEARCH({1,2,3,4,5,6,7,8,9,0},E309&amp;"1234567890"))+1),10),".","/"))="","",(AJ309)-(MID(RIGHT((SUBSTITUTE(LEFT(RIGHT(E309,LEN(E309)-MIN(SEARCH({1,2,3,4,5,6,7,8,9,0},E309&amp;"1234567890"))+1),10),".","/")),10),4,2)&amp;"/"&amp;LEFT((RIGHT((SUBSTITUTE(LEFT(RIGHT(E309,LEN(E309)-MIN(SEARCH({1,2,3,4,5,6,7,8,9,0},E309&amp;"1234567890"))+1),10),".","/")),10)),2)&amp;"/"&amp;RIGHT((SUBSTITUTE(LEFT(RIGHT(E309,LEN(E309)-MIN(SEARCH({1,2,3,4,5,6,7,8,9,0},E309&amp;"1234567890"))+1),10),".","/")),4))))),(AJ309-A309))</f>
        <v>#VALUE!</v>
      </c>
      <c r="C309" s="334"/>
      <c r="D309" s="294" t="str">
        <f t="shared" si="48"/>
        <v>FGC-J3/2B-000X33,2</v>
      </c>
      <c r="E309" s="294" t="s">
        <v>4286</v>
      </c>
      <c r="F309" s="294" t="s">
        <v>4287</v>
      </c>
      <c r="G309" s="294" t="s">
        <v>4288</v>
      </c>
      <c r="H309" s="294" t="s">
        <v>29</v>
      </c>
      <c r="I309" s="337" t="s">
        <v>116</v>
      </c>
      <c r="J309" s="149">
        <v>0.75</v>
      </c>
      <c r="K309" s="149">
        <v>0.39</v>
      </c>
      <c r="L309" s="149">
        <v>0.38</v>
      </c>
      <c r="M309" s="149">
        <v>0.39</v>
      </c>
      <c r="N309" s="335">
        <v>585</v>
      </c>
      <c r="O309" s="296">
        <f>1.93-1.82</f>
        <v>0.10999999999999988</v>
      </c>
      <c r="P309" s="345"/>
      <c r="Q309" s="138">
        <v>33.200000000000003</v>
      </c>
      <c r="R309" s="138"/>
      <c r="S309" s="339"/>
      <c r="T309" s="299"/>
      <c r="U309" s="282" t="s">
        <v>117</v>
      </c>
      <c r="V309" s="282" t="s">
        <v>4289</v>
      </c>
      <c r="W309" s="282" t="s">
        <v>208</v>
      </c>
      <c r="X309" s="340" t="s">
        <v>4290</v>
      </c>
      <c r="Y309" s="340" t="s">
        <v>4290</v>
      </c>
      <c r="Z309" s="340" t="s">
        <v>4291</v>
      </c>
      <c r="AA309" s="340">
        <v>44158</v>
      </c>
      <c r="AB309" s="340"/>
      <c r="AC309" s="341"/>
      <c r="AD309" s="342" t="s">
        <v>64</v>
      </c>
      <c r="AE309" s="342" t="s">
        <v>261</v>
      </c>
      <c r="AF309" s="284" t="s">
        <v>3795</v>
      </c>
      <c r="AG309" s="284">
        <v>44126</v>
      </c>
      <c r="AH309" s="284">
        <v>44154</v>
      </c>
      <c r="AI309" s="284"/>
      <c r="AJ309" s="334">
        <f t="shared" ca="1" si="44"/>
        <v>44963</v>
      </c>
      <c r="AK309" s="342">
        <f t="shared" ca="1" si="45"/>
        <v>809</v>
      </c>
      <c r="AL309" s="342" t="e">
        <f t="shared" ca="1" si="46"/>
        <v>#VALUE!</v>
      </c>
      <c r="AM309" s="284"/>
      <c r="AN309" s="284" t="s">
        <v>4292</v>
      </c>
      <c r="AO309" s="343">
        <v>8.0540000000000003</v>
      </c>
      <c r="AP309" s="343">
        <v>8.0839999999999996</v>
      </c>
      <c r="AQ309" s="343">
        <v>8.1089999999999982</v>
      </c>
      <c r="AR309" s="343">
        <v>8.113999999999999</v>
      </c>
      <c r="AS309" s="331" t="e">
        <f t="shared" ca="1" si="47"/>
        <v>#VALUE!</v>
      </c>
      <c r="AV309" s="331" t="s">
        <v>136</v>
      </c>
      <c r="BI309" s="347" t="s">
        <v>3572</v>
      </c>
    </row>
    <row r="310" spans="1:61" s="331" customFormat="1" ht="18" customHeight="1" x14ac:dyDescent="0.35">
      <c r="A310" s="334"/>
      <c r="B310" s="335" t="e">
        <f ca="1">IF(A310="",(IF(ISNUMBER(SUBSTITUTE(LEFT(RIGHT(E310,LEN(E310)-MIN(SEARCH({1,2,3,4,5,6,7,8,9,0},E310&amp;"1234567890"))+1),10),".","/"))=TRUE,AJ310-(SUBSTITUTE(LEFT(RIGHT(E310,LEN(E310)-MIN(SEARCH({1,2,3,4,5,6,7,8,9,0},E310&amp;"1234567890"))+1),10),".","/")),IF((SUBSTITUTE(LEFT(RIGHT(E310,LEN(E310)-MIN(SEARCH({1,2,3,4,5,6,7,8,9,0},E310&amp;"1234567890"))+1),10),".","/"))="","",(AJ310)-(MID(RIGHT((SUBSTITUTE(LEFT(RIGHT(E310,LEN(E310)-MIN(SEARCH({1,2,3,4,5,6,7,8,9,0},E310&amp;"1234567890"))+1),10),".","/")),10),4,2)&amp;"/"&amp;LEFT((RIGHT((SUBSTITUTE(LEFT(RIGHT(E310,LEN(E310)-MIN(SEARCH({1,2,3,4,5,6,7,8,9,0},E310&amp;"1234567890"))+1),10),".","/")),10)),2)&amp;"/"&amp;RIGHT((SUBSTITUTE(LEFT(RIGHT(E310,LEN(E310)-MIN(SEARCH({1,2,3,4,5,6,7,8,9,0},E310&amp;"1234567890"))+1),10),".","/")),4))))),(AJ310-A310))</f>
        <v>#VALUE!</v>
      </c>
      <c r="C310" s="334"/>
      <c r="D310" s="294" t="str">
        <f t="shared" si="48"/>
        <v>FGC-J3/2B-000X33,2</v>
      </c>
      <c r="E310" s="294" t="s">
        <v>4286</v>
      </c>
      <c r="F310" s="294" t="s">
        <v>4293</v>
      </c>
      <c r="G310" s="294" t="s">
        <v>4294</v>
      </c>
      <c r="H310" s="294" t="s">
        <v>29</v>
      </c>
      <c r="I310" s="337" t="s">
        <v>116</v>
      </c>
      <c r="J310" s="149">
        <v>0.75</v>
      </c>
      <c r="K310" s="149">
        <v>0.39</v>
      </c>
      <c r="L310" s="149">
        <v>0.38</v>
      </c>
      <c r="M310" s="149">
        <v>0.4</v>
      </c>
      <c r="N310" s="335">
        <v>585</v>
      </c>
      <c r="O310" s="296">
        <f>1.955-1.845</f>
        <v>0.1100000000000001</v>
      </c>
      <c r="P310" s="345"/>
      <c r="Q310" s="138">
        <v>33.200000000000003</v>
      </c>
      <c r="R310" s="138"/>
      <c r="S310" s="339"/>
      <c r="T310" s="299"/>
      <c r="U310" s="282" t="s">
        <v>117</v>
      </c>
      <c r="V310" s="282" t="s">
        <v>4289</v>
      </c>
      <c r="W310" s="282" t="s">
        <v>208</v>
      </c>
      <c r="X310" s="340" t="s">
        <v>4295</v>
      </c>
      <c r="Y310" s="340" t="s">
        <v>4296</v>
      </c>
      <c r="Z310" s="340" t="s">
        <v>4297</v>
      </c>
      <c r="AA310" s="340">
        <v>44210</v>
      </c>
      <c r="AB310" s="340"/>
      <c r="AC310" s="341"/>
      <c r="AD310" s="342" t="s">
        <v>64</v>
      </c>
      <c r="AE310" s="342" t="s">
        <v>261</v>
      </c>
      <c r="AF310" s="284" t="s">
        <v>286</v>
      </c>
      <c r="AG310" s="284">
        <v>44154</v>
      </c>
      <c r="AH310" s="284">
        <v>44176</v>
      </c>
      <c r="AI310" s="284"/>
      <c r="AJ310" s="334">
        <f t="shared" ca="1" si="44"/>
        <v>44963</v>
      </c>
      <c r="AK310" s="342">
        <f t="shared" ca="1" si="45"/>
        <v>787</v>
      </c>
      <c r="AL310" s="342" t="e">
        <f t="shared" ca="1" si="46"/>
        <v>#VALUE!</v>
      </c>
      <c r="AM310" s="284" t="s">
        <v>4298</v>
      </c>
      <c r="AN310" s="284" t="s">
        <v>4299</v>
      </c>
      <c r="AO310" s="343">
        <v>8.1560000000000006</v>
      </c>
      <c r="AP310" s="343">
        <v>8.1859999999999999</v>
      </c>
      <c r="AQ310" s="343">
        <v>8.2109999999999985</v>
      </c>
      <c r="AR310" s="343">
        <v>8.2159999999999993</v>
      </c>
      <c r="AS310" s="331" t="e">
        <f t="shared" ca="1" si="47"/>
        <v>#VALUE!</v>
      </c>
      <c r="AV310" s="331" t="s">
        <v>136</v>
      </c>
      <c r="BI310" s="347" t="s">
        <v>3572</v>
      </c>
    </row>
    <row r="311" spans="1:61" s="331" customFormat="1" ht="18" customHeight="1" x14ac:dyDescent="0.35">
      <c r="A311" s="334"/>
      <c r="B311" s="335" t="e">
        <f ca="1">IF(A311="",(IF(ISNUMBER(SUBSTITUTE(LEFT(RIGHT(E311,LEN(E311)-MIN(SEARCH({1,2,3,4,5,6,7,8,9,0},E311&amp;"1234567890"))+1),10),".","/"))=TRUE,AJ311-(SUBSTITUTE(LEFT(RIGHT(E311,LEN(E311)-MIN(SEARCH({1,2,3,4,5,6,7,8,9,0},E311&amp;"1234567890"))+1),10),".","/")),IF((SUBSTITUTE(LEFT(RIGHT(E311,LEN(E311)-MIN(SEARCH({1,2,3,4,5,6,7,8,9,0},E311&amp;"1234567890"))+1),10),".","/"))="","",(AJ311)-(MID(RIGHT((SUBSTITUTE(LEFT(RIGHT(E311,LEN(E311)-MIN(SEARCH({1,2,3,4,5,6,7,8,9,0},E311&amp;"1234567890"))+1),10),".","/")),10),4,2)&amp;"/"&amp;LEFT((RIGHT((SUBSTITUTE(LEFT(RIGHT(E311,LEN(E311)-MIN(SEARCH({1,2,3,4,5,6,7,8,9,0},E311&amp;"1234567890"))+1),10),".","/")),10)),2)&amp;"/"&amp;RIGHT((SUBSTITUTE(LEFT(RIGHT(E311,LEN(E311)-MIN(SEARCH({1,2,3,4,5,6,7,8,9,0},E311&amp;"1234567890"))+1),10),".","/")),4))))),(AJ311-A311))</f>
        <v>#VALUE!</v>
      </c>
      <c r="C311" s="334"/>
      <c r="D311" s="294" t="str">
        <f t="shared" si="48"/>
        <v>FGC-J3/2B-000X33,2</v>
      </c>
      <c r="E311" s="294" t="s">
        <v>4286</v>
      </c>
      <c r="F311" s="294" t="s">
        <v>4287</v>
      </c>
      <c r="G311" s="294" t="s">
        <v>4288</v>
      </c>
      <c r="H311" s="294" t="s">
        <v>29</v>
      </c>
      <c r="I311" s="337" t="s">
        <v>116</v>
      </c>
      <c r="J311" s="149">
        <v>0.75</v>
      </c>
      <c r="K311" s="149">
        <v>0.39</v>
      </c>
      <c r="L311" s="149">
        <v>0.38</v>
      </c>
      <c r="M311" s="149">
        <v>0.39</v>
      </c>
      <c r="N311" s="335">
        <v>585</v>
      </c>
      <c r="O311" s="296">
        <f>1.895-1.78</f>
        <v>0.11499999999999999</v>
      </c>
      <c r="P311" s="345"/>
      <c r="Q311" s="138">
        <v>33.200000000000003</v>
      </c>
      <c r="R311" s="138"/>
      <c r="S311" s="339"/>
      <c r="T311" s="299"/>
      <c r="U311" s="282" t="s">
        <v>117</v>
      </c>
      <c r="V311" s="282" t="s">
        <v>4289</v>
      </c>
      <c r="W311" s="282" t="s">
        <v>208</v>
      </c>
      <c r="X311" s="340" t="s">
        <v>4290</v>
      </c>
      <c r="Y311" s="340" t="s">
        <v>4290</v>
      </c>
      <c r="Z311" s="340" t="s">
        <v>4291</v>
      </c>
      <c r="AA311" s="340">
        <v>44158</v>
      </c>
      <c r="AB311" s="340"/>
      <c r="AC311" s="341"/>
      <c r="AD311" s="342" t="s">
        <v>64</v>
      </c>
      <c r="AE311" s="342" t="s">
        <v>261</v>
      </c>
      <c r="AF311" s="284" t="s">
        <v>3795</v>
      </c>
      <c r="AG311" s="284">
        <v>44126</v>
      </c>
      <c r="AH311" s="284">
        <v>44154</v>
      </c>
      <c r="AI311" s="284"/>
      <c r="AJ311" s="334">
        <f t="shared" ca="1" si="44"/>
        <v>44963</v>
      </c>
      <c r="AK311" s="342">
        <f t="shared" ca="1" si="45"/>
        <v>809</v>
      </c>
      <c r="AL311" s="342" t="e">
        <f t="shared" ca="1" si="46"/>
        <v>#VALUE!</v>
      </c>
      <c r="AM311" s="284"/>
      <c r="AN311" s="284" t="s">
        <v>4292</v>
      </c>
      <c r="AO311" s="343">
        <v>8.0540000000000003</v>
      </c>
      <c r="AP311" s="343">
        <v>8.0839999999999996</v>
      </c>
      <c r="AQ311" s="343">
        <v>8.1089999999999982</v>
      </c>
      <c r="AR311" s="343">
        <v>8.113999999999999</v>
      </c>
      <c r="AS311" s="331" t="e">
        <f t="shared" ca="1" si="47"/>
        <v>#VALUE!</v>
      </c>
      <c r="AV311" s="331" t="s">
        <v>136</v>
      </c>
      <c r="BI311" s="347" t="s">
        <v>3572</v>
      </c>
    </row>
    <row r="312" spans="1:61" s="331" customFormat="1" ht="18" customHeight="1" x14ac:dyDescent="0.35">
      <c r="A312" s="334"/>
      <c r="B312" s="335" t="e">
        <f ca="1">IF(A312="",(IF(ISNUMBER(SUBSTITUTE(LEFT(RIGHT(E312,LEN(E312)-MIN(SEARCH({1,2,3,4,5,6,7,8,9,0},E312&amp;"1234567890"))+1),10),".","/"))=TRUE,AJ312-(SUBSTITUTE(LEFT(RIGHT(E312,LEN(E312)-MIN(SEARCH({1,2,3,4,5,6,7,8,9,0},E312&amp;"1234567890"))+1),10),".","/")),IF((SUBSTITUTE(LEFT(RIGHT(E312,LEN(E312)-MIN(SEARCH({1,2,3,4,5,6,7,8,9,0},E312&amp;"1234567890"))+1),10),".","/"))="","",(AJ312)-(MID(RIGHT((SUBSTITUTE(LEFT(RIGHT(E312,LEN(E312)-MIN(SEARCH({1,2,3,4,5,6,7,8,9,0},E312&amp;"1234567890"))+1),10),".","/")),10),4,2)&amp;"/"&amp;LEFT((RIGHT((SUBSTITUTE(LEFT(RIGHT(E312,LEN(E312)-MIN(SEARCH({1,2,3,4,5,6,7,8,9,0},E312&amp;"1234567890"))+1),10),".","/")),10)),2)&amp;"/"&amp;RIGHT((SUBSTITUTE(LEFT(RIGHT(E312,LEN(E312)-MIN(SEARCH({1,2,3,4,5,6,7,8,9,0},E312&amp;"1234567890"))+1),10),".","/")),4))))),(AJ312-A312))</f>
        <v>#VALUE!</v>
      </c>
      <c r="C312" s="334"/>
      <c r="D312" s="294" t="str">
        <f t="shared" si="48"/>
        <v>FGC-J3/2B-000X33,2</v>
      </c>
      <c r="E312" s="294" t="s">
        <v>4286</v>
      </c>
      <c r="F312" s="294" t="s">
        <v>4293</v>
      </c>
      <c r="G312" s="294" t="s">
        <v>4294</v>
      </c>
      <c r="H312" s="294" t="s">
        <v>29</v>
      </c>
      <c r="I312" s="337" t="s">
        <v>116</v>
      </c>
      <c r="J312" s="149">
        <v>0.75</v>
      </c>
      <c r="K312" s="149">
        <v>0.39</v>
      </c>
      <c r="L312" s="149">
        <v>0.38</v>
      </c>
      <c r="M312" s="149">
        <v>0.4</v>
      </c>
      <c r="N312" s="335">
        <v>585</v>
      </c>
      <c r="O312" s="296">
        <f>1.96-1.85</f>
        <v>0.10999999999999988</v>
      </c>
      <c r="P312" s="345"/>
      <c r="Q312" s="138">
        <v>33.200000000000003</v>
      </c>
      <c r="R312" s="138"/>
      <c r="S312" s="339"/>
      <c r="T312" s="299"/>
      <c r="U312" s="282" t="s">
        <v>117</v>
      </c>
      <c r="V312" s="282" t="s">
        <v>4289</v>
      </c>
      <c r="W312" s="282" t="s">
        <v>208</v>
      </c>
      <c r="X312" s="340" t="s">
        <v>4295</v>
      </c>
      <c r="Y312" s="340" t="s">
        <v>4296</v>
      </c>
      <c r="Z312" s="340" t="s">
        <v>4297</v>
      </c>
      <c r="AA312" s="340">
        <v>44210</v>
      </c>
      <c r="AB312" s="340"/>
      <c r="AC312" s="341"/>
      <c r="AD312" s="342" t="s">
        <v>64</v>
      </c>
      <c r="AE312" s="342" t="s">
        <v>261</v>
      </c>
      <c r="AF312" s="284" t="s">
        <v>286</v>
      </c>
      <c r="AG312" s="284">
        <v>44154</v>
      </c>
      <c r="AH312" s="284">
        <v>44176</v>
      </c>
      <c r="AI312" s="284"/>
      <c r="AJ312" s="334">
        <f t="shared" ref="AJ312:AJ331" ca="1" si="49">TODAY()</f>
        <v>44963</v>
      </c>
      <c r="AK312" s="342">
        <f t="shared" ref="AK312:AK375" ca="1" si="50">IF(AH312&lt;&gt;0,AJ312-AH312,0)</f>
        <v>787</v>
      </c>
      <c r="AL312" s="342" t="e">
        <f t="shared" ca="1" si="46"/>
        <v>#VALUE!</v>
      </c>
      <c r="AM312" s="284" t="s">
        <v>4298</v>
      </c>
      <c r="AN312" s="284" t="s">
        <v>4299</v>
      </c>
      <c r="AO312" s="343">
        <v>8.1560000000000006</v>
      </c>
      <c r="AP312" s="343">
        <v>8.1859999999999999</v>
      </c>
      <c r="AQ312" s="343">
        <v>8.2109999999999985</v>
      </c>
      <c r="AR312" s="343">
        <v>8.2159999999999993</v>
      </c>
      <c r="AS312" s="331" t="e">
        <f t="shared" ca="1" si="47"/>
        <v>#VALUE!</v>
      </c>
      <c r="AV312" s="331" t="s">
        <v>136</v>
      </c>
      <c r="BI312" s="347" t="s">
        <v>3572</v>
      </c>
    </row>
    <row r="313" spans="1:61" s="331" customFormat="1" ht="18" customHeight="1" x14ac:dyDescent="0.35">
      <c r="A313" s="334"/>
      <c r="B313" s="335" t="e">
        <f ca="1">IF(A313="",(IF(ISNUMBER(SUBSTITUTE(LEFT(RIGHT(E313,LEN(E313)-MIN(SEARCH({1,2,3,4,5,6,7,8,9,0},E313&amp;"1234567890"))+1),10),".","/"))=TRUE,AJ313-(SUBSTITUTE(LEFT(RIGHT(E313,LEN(E313)-MIN(SEARCH({1,2,3,4,5,6,7,8,9,0},E313&amp;"1234567890"))+1),10),".","/")),IF((SUBSTITUTE(LEFT(RIGHT(E313,LEN(E313)-MIN(SEARCH({1,2,3,4,5,6,7,8,9,0},E313&amp;"1234567890"))+1),10),".","/"))="","",(AJ313)-(MID(RIGHT((SUBSTITUTE(LEFT(RIGHT(E313,LEN(E313)-MIN(SEARCH({1,2,3,4,5,6,7,8,9,0},E313&amp;"1234567890"))+1),10),".","/")),10),4,2)&amp;"/"&amp;LEFT((RIGHT((SUBSTITUTE(LEFT(RIGHT(E313,LEN(E313)-MIN(SEARCH({1,2,3,4,5,6,7,8,9,0},E313&amp;"1234567890"))+1),10),".","/")),10)),2)&amp;"/"&amp;RIGHT((SUBSTITUTE(LEFT(RIGHT(E313,LEN(E313)-MIN(SEARCH({1,2,3,4,5,6,7,8,9,0},E313&amp;"1234567890"))+1),10),".","/")),4))))),(AJ313-A313))</f>
        <v>#VALUE!</v>
      </c>
      <c r="C313" s="334"/>
      <c r="D313" s="294" t="str">
        <f t="shared" si="48"/>
        <v>FGC-J3/2B-001X47</v>
      </c>
      <c r="E313" s="294" t="s">
        <v>4300</v>
      </c>
      <c r="F313" s="294" t="s">
        <v>4301</v>
      </c>
      <c r="G313" s="294" t="s">
        <v>4302</v>
      </c>
      <c r="H313" s="294" t="s">
        <v>29</v>
      </c>
      <c r="I313" s="337" t="s">
        <v>116</v>
      </c>
      <c r="J313" s="149">
        <v>2.35</v>
      </c>
      <c r="K313" s="149">
        <v>1.1499999999999999</v>
      </c>
      <c r="L313" s="149">
        <v>1.1100000000000001</v>
      </c>
      <c r="M313" s="149">
        <v>1.1299999999999999</v>
      </c>
      <c r="N313" s="335">
        <v>640</v>
      </c>
      <c r="O313" s="296">
        <f>2.475-2.285</f>
        <v>0.18999999999999995</v>
      </c>
      <c r="P313" s="345"/>
      <c r="Q313" s="138">
        <v>47</v>
      </c>
      <c r="R313" s="138"/>
      <c r="S313" s="339"/>
      <c r="T313" s="299"/>
      <c r="U313" s="282" t="s">
        <v>117</v>
      </c>
      <c r="V313" s="282" t="s">
        <v>4303</v>
      </c>
      <c r="W313" s="282" t="s">
        <v>116</v>
      </c>
      <c r="X313" s="340">
        <v>44100</v>
      </c>
      <c r="Y313" s="340">
        <v>44101</v>
      </c>
      <c r="Z313" s="340">
        <v>44102</v>
      </c>
      <c r="AA313" s="340"/>
      <c r="AB313" s="340"/>
      <c r="AC313" s="341"/>
      <c r="AD313" s="342" t="s">
        <v>64</v>
      </c>
      <c r="AE313" s="342" t="s">
        <v>203</v>
      </c>
      <c r="AF313" s="284" t="s">
        <v>4304</v>
      </c>
      <c r="AG313" s="284"/>
      <c r="AH313" s="284">
        <v>44100</v>
      </c>
      <c r="AI313" s="284"/>
      <c r="AJ313" s="334">
        <f t="shared" ca="1" si="49"/>
        <v>44963</v>
      </c>
      <c r="AK313" s="342">
        <f t="shared" ca="1" si="50"/>
        <v>863</v>
      </c>
      <c r="AL313" s="342">
        <f t="shared" ca="1" si="46"/>
        <v>861</v>
      </c>
      <c r="AM313" s="284"/>
      <c r="AN313" s="284" t="s">
        <v>4305</v>
      </c>
      <c r="AO313" s="343">
        <v>10.26</v>
      </c>
      <c r="AP313" s="343">
        <v>10.27</v>
      </c>
      <c r="AQ313" s="343">
        <v>10.294999999999998</v>
      </c>
      <c r="AR313" s="343">
        <v>10.299999999999999</v>
      </c>
      <c r="AS313" s="331">
        <f t="shared" ca="1" si="47"/>
        <v>862</v>
      </c>
      <c r="AV313" s="331" t="s">
        <v>136</v>
      </c>
      <c r="BI313" s="347" t="s">
        <v>3572</v>
      </c>
    </row>
    <row r="314" spans="1:61" s="331" customFormat="1" ht="18" customHeight="1" x14ac:dyDescent="0.35">
      <c r="A314" s="334"/>
      <c r="B314" s="335" t="e">
        <f ca="1">IF(A314="",(IF(ISNUMBER(SUBSTITUTE(LEFT(RIGHT(E314,LEN(E314)-MIN(SEARCH({1,2,3,4,5,6,7,8,9,0},E314&amp;"1234567890"))+1),10),".","/"))=TRUE,AJ314-(SUBSTITUTE(LEFT(RIGHT(E314,LEN(E314)-MIN(SEARCH({1,2,3,4,5,6,7,8,9,0},E314&amp;"1234567890"))+1),10),".","/")),IF((SUBSTITUTE(LEFT(RIGHT(E314,LEN(E314)-MIN(SEARCH({1,2,3,4,5,6,7,8,9,0},E314&amp;"1234567890"))+1),10),".","/"))="","",(AJ314)-(MID(RIGHT((SUBSTITUTE(LEFT(RIGHT(E314,LEN(E314)-MIN(SEARCH({1,2,3,4,5,6,7,8,9,0},E314&amp;"1234567890"))+1),10),".","/")),10),4,2)&amp;"/"&amp;LEFT((RIGHT((SUBSTITUTE(LEFT(RIGHT(E314,LEN(E314)-MIN(SEARCH({1,2,3,4,5,6,7,8,9,0},E314&amp;"1234567890"))+1),10),".","/")),10)),2)&amp;"/"&amp;RIGHT((SUBSTITUTE(LEFT(RIGHT(E314,LEN(E314)-MIN(SEARCH({1,2,3,4,5,6,7,8,9,0},E314&amp;"1234567890"))+1),10),".","/")),4))))),(AJ314-A314))</f>
        <v>#VALUE!</v>
      </c>
      <c r="C314" s="334"/>
      <c r="D314" s="294" t="str">
        <f t="shared" si="48"/>
        <v>FGC-J3/2B-001X85</v>
      </c>
      <c r="E314" s="294" t="s">
        <v>4306</v>
      </c>
      <c r="F314" s="294" t="s">
        <v>4307</v>
      </c>
      <c r="G314" s="294" t="s">
        <v>4308</v>
      </c>
      <c r="H314" s="294" t="s">
        <v>29</v>
      </c>
      <c r="I314" s="337" t="s">
        <v>116</v>
      </c>
      <c r="J314" s="149">
        <v>2.4</v>
      </c>
      <c r="K314" s="149">
        <v>0.95</v>
      </c>
      <c r="L314" s="149">
        <v>0.93</v>
      </c>
      <c r="M314" s="149">
        <v>0.95</v>
      </c>
      <c r="N314" s="335">
        <v>595</v>
      </c>
      <c r="O314" s="296">
        <f>3.895-3.33</f>
        <v>0.56499999999999995</v>
      </c>
      <c r="P314" s="345"/>
      <c r="Q314" s="138">
        <v>85</v>
      </c>
      <c r="R314" s="138"/>
      <c r="S314" s="339"/>
      <c r="T314" s="299"/>
      <c r="U314" s="282" t="s">
        <v>117</v>
      </c>
      <c r="V314" s="282" t="s">
        <v>4309</v>
      </c>
      <c r="W314" s="282" t="s">
        <v>116</v>
      </c>
      <c r="X314" s="340">
        <v>44224</v>
      </c>
      <c r="Y314" s="340">
        <v>44224</v>
      </c>
      <c r="Z314" s="340">
        <v>44226</v>
      </c>
      <c r="AA314" s="340"/>
      <c r="AB314" s="340"/>
      <c r="AC314" s="341"/>
      <c r="AD314" s="342" t="s">
        <v>64</v>
      </c>
      <c r="AE314" s="342" t="s">
        <v>261</v>
      </c>
      <c r="AF314" s="284" t="s">
        <v>4310</v>
      </c>
      <c r="AG314" s="284">
        <v>44141</v>
      </c>
      <c r="AH314" s="284">
        <v>44181</v>
      </c>
      <c r="AI314" s="284"/>
      <c r="AJ314" s="334">
        <f t="shared" ca="1" si="49"/>
        <v>44963</v>
      </c>
      <c r="AK314" s="342">
        <f t="shared" ca="1" si="50"/>
        <v>782</v>
      </c>
      <c r="AL314" s="342">
        <f t="shared" ca="1" si="46"/>
        <v>737</v>
      </c>
      <c r="AM314" s="284" t="s">
        <v>4311</v>
      </c>
      <c r="AN314" s="284" t="s">
        <v>4312</v>
      </c>
      <c r="AO314" s="343">
        <v>8.1219999999999999</v>
      </c>
      <c r="AP314" s="343">
        <v>8.1519999999999992</v>
      </c>
      <c r="AQ314" s="343">
        <v>8.1769999999999978</v>
      </c>
      <c r="AR314" s="343">
        <v>8.1819999999999986</v>
      </c>
      <c r="AS314" s="331">
        <f t="shared" ca="1" si="47"/>
        <v>739</v>
      </c>
      <c r="AV314" s="331" t="s">
        <v>136</v>
      </c>
      <c r="BI314" s="347" t="s">
        <v>3572</v>
      </c>
    </row>
    <row r="315" spans="1:61" s="331" customFormat="1" ht="18" customHeight="1" x14ac:dyDescent="0.35">
      <c r="A315" s="334">
        <v>44300</v>
      </c>
      <c r="B315" s="335">
        <f ca="1">IF(A315="",(IF(ISNUMBER(SUBSTITUTE(LEFT(RIGHT(E315,LEN(E315)-MIN(SEARCH({1,2,3,4,5,6,7,8,9,0},E315&amp;"1234567890"))+1),10),".","/"))=TRUE,AJ315-(SUBSTITUTE(LEFT(RIGHT(E315,LEN(E315)-MIN(SEARCH({1,2,3,4,5,6,7,8,9,0},E315&amp;"1234567890"))+1),10),".","/")),IF((SUBSTITUTE(LEFT(RIGHT(E315,LEN(E315)-MIN(SEARCH({1,2,3,4,5,6,7,8,9,0},E315&amp;"1234567890"))+1),10),".","/"))="","",(AJ315)-(MID(RIGHT((SUBSTITUTE(LEFT(RIGHT(E315,LEN(E315)-MIN(SEARCH({1,2,3,4,5,6,7,8,9,0},E315&amp;"1234567890"))+1),10),".","/")),10),4,2)&amp;"/"&amp;LEFT((RIGHT((SUBSTITUTE(LEFT(RIGHT(E315,LEN(E315)-MIN(SEARCH({1,2,3,4,5,6,7,8,9,0},E315&amp;"1234567890"))+1),10),".","/")),10)),2)&amp;"/"&amp;RIGHT((SUBSTITUTE(LEFT(RIGHT(E315,LEN(E315)-MIN(SEARCH({1,2,3,4,5,6,7,8,9,0},E315&amp;"1234567890"))+1),10),".","/")),4))))),(AJ315-A315))</f>
        <v>663</v>
      </c>
      <c r="C315" s="334"/>
      <c r="D315" s="294" t="str">
        <f t="shared" si="48"/>
        <v>FGC-J1/2B-001X107</v>
      </c>
      <c r="E315" s="294" t="s">
        <v>4313</v>
      </c>
      <c r="F315" s="294" t="s">
        <v>4314</v>
      </c>
      <c r="G315" s="294" t="s">
        <v>4315</v>
      </c>
      <c r="H315" s="294" t="s">
        <v>27</v>
      </c>
      <c r="I315" s="337" t="s">
        <v>116</v>
      </c>
      <c r="J315" s="149">
        <v>0.92</v>
      </c>
      <c r="K315" s="149">
        <v>0.6</v>
      </c>
      <c r="L315" s="149">
        <v>0.6</v>
      </c>
      <c r="M315" s="149">
        <v>0.61</v>
      </c>
      <c r="N315" s="335">
        <v>720</v>
      </c>
      <c r="O315" s="296">
        <v>0.91</v>
      </c>
      <c r="P315" s="374"/>
      <c r="Q315" s="138">
        <v>107</v>
      </c>
      <c r="R315" s="138"/>
      <c r="S315" s="339"/>
      <c r="T315" s="299"/>
      <c r="U315" s="282" t="s">
        <v>117</v>
      </c>
      <c r="V315" s="282" t="s">
        <v>3580</v>
      </c>
      <c r="W315" s="282" t="s">
        <v>116</v>
      </c>
      <c r="X315" s="340">
        <v>44146</v>
      </c>
      <c r="Y315" s="340">
        <v>44147</v>
      </c>
      <c r="Z315" s="340">
        <v>44148</v>
      </c>
      <c r="AA315" s="340" t="s">
        <v>4316</v>
      </c>
      <c r="AB315" s="340"/>
      <c r="AC315" s="341"/>
      <c r="AD315" s="342" t="s">
        <v>116</v>
      </c>
      <c r="AE315" s="342" t="s">
        <v>261</v>
      </c>
      <c r="AF315" s="284" t="s">
        <v>4317</v>
      </c>
      <c r="AG315" s="284">
        <v>44082</v>
      </c>
      <c r="AH315" s="284">
        <v>44103</v>
      </c>
      <c r="AI315" s="284"/>
      <c r="AJ315" s="334">
        <f t="shared" ca="1" si="49"/>
        <v>44963</v>
      </c>
      <c r="AK315" s="342">
        <f t="shared" ca="1" si="50"/>
        <v>860</v>
      </c>
      <c r="AL315" s="342">
        <f t="shared" ca="1" si="46"/>
        <v>815</v>
      </c>
      <c r="AM315" s="284" t="s">
        <v>4318</v>
      </c>
      <c r="AN315" s="284" t="s">
        <v>4319</v>
      </c>
      <c r="AO315" s="343">
        <v>11.757</v>
      </c>
      <c r="AP315" s="343">
        <v>11.786999999999999</v>
      </c>
      <c r="AQ315" s="343">
        <v>11.811999999999998</v>
      </c>
      <c r="AR315" s="343">
        <v>11.816999999999998</v>
      </c>
      <c r="AS315" s="331">
        <f t="shared" ca="1" si="47"/>
        <v>816</v>
      </c>
      <c r="AV315" s="331" t="s">
        <v>136</v>
      </c>
      <c r="BI315" s="347" t="s">
        <v>3584</v>
      </c>
    </row>
    <row r="316" spans="1:61" s="331" customFormat="1" ht="18" customHeight="1" x14ac:dyDescent="0.35">
      <c r="A316" s="334">
        <v>44300</v>
      </c>
      <c r="B316" s="335">
        <f ca="1">IF(A316="",(IF(ISNUMBER(SUBSTITUTE(LEFT(RIGHT(E316,LEN(E316)-MIN(SEARCH({1,2,3,4,5,6,7,8,9,0},E316&amp;"1234567890"))+1),10),".","/"))=TRUE,AJ316-(SUBSTITUTE(LEFT(RIGHT(E316,LEN(E316)-MIN(SEARCH({1,2,3,4,5,6,7,8,9,0},E316&amp;"1234567890"))+1),10),".","/")),IF((SUBSTITUTE(LEFT(RIGHT(E316,LEN(E316)-MIN(SEARCH({1,2,3,4,5,6,7,8,9,0},E316&amp;"1234567890"))+1),10),".","/"))="","",(AJ316)-(MID(RIGHT((SUBSTITUTE(LEFT(RIGHT(E316,LEN(E316)-MIN(SEARCH({1,2,3,4,5,6,7,8,9,0},E316&amp;"1234567890"))+1),10),".","/")),10),4,2)&amp;"/"&amp;LEFT((RIGHT((SUBSTITUTE(LEFT(RIGHT(E316,LEN(E316)-MIN(SEARCH({1,2,3,4,5,6,7,8,9,0},E316&amp;"1234567890"))+1),10),".","/")),10)),2)&amp;"/"&amp;RIGHT((SUBSTITUTE(LEFT(RIGHT(E316,LEN(E316)-MIN(SEARCH({1,2,3,4,5,6,7,8,9,0},E316&amp;"1234567890"))+1),10),".","/")),4))))),(AJ316-A316))</f>
        <v>663</v>
      </c>
      <c r="C316" s="334"/>
      <c r="D316" s="294" t="str">
        <f t="shared" si="48"/>
        <v>FGC-J1/2B-001X107</v>
      </c>
      <c r="E316" s="294" t="s">
        <v>4313</v>
      </c>
      <c r="F316" s="294" t="s">
        <v>4314</v>
      </c>
      <c r="G316" s="294" t="s">
        <v>4320</v>
      </c>
      <c r="H316" s="294" t="s">
        <v>27</v>
      </c>
      <c r="I316" s="337" t="s">
        <v>116</v>
      </c>
      <c r="J316" s="149">
        <v>0.92</v>
      </c>
      <c r="K316" s="149">
        <v>0.6</v>
      </c>
      <c r="L316" s="149">
        <v>0.6</v>
      </c>
      <c r="M316" s="149">
        <v>0.61</v>
      </c>
      <c r="N316" s="335">
        <v>720</v>
      </c>
      <c r="O316" s="296">
        <v>0.88500000000000001</v>
      </c>
      <c r="P316" s="374"/>
      <c r="Q316" s="138">
        <v>107</v>
      </c>
      <c r="R316" s="138"/>
      <c r="S316" s="339"/>
      <c r="T316" s="299"/>
      <c r="U316" s="282" t="s">
        <v>117</v>
      </c>
      <c r="V316" s="282" t="s">
        <v>3580</v>
      </c>
      <c r="W316" s="282" t="s">
        <v>116</v>
      </c>
      <c r="X316" s="340">
        <v>44146</v>
      </c>
      <c r="Y316" s="340">
        <v>44147</v>
      </c>
      <c r="Z316" s="340">
        <v>44148</v>
      </c>
      <c r="AA316" s="340" t="s">
        <v>4316</v>
      </c>
      <c r="AB316" s="340"/>
      <c r="AC316" s="341"/>
      <c r="AD316" s="342" t="s">
        <v>116</v>
      </c>
      <c r="AE316" s="342" t="s">
        <v>261</v>
      </c>
      <c r="AF316" s="284" t="s">
        <v>4317</v>
      </c>
      <c r="AG316" s="284">
        <v>44082</v>
      </c>
      <c r="AH316" s="284">
        <v>44103</v>
      </c>
      <c r="AI316" s="284"/>
      <c r="AJ316" s="334">
        <f t="shared" ca="1" si="49"/>
        <v>44963</v>
      </c>
      <c r="AK316" s="342">
        <f t="shared" ca="1" si="50"/>
        <v>860</v>
      </c>
      <c r="AL316" s="342">
        <f t="shared" ca="1" si="46"/>
        <v>815</v>
      </c>
      <c r="AM316" s="284" t="s">
        <v>4318</v>
      </c>
      <c r="AN316" s="284" t="s">
        <v>4319</v>
      </c>
      <c r="AO316" s="343">
        <v>11.757</v>
      </c>
      <c r="AP316" s="343">
        <v>11.786999999999999</v>
      </c>
      <c r="AQ316" s="343">
        <v>11.811999999999998</v>
      </c>
      <c r="AR316" s="343">
        <v>11.816999999999998</v>
      </c>
      <c r="AS316" s="331">
        <f t="shared" ca="1" si="47"/>
        <v>816</v>
      </c>
      <c r="AV316" s="331" t="s">
        <v>136</v>
      </c>
      <c r="BI316" s="347" t="s">
        <v>3584</v>
      </c>
    </row>
    <row r="317" spans="1:61" s="331" customFormat="1" ht="18" customHeight="1" x14ac:dyDescent="0.35">
      <c r="A317" s="377">
        <v>44300</v>
      </c>
      <c r="B317" s="335">
        <f ca="1">IF(A317="",(IF(ISNUMBER(SUBSTITUTE(LEFT(RIGHT(E317,LEN(E317)-MIN(SEARCH({1,2,3,4,5,6,7,8,9,0},E317&amp;"1234567890"))+1),10),".","/"))=TRUE,AJ317-(SUBSTITUTE(LEFT(RIGHT(E317,LEN(E317)-MIN(SEARCH({1,2,3,4,5,6,7,8,9,0},E317&amp;"1234567890"))+1),10),".","/")),IF((SUBSTITUTE(LEFT(RIGHT(E317,LEN(E317)-MIN(SEARCH({1,2,3,4,5,6,7,8,9,0},E317&amp;"1234567890"))+1),10),".","/"))="","",(AJ317)-(MID(RIGHT((SUBSTITUTE(LEFT(RIGHT(E317,LEN(E317)-MIN(SEARCH({1,2,3,4,5,6,7,8,9,0},E317&amp;"1234567890"))+1),10),".","/")),10),4,2)&amp;"/"&amp;LEFT((RIGHT((SUBSTITUTE(LEFT(RIGHT(E317,LEN(E317)-MIN(SEARCH({1,2,3,4,5,6,7,8,9,0},E317&amp;"1234567890"))+1),10),".","/")),10)),2)&amp;"/"&amp;RIGHT((SUBSTITUTE(LEFT(RIGHT(E317,LEN(E317)-MIN(SEARCH({1,2,3,4,5,6,7,8,9,0},E317&amp;"1234567890"))+1),10),".","/")),4))))),(AJ317-A317))</f>
        <v>663</v>
      </c>
      <c r="C317" s="334"/>
      <c r="D317" s="294" t="str">
        <f t="shared" si="48"/>
        <v>FGC-J3/2B-000X79,2</v>
      </c>
      <c r="E317" s="294" t="s">
        <v>4321</v>
      </c>
      <c r="F317" s="294" t="s">
        <v>4322</v>
      </c>
      <c r="G317" s="294" t="s">
        <v>4323</v>
      </c>
      <c r="H317" s="294" t="s">
        <v>29</v>
      </c>
      <c r="I317" s="337" t="s">
        <v>116</v>
      </c>
      <c r="J317" s="149">
        <v>0.7</v>
      </c>
      <c r="K317" s="149">
        <v>0.35</v>
      </c>
      <c r="L317" s="149">
        <v>0.35</v>
      </c>
      <c r="M317" s="149">
        <v>0.36</v>
      </c>
      <c r="N317" s="335">
        <v>585</v>
      </c>
      <c r="O317" s="296">
        <f>3.785-3.265</f>
        <v>0.52</v>
      </c>
      <c r="P317" s="345"/>
      <c r="Q317" s="138">
        <v>79.2</v>
      </c>
      <c r="R317" s="138"/>
      <c r="S317" s="339"/>
      <c r="T317" s="299"/>
      <c r="U317" s="282" t="s">
        <v>117</v>
      </c>
      <c r="V317" s="282" t="s">
        <v>4324</v>
      </c>
      <c r="W317" s="282" t="s">
        <v>116</v>
      </c>
      <c r="X317" s="340" t="s">
        <v>4325</v>
      </c>
      <c r="Y317" s="340" t="s">
        <v>4326</v>
      </c>
      <c r="Z317" s="340" t="s">
        <v>4326</v>
      </c>
      <c r="AA317" s="340">
        <v>44243</v>
      </c>
      <c r="AB317" s="340"/>
      <c r="AC317" s="341"/>
      <c r="AD317" s="342" t="s">
        <v>64</v>
      </c>
      <c r="AE317" s="342" t="s">
        <v>261</v>
      </c>
      <c r="AF317" s="284" t="s">
        <v>4327</v>
      </c>
      <c r="AG317" s="284">
        <v>44177</v>
      </c>
      <c r="AH317" s="284">
        <v>44214</v>
      </c>
      <c r="AI317" s="284"/>
      <c r="AJ317" s="334">
        <f t="shared" ca="1" si="49"/>
        <v>44963</v>
      </c>
      <c r="AK317" s="342">
        <f t="shared" ca="1" si="50"/>
        <v>749</v>
      </c>
      <c r="AL317" s="342" t="e">
        <f t="shared" ca="1" si="46"/>
        <v>#VALUE!</v>
      </c>
      <c r="AM317" s="284" t="s">
        <v>4328</v>
      </c>
      <c r="AN317" s="284" t="s">
        <v>4329</v>
      </c>
      <c r="AO317" s="343">
        <v>8.1959999999999997</v>
      </c>
      <c r="AP317" s="343">
        <v>8.2359999999999989</v>
      </c>
      <c r="AQ317" s="343">
        <v>8.2609999999999975</v>
      </c>
      <c r="AR317" s="343">
        <v>8.2659999999999982</v>
      </c>
      <c r="AS317" s="331" t="e">
        <f t="shared" ca="1" si="47"/>
        <v>#VALUE!</v>
      </c>
      <c r="AV317" s="331" t="s">
        <v>136</v>
      </c>
      <c r="BI317" s="347" t="s">
        <v>3572</v>
      </c>
    </row>
    <row r="318" spans="1:61" s="331" customFormat="1" ht="18" customHeight="1" x14ac:dyDescent="0.35">
      <c r="A318" s="377">
        <v>44300</v>
      </c>
      <c r="B318" s="335">
        <f ca="1">IF(A318="",(IF(ISNUMBER(SUBSTITUTE(LEFT(RIGHT(E318,LEN(E318)-MIN(SEARCH({1,2,3,4,5,6,7,8,9,0},E318&amp;"1234567890"))+1),10),".","/"))=TRUE,AJ318-(SUBSTITUTE(LEFT(RIGHT(E318,LEN(E318)-MIN(SEARCH({1,2,3,4,5,6,7,8,9,0},E318&amp;"1234567890"))+1),10),".","/")),IF((SUBSTITUTE(LEFT(RIGHT(E318,LEN(E318)-MIN(SEARCH({1,2,3,4,5,6,7,8,9,0},E318&amp;"1234567890"))+1),10),".","/"))="","",(AJ318)-(MID(RIGHT((SUBSTITUTE(LEFT(RIGHT(E318,LEN(E318)-MIN(SEARCH({1,2,3,4,5,6,7,8,9,0},E318&amp;"1234567890"))+1),10),".","/")),10),4,2)&amp;"/"&amp;LEFT((RIGHT((SUBSTITUTE(LEFT(RIGHT(E318,LEN(E318)-MIN(SEARCH({1,2,3,4,5,6,7,8,9,0},E318&amp;"1234567890"))+1),10),".","/")),10)),2)&amp;"/"&amp;RIGHT((SUBSTITUTE(LEFT(RIGHT(E318,LEN(E318)-MIN(SEARCH({1,2,3,4,5,6,7,8,9,0},E318&amp;"1234567890"))+1),10),".","/")),4))))),(AJ318-A318))</f>
        <v>663</v>
      </c>
      <c r="C318" s="334"/>
      <c r="D318" s="294" t="str">
        <f t="shared" si="48"/>
        <v>FGC-J3/2B-000X79</v>
      </c>
      <c r="E318" s="294" t="s">
        <v>4330</v>
      </c>
      <c r="F318" s="294" t="s">
        <v>4331</v>
      </c>
      <c r="G318" s="294" t="s">
        <v>4332</v>
      </c>
      <c r="H318" s="294" t="s">
        <v>29</v>
      </c>
      <c r="I318" s="337" t="s">
        <v>116</v>
      </c>
      <c r="J318" s="149">
        <v>0.7</v>
      </c>
      <c r="K318" s="149">
        <v>0.36</v>
      </c>
      <c r="L318" s="149">
        <v>0.35</v>
      </c>
      <c r="M318" s="149">
        <v>0.36</v>
      </c>
      <c r="N318" s="335">
        <v>585</v>
      </c>
      <c r="O318" s="296">
        <f>2.58-2.225</f>
        <v>0.35499999999999998</v>
      </c>
      <c r="P318" s="345"/>
      <c r="Q318" s="138">
        <v>79</v>
      </c>
      <c r="R318" s="138"/>
      <c r="S318" s="339"/>
      <c r="T318" s="299"/>
      <c r="U318" s="282" t="s">
        <v>117</v>
      </c>
      <c r="V318" s="282" t="s">
        <v>4333</v>
      </c>
      <c r="W318" s="282" t="s">
        <v>116</v>
      </c>
      <c r="X318" s="340" t="s">
        <v>4334</v>
      </c>
      <c r="Y318" s="340" t="s">
        <v>4335</v>
      </c>
      <c r="Z318" s="340" t="s">
        <v>4336</v>
      </c>
      <c r="AA318" s="340">
        <v>44239</v>
      </c>
      <c r="AB318" s="340"/>
      <c r="AC318" s="341"/>
      <c r="AD318" s="342" t="s">
        <v>64</v>
      </c>
      <c r="AE318" s="342" t="s">
        <v>261</v>
      </c>
      <c r="AF318" s="284" t="s">
        <v>4310</v>
      </c>
      <c r="AG318" s="284">
        <v>44141</v>
      </c>
      <c r="AH318" s="284">
        <v>44181</v>
      </c>
      <c r="AI318" s="284"/>
      <c r="AJ318" s="334">
        <f t="shared" ca="1" si="49"/>
        <v>44963</v>
      </c>
      <c r="AK318" s="342">
        <f t="shared" ca="1" si="50"/>
        <v>782</v>
      </c>
      <c r="AL318" s="342" t="e">
        <f t="shared" ca="1" si="46"/>
        <v>#VALUE!</v>
      </c>
      <c r="AM318" s="284" t="s">
        <v>4337</v>
      </c>
      <c r="AN318" s="284" t="s">
        <v>4338</v>
      </c>
      <c r="AO318" s="343">
        <v>8.1210000000000004</v>
      </c>
      <c r="AP318" s="343">
        <v>8.1509999999999998</v>
      </c>
      <c r="AQ318" s="343">
        <v>8.1759999999999984</v>
      </c>
      <c r="AR318" s="343">
        <v>8.1809999999999992</v>
      </c>
      <c r="AS318" s="331" t="e">
        <f t="shared" ca="1" si="47"/>
        <v>#VALUE!</v>
      </c>
      <c r="AV318" s="331" t="s">
        <v>136</v>
      </c>
      <c r="BI318" s="347" t="s">
        <v>4339</v>
      </c>
    </row>
    <row r="319" spans="1:61" s="331" customFormat="1" ht="18" customHeight="1" x14ac:dyDescent="0.35">
      <c r="A319" s="334">
        <v>44350</v>
      </c>
      <c r="B319" s="335">
        <f ca="1">IF(A319="",(IF(ISNUMBER(SUBSTITUTE(LEFT(RIGHT(E319,LEN(E319)-MIN(SEARCH({1,2,3,4,5,6,7,8,9,0},E319&amp;"1234567890"))+1),10),".","/"))=TRUE,AJ319-(SUBSTITUTE(LEFT(RIGHT(E319,LEN(E319)-MIN(SEARCH({1,2,3,4,5,6,7,8,9,0},E319&amp;"1234567890"))+1),10),".","/")),IF((SUBSTITUTE(LEFT(RIGHT(E319,LEN(E319)-MIN(SEARCH({1,2,3,4,5,6,7,8,9,0},E319&amp;"1234567890"))+1),10),".","/"))="","",(AJ319)-(MID(RIGHT((SUBSTITUTE(LEFT(RIGHT(E319,LEN(E319)-MIN(SEARCH({1,2,3,4,5,6,7,8,9,0},E319&amp;"1234567890"))+1),10),".","/")),10),4,2)&amp;"/"&amp;LEFT((RIGHT((SUBSTITUTE(LEFT(RIGHT(E319,LEN(E319)-MIN(SEARCH({1,2,3,4,5,6,7,8,9,0},E319&amp;"1234567890"))+1),10),".","/")),10)),2)&amp;"/"&amp;RIGHT((SUBSTITUTE(LEFT(RIGHT(E319,LEN(E319)-MIN(SEARCH({1,2,3,4,5,6,7,8,9,0},E319&amp;"1234567890"))+1),10),".","/")),4))))),(AJ319-A319))</f>
        <v>613</v>
      </c>
      <c r="C319" s="334"/>
      <c r="D319" s="294" t="str">
        <f t="shared" si="48"/>
        <v>FGC-J3/2B-000X39,1</v>
      </c>
      <c r="E319" s="294" t="s">
        <v>4330</v>
      </c>
      <c r="F319" s="294" t="s">
        <v>4340</v>
      </c>
      <c r="G319" s="294" t="s">
        <v>4341</v>
      </c>
      <c r="H319" s="294" t="s">
        <v>29</v>
      </c>
      <c r="I319" s="337" t="s">
        <v>116</v>
      </c>
      <c r="J319" s="149">
        <v>0.7</v>
      </c>
      <c r="K319" s="149">
        <v>0.36</v>
      </c>
      <c r="L319" s="149">
        <v>0.36</v>
      </c>
      <c r="M319" s="149">
        <v>0.37</v>
      </c>
      <c r="N319" s="335">
        <v>585</v>
      </c>
      <c r="O319" s="296">
        <f>2.565-2.39</f>
        <v>0.17499999999999982</v>
      </c>
      <c r="P319" s="375"/>
      <c r="Q319" s="138">
        <v>39.1</v>
      </c>
      <c r="R319" s="138"/>
      <c r="S319" s="339"/>
      <c r="T319" s="299"/>
      <c r="U319" s="282" t="s">
        <v>117</v>
      </c>
      <c r="V319" s="282" t="s">
        <v>4342</v>
      </c>
      <c r="W319" s="282" t="s">
        <v>116</v>
      </c>
      <c r="X319" s="340" t="s">
        <v>4343</v>
      </c>
      <c r="Y319" s="340" t="s">
        <v>4344</v>
      </c>
      <c r="Z319" s="340" t="s">
        <v>4345</v>
      </c>
      <c r="AA319" s="340">
        <v>44239</v>
      </c>
      <c r="AB319" s="340"/>
      <c r="AC319" s="341"/>
      <c r="AD319" s="342" t="s">
        <v>64</v>
      </c>
      <c r="AE319" s="342" t="s">
        <v>261</v>
      </c>
      <c r="AF319" s="284" t="s">
        <v>4310</v>
      </c>
      <c r="AG319" s="284">
        <v>44141</v>
      </c>
      <c r="AH319" s="284">
        <v>44181</v>
      </c>
      <c r="AI319" s="284"/>
      <c r="AJ319" s="334">
        <f t="shared" ca="1" si="49"/>
        <v>44963</v>
      </c>
      <c r="AK319" s="342">
        <f t="shared" ca="1" si="50"/>
        <v>782</v>
      </c>
      <c r="AL319" s="342" t="e">
        <f t="shared" ca="1" si="46"/>
        <v>#VALUE!</v>
      </c>
      <c r="AM319" s="284" t="s">
        <v>4346</v>
      </c>
      <c r="AN319" s="284" t="s">
        <v>4347</v>
      </c>
      <c r="AO319" s="343">
        <v>8.109</v>
      </c>
      <c r="AP319" s="343">
        <v>8.1389999999999993</v>
      </c>
      <c r="AQ319" s="343">
        <v>8.1639999999999979</v>
      </c>
      <c r="AR319" s="343">
        <v>8.1689999999999987</v>
      </c>
      <c r="AS319" s="331" t="e">
        <f t="shared" ca="1" si="47"/>
        <v>#VALUE!</v>
      </c>
      <c r="AV319" s="331" t="s">
        <v>136</v>
      </c>
      <c r="BI319" s="347" t="s">
        <v>3572</v>
      </c>
    </row>
    <row r="320" spans="1:61" s="331" customFormat="1" ht="18" customHeight="1" x14ac:dyDescent="0.35">
      <c r="A320" s="334">
        <v>44350</v>
      </c>
      <c r="B320" s="335">
        <f ca="1">IF(A320="",(IF(ISNUMBER(SUBSTITUTE(LEFT(RIGHT(E320,LEN(E320)-MIN(SEARCH({1,2,3,4,5,6,7,8,9,0},E320&amp;"1234567890"))+1),10),".","/"))=TRUE,AJ320-(SUBSTITUTE(LEFT(RIGHT(E320,LEN(E320)-MIN(SEARCH({1,2,3,4,5,6,7,8,9,0},E320&amp;"1234567890"))+1),10),".","/")),IF((SUBSTITUTE(LEFT(RIGHT(E320,LEN(E320)-MIN(SEARCH({1,2,3,4,5,6,7,8,9,0},E320&amp;"1234567890"))+1),10),".","/"))="","",(AJ320)-(MID(RIGHT((SUBSTITUTE(LEFT(RIGHT(E320,LEN(E320)-MIN(SEARCH({1,2,3,4,5,6,7,8,9,0},E320&amp;"1234567890"))+1),10),".","/")),10),4,2)&amp;"/"&amp;LEFT((RIGHT((SUBSTITUTE(LEFT(RIGHT(E320,LEN(E320)-MIN(SEARCH({1,2,3,4,5,6,7,8,9,0},E320&amp;"1234567890"))+1),10),".","/")),10)),2)&amp;"/"&amp;RIGHT((SUBSTITUTE(LEFT(RIGHT(E320,LEN(E320)-MIN(SEARCH({1,2,3,4,5,6,7,8,9,0},E320&amp;"1234567890"))+1),10),".","/")),4))))),(AJ320-A320))</f>
        <v>613</v>
      </c>
      <c r="C320" s="334"/>
      <c r="D320" s="294" t="str">
        <f t="shared" si="48"/>
        <v>FGC-304/2B-001X50</v>
      </c>
      <c r="E320" s="294" t="s">
        <v>4348</v>
      </c>
      <c r="F320" s="294" t="s">
        <v>4349</v>
      </c>
      <c r="G320" s="373" t="s">
        <v>4350</v>
      </c>
      <c r="H320" s="294">
        <v>304</v>
      </c>
      <c r="I320" s="337" t="s">
        <v>116</v>
      </c>
      <c r="J320" s="149">
        <v>2.89</v>
      </c>
      <c r="K320" s="149">
        <v>0.8</v>
      </c>
      <c r="L320" s="149">
        <v>0.8</v>
      </c>
      <c r="M320" s="149">
        <v>0.81</v>
      </c>
      <c r="N320" s="335">
        <v>770</v>
      </c>
      <c r="O320" s="296">
        <f>6.78-6.33</f>
        <v>0.45000000000000018</v>
      </c>
      <c r="P320" s="378"/>
      <c r="Q320" s="138">
        <v>50</v>
      </c>
      <c r="R320" s="138"/>
      <c r="S320" s="339"/>
      <c r="T320" s="299"/>
      <c r="U320" s="282" t="s">
        <v>4351</v>
      </c>
      <c r="V320" s="282"/>
      <c r="W320" s="282" t="s">
        <v>116</v>
      </c>
      <c r="X320" s="340">
        <v>44259</v>
      </c>
      <c r="Y320" s="340">
        <v>44259</v>
      </c>
      <c r="Z320" s="340">
        <v>44261</v>
      </c>
      <c r="AA320" s="340"/>
      <c r="AB320" s="340"/>
      <c r="AC320" s="341"/>
      <c r="AD320" s="342" t="s">
        <v>64</v>
      </c>
      <c r="AE320" s="342" t="s">
        <v>154</v>
      </c>
      <c r="AF320" s="284" t="s">
        <v>380</v>
      </c>
      <c r="AG320" s="284"/>
      <c r="AH320" s="284">
        <v>44257</v>
      </c>
      <c r="AI320" s="284"/>
      <c r="AJ320" s="334">
        <f t="shared" ca="1" si="49"/>
        <v>44963</v>
      </c>
      <c r="AK320" s="342">
        <f t="shared" ca="1" si="50"/>
        <v>706</v>
      </c>
      <c r="AL320" s="342"/>
      <c r="AM320" s="284"/>
      <c r="AN320" s="284" t="s">
        <v>4352</v>
      </c>
      <c r="AO320" s="343">
        <v>6.93</v>
      </c>
      <c r="AP320" s="343">
        <v>6.94</v>
      </c>
      <c r="AQ320" s="343">
        <v>6.9650000000000007</v>
      </c>
      <c r="AR320" s="343">
        <v>6.9700000000000006</v>
      </c>
      <c r="AS320" s="331">
        <f t="shared" ca="1" si="47"/>
        <v>704</v>
      </c>
      <c r="AV320" s="331" t="s">
        <v>136</v>
      </c>
      <c r="AX320" s="331">
        <v>304</v>
      </c>
      <c r="BI320" s="347" t="s">
        <v>3572</v>
      </c>
    </row>
    <row r="321" spans="1:61" s="331" customFormat="1" ht="18" customHeight="1" x14ac:dyDescent="0.35">
      <c r="A321" s="334">
        <v>44350</v>
      </c>
      <c r="B321" s="335">
        <f ca="1">IF(A321="",(IF(ISNUMBER(SUBSTITUTE(LEFT(RIGHT(E321,LEN(E321)-MIN(SEARCH({1,2,3,4,5,6,7,8,9,0},E321&amp;"1234567890"))+1),10),".","/"))=TRUE,AJ321-(SUBSTITUTE(LEFT(RIGHT(E321,LEN(E321)-MIN(SEARCH({1,2,3,4,5,6,7,8,9,0},E321&amp;"1234567890"))+1),10),".","/")),IF((SUBSTITUTE(LEFT(RIGHT(E321,LEN(E321)-MIN(SEARCH({1,2,3,4,5,6,7,8,9,0},E321&amp;"1234567890"))+1),10),".","/"))="","",(AJ321)-(MID(RIGHT((SUBSTITUTE(LEFT(RIGHT(E321,LEN(E321)-MIN(SEARCH({1,2,3,4,5,6,7,8,9,0},E321&amp;"1234567890"))+1),10),".","/")),10),4,2)&amp;"/"&amp;LEFT((RIGHT((SUBSTITUTE(LEFT(RIGHT(E321,LEN(E321)-MIN(SEARCH({1,2,3,4,5,6,7,8,9,0},E321&amp;"1234567890"))+1),10),".","/")),10)),2)&amp;"/"&amp;RIGHT((SUBSTITUTE(LEFT(RIGHT(E321,LEN(E321)-MIN(SEARCH({1,2,3,4,5,6,7,8,9,0},E321&amp;"1234567890"))+1),10),".","/")),4))))),(AJ321-A321))</f>
        <v>613</v>
      </c>
      <c r="C321" s="334"/>
      <c r="D321" s="294" t="str">
        <f t="shared" si="48"/>
        <v>FGC-304/2B-001X50</v>
      </c>
      <c r="E321" s="294" t="s">
        <v>4348</v>
      </c>
      <c r="F321" s="294" t="s">
        <v>4353</v>
      </c>
      <c r="G321" s="373" t="s">
        <v>4354</v>
      </c>
      <c r="H321" s="294">
        <v>304</v>
      </c>
      <c r="I321" s="337" t="s">
        <v>116</v>
      </c>
      <c r="J321" s="149">
        <v>2.89</v>
      </c>
      <c r="K321" s="149">
        <v>0.8</v>
      </c>
      <c r="L321" s="149">
        <v>0.8</v>
      </c>
      <c r="M321" s="149">
        <v>0.82</v>
      </c>
      <c r="N321" s="335">
        <v>770</v>
      </c>
      <c r="O321" s="296">
        <f>6.785-6.325</f>
        <v>0.45999999999999996</v>
      </c>
      <c r="P321" s="378"/>
      <c r="Q321" s="138">
        <v>50</v>
      </c>
      <c r="R321" s="138"/>
      <c r="S321" s="339"/>
      <c r="T321" s="299"/>
      <c r="U321" s="282" t="s">
        <v>4351</v>
      </c>
      <c r="V321" s="282"/>
      <c r="W321" s="282" t="s">
        <v>116</v>
      </c>
      <c r="X321" s="340">
        <v>44259</v>
      </c>
      <c r="Y321" s="340">
        <v>44260</v>
      </c>
      <c r="Z321" s="340">
        <v>44261</v>
      </c>
      <c r="AA321" s="340"/>
      <c r="AB321" s="340"/>
      <c r="AC321" s="341"/>
      <c r="AD321" s="342" t="s">
        <v>64</v>
      </c>
      <c r="AE321" s="342" t="s">
        <v>154</v>
      </c>
      <c r="AF321" s="284" t="s">
        <v>380</v>
      </c>
      <c r="AG321" s="284"/>
      <c r="AH321" s="284">
        <v>44257</v>
      </c>
      <c r="AI321" s="284"/>
      <c r="AJ321" s="334">
        <f t="shared" ca="1" si="49"/>
        <v>44963</v>
      </c>
      <c r="AK321" s="342">
        <f t="shared" ca="1" si="50"/>
        <v>706</v>
      </c>
      <c r="AL321" s="342"/>
      <c r="AM321" s="284"/>
      <c r="AN321" s="284" t="s">
        <v>4352</v>
      </c>
      <c r="AO321" s="343">
        <v>6.94</v>
      </c>
      <c r="AP321" s="343">
        <v>6.95</v>
      </c>
      <c r="AQ321" s="343">
        <v>6.9750000000000005</v>
      </c>
      <c r="AR321" s="343">
        <v>6.98</v>
      </c>
      <c r="AS321" s="331">
        <f t="shared" ca="1" si="47"/>
        <v>703</v>
      </c>
      <c r="AV321" s="331" t="s">
        <v>136</v>
      </c>
      <c r="AX321" s="331">
        <v>304</v>
      </c>
      <c r="BI321" s="347" t="s">
        <v>3572</v>
      </c>
    </row>
    <row r="322" spans="1:61" s="331" customFormat="1" ht="18" customHeight="1" x14ac:dyDescent="0.35">
      <c r="A322" s="334">
        <v>44350</v>
      </c>
      <c r="B322" s="335">
        <f ca="1">IF(A322="",(IF(ISNUMBER(SUBSTITUTE(LEFT(RIGHT(E322,LEN(E322)-MIN(SEARCH({1,2,3,4,5,6,7,8,9,0},E322&amp;"1234567890"))+1),10),".","/"))=TRUE,AJ322-(SUBSTITUTE(LEFT(RIGHT(E322,LEN(E322)-MIN(SEARCH({1,2,3,4,5,6,7,8,9,0},E322&amp;"1234567890"))+1),10),".","/")),IF((SUBSTITUTE(LEFT(RIGHT(E322,LEN(E322)-MIN(SEARCH({1,2,3,4,5,6,7,8,9,0},E322&amp;"1234567890"))+1),10),".","/"))="","",(AJ322)-(MID(RIGHT((SUBSTITUTE(LEFT(RIGHT(E322,LEN(E322)-MIN(SEARCH({1,2,3,4,5,6,7,8,9,0},E322&amp;"1234567890"))+1),10),".","/")),10),4,2)&amp;"/"&amp;LEFT((RIGHT((SUBSTITUTE(LEFT(RIGHT(E322,LEN(E322)-MIN(SEARCH({1,2,3,4,5,6,7,8,9,0},E322&amp;"1234567890"))+1),10),".","/")),10)),2)&amp;"/"&amp;RIGHT((SUBSTITUTE(LEFT(RIGHT(E322,LEN(E322)-MIN(SEARCH({1,2,3,4,5,6,7,8,9,0},E322&amp;"1234567890"))+1),10),".","/")),4))))),(AJ322-A322))</f>
        <v>613</v>
      </c>
      <c r="C322" s="334"/>
      <c r="D322" s="294" t="str">
        <f t="shared" si="48"/>
        <v>FGC-J1/2B-001X30</v>
      </c>
      <c r="E322" s="294" t="s">
        <v>4355</v>
      </c>
      <c r="F322" s="294" t="s">
        <v>4356</v>
      </c>
      <c r="G322" s="294" t="s">
        <v>4357</v>
      </c>
      <c r="H322" s="294" t="s">
        <v>27</v>
      </c>
      <c r="I322" s="337" t="s">
        <v>116</v>
      </c>
      <c r="J322" s="149">
        <v>1.1000000000000001</v>
      </c>
      <c r="K322" s="149">
        <v>0.56999999999999995</v>
      </c>
      <c r="L322" s="149">
        <v>0.56000000000000005</v>
      </c>
      <c r="M322" s="149">
        <v>0.56999999999999995</v>
      </c>
      <c r="N322" s="335">
        <v>30</v>
      </c>
      <c r="O322" s="296">
        <v>0.27000000000000046</v>
      </c>
      <c r="P322" s="378"/>
      <c r="Q322" s="138">
        <v>30</v>
      </c>
      <c r="R322" s="138"/>
      <c r="S322" s="339"/>
      <c r="T322" s="299"/>
      <c r="U322" s="282" t="s">
        <v>117</v>
      </c>
      <c r="V322" s="282" t="s">
        <v>3580</v>
      </c>
      <c r="W322" s="282" t="s">
        <v>116</v>
      </c>
      <c r="X322" s="340" t="s">
        <v>4358</v>
      </c>
      <c r="Y322" s="340" t="s">
        <v>4359</v>
      </c>
      <c r="Z322" s="340" t="s">
        <v>4360</v>
      </c>
      <c r="AA322" s="340">
        <v>44283</v>
      </c>
      <c r="AB322" s="340"/>
      <c r="AC322" s="341"/>
      <c r="AD322" s="342" t="s">
        <v>64</v>
      </c>
      <c r="AE322" s="342" t="s">
        <v>203</v>
      </c>
      <c r="AF322" s="284" t="s">
        <v>4361</v>
      </c>
      <c r="AG322" s="284"/>
      <c r="AH322" s="284">
        <v>44015</v>
      </c>
      <c r="AI322" s="284"/>
      <c r="AJ322" s="334">
        <f t="shared" ca="1" si="49"/>
        <v>44963</v>
      </c>
      <c r="AK322" s="342">
        <f t="shared" ca="1" si="50"/>
        <v>948</v>
      </c>
      <c r="AL322" s="342" t="e">
        <f ca="1">IF(ISNUMBER(Z322)=TRUE,AJ322-Z322,IF(Z322="","",(AJ322)-(MID(RIGHT(Z322,10),4,2)&amp;"/"&amp;LEFT((RIGHT(Z322,10)),2)&amp;"/"&amp;RIGHT(Z322,4))))</f>
        <v>#VALUE!</v>
      </c>
      <c r="AM322" s="284"/>
      <c r="AN322" s="284" t="s">
        <v>4362</v>
      </c>
      <c r="AO322" s="343">
        <v>10.414999999999999</v>
      </c>
      <c r="AP322" s="343">
        <v>10.424999999999999</v>
      </c>
      <c r="AQ322" s="343">
        <v>10.449999999999998</v>
      </c>
      <c r="AR322" s="343">
        <v>10.454999999999998</v>
      </c>
      <c r="AS322" s="331" t="e">
        <f t="shared" ca="1" si="47"/>
        <v>#VALUE!</v>
      </c>
      <c r="AV322" s="331" t="s">
        <v>136</v>
      </c>
      <c r="BI322" s="347" t="s">
        <v>3572</v>
      </c>
    </row>
    <row r="323" spans="1:61" s="331" customFormat="1" ht="18" customHeight="1" x14ac:dyDescent="0.35">
      <c r="A323" s="334">
        <v>44350</v>
      </c>
      <c r="B323" s="335">
        <f ca="1">IF(A323="",(IF(ISNUMBER(SUBSTITUTE(LEFT(RIGHT(E323,LEN(E323)-MIN(SEARCH({1,2,3,4,5,6,7,8,9,0},E323&amp;"1234567890"))+1),10),".","/"))=TRUE,AJ323-(SUBSTITUTE(LEFT(RIGHT(E323,LEN(E323)-MIN(SEARCH({1,2,3,4,5,6,7,8,9,0},E323&amp;"1234567890"))+1),10),".","/")),IF((SUBSTITUTE(LEFT(RIGHT(E323,LEN(E323)-MIN(SEARCH({1,2,3,4,5,6,7,8,9,0},E323&amp;"1234567890"))+1),10),".","/"))="","",(AJ323)-(MID(RIGHT((SUBSTITUTE(LEFT(RIGHT(E323,LEN(E323)-MIN(SEARCH({1,2,3,4,5,6,7,8,9,0},E323&amp;"1234567890"))+1),10),".","/")),10),4,2)&amp;"/"&amp;LEFT((RIGHT((SUBSTITUTE(LEFT(RIGHT(E323,LEN(E323)-MIN(SEARCH({1,2,3,4,5,6,7,8,9,0},E323&amp;"1234567890"))+1),10),".","/")),10)),2)&amp;"/"&amp;RIGHT((SUBSTITUTE(LEFT(RIGHT(E323,LEN(E323)-MIN(SEARCH({1,2,3,4,5,6,7,8,9,0},E323&amp;"1234567890"))+1),10),".","/")),4))))),(AJ323-A323))</f>
        <v>613</v>
      </c>
      <c r="C323" s="334"/>
      <c r="D323" s="294" t="str">
        <f t="shared" si="48"/>
        <v>FGC-304/2B-001X93,4</v>
      </c>
      <c r="E323" s="294" t="s">
        <v>4363</v>
      </c>
      <c r="F323" s="294" t="s">
        <v>4364</v>
      </c>
      <c r="G323" s="294" t="s">
        <v>4365</v>
      </c>
      <c r="H323" s="294">
        <v>304</v>
      </c>
      <c r="I323" s="337" t="s">
        <v>116</v>
      </c>
      <c r="J323" s="149">
        <v>1.1499999999999999</v>
      </c>
      <c r="K323" s="149">
        <v>0.6</v>
      </c>
      <c r="L323" s="149">
        <v>0.6</v>
      </c>
      <c r="M323" s="149">
        <v>0.62</v>
      </c>
      <c r="N323" s="335">
        <v>730</v>
      </c>
      <c r="O323" s="296">
        <f>4.45-3.905</f>
        <v>0.54500000000000037</v>
      </c>
      <c r="P323" s="378"/>
      <c r="Q323" s="138">
        <v>93.399999999999977</v>
      </c>
      <c r="R323" s="138"/>
      <c r="S323" s="339"/>
      <c r="T323" s="299"/>
      <c r="U323" s="282" t="s">
        <v>117</v>
      </c>
      <c r="V323" s="282" t="s">
        <v>4366</v>
      </c>
      <c r="W323" s="282" t="s">
        <v>116</v>
      </c>
      <c r="X323" s="340" t="s">
        <v>4367</v>
      </c>
      <c r="Y323" s="340" t="s">
        <v>4368</v>
      </c>
      <c r="Z323" s="340" t="s">
        <v>4369</v>
      </c>
      <c r="AA323" s="340">
        <v>44037</v>
      </c>
      <c r="AB323" s="340"/>
      <c r="AC323" s="341"/>
      <c r="AD323" s="342" t="s">
        <v>64</v>
      </c>
      <c r="AE323" s="342" t="s">
        <v>3542</v>
      </c>
      <c r="AF323" s="284" t="s">
        <v>4124</v>
      </c>
      <c r="AG323" s="284">
        <v>43182</v>
      </c>
      <c r="AH323" s="284">
        <v>43208</v>
      </c>
      <c r="AI323" s="284"/>
      <c r="AJ323" s="334">
        <f t="shared" ca="1" si="49"/>
        <v>44963</v>
      </c>
      <c r="AK323" s="342">
        <f t="shared" ca="1" si="50"/>
        <v>1755</v>
      </c>
      <c r="AL323" s="342">
        <f ca="1">IF(ISNUMBER(Z323)=TRUE,AJ323-Z323,IF(Z323="","",(AJ323)-(MID(RIGHT(Z323,10),4,2)&amp;"/"&amp;LEFT((RIGHT(Z323,10)),2)&amp;"/"&amp;RIGHT(Z323,4))))</f>
        <v>1123</v>
      </c>
      <c r="AM323" s="284"/>
      <c r="AN323" s="284" t="s">
        <v>4364</v>
      </c>
      <c r="AO323" s="343">
        <v>9</v>
      </c>
      <c r="AP323" s="343">
        <v>9.0299999999999994</v>
      </c>
      <c r="AQ323" s="343">
        <v>9.02</v>
      </c>
      <c r="AR323" s="343">
        <v>9.0250000000000004</v>
      </c>
      <c r="AS323" s="331" t="e">
        <f t="shared" ca="1" si="47"/>
        <v>#VALUE!</v>
      </c>
      <c r="AV323" s="331" t="s">
        <v>136</v>
      </c>
      <c r="BI323" s="347" t="s">
        <v>3572</v>
      </c>
    </row>
    <row r="324" spans="1:61" s="331" customFormat="1" ht="18" customHeight="1" x14ac:dyDescent="0.35">
      <c r="A324" s="334">
        <v>44350</v>
      </c>
      <c r="B324" s="335">
        <f ca="1">IF(A324="",(IF(ISNUMBER(SUBSTITUTE(LEFT(RIGHT(E324,LEN(E324)-MIN(SEARCH({1,2,3,4,5,6,7,8,9,0},E324&amp;"1234567890"))+1),10),".","/"))=TRUE,AJ324-(SUBSTITUTE(LEFT(RIGHT(E324,LEN(E324)-MIN(SEARCH({1,2,3,4,5,6,7,8,9,0},E324&amp;"1234567890"))+1),10),".","/")),IF((SUBSTITUTE(LEFT(RIGHT(E324,LEN(E324)-MIN(SEARCH({1,2,3,4,5,6,7,8,9,0},E324&amp;"1234567890"))+1),10),".","/"))="","",(AJ324)-(MID(RIGHT((SUBSTITUTE(LEFT(RIGHT(E324,LEN(E324)-MIN(SEARCH({1,2,3,4,5,6,7,8,9,0},E324&amp;"1234567890"))+1),10),".","/")),10),4,2)&amp;"/"&amp;LEFT((RIGHT((SUBSTITUTE(LEFT(RIGHT(E324,LEN(E324)-MIN(SEARCH({1,2,3,4,5,6,7,8,9,0},E324&amp;"1234567890"))+1),10),".","/")),10)),2)&amp;"/"&amp;RIGHT((SUBSTITUTE(LEFT(RIGHT(E324,LEN(E324)-MIN(SEARCH({1,2,3,4,5,6,7,8,9,0},E324&amp;"1234567890"))+1),10),".","/")),4))))),(AJ324-A324))</f>
        <v>613</v>
      </c>
      <c r="C324" s="334"/>
      <c r="D324" s="294" t="str">
        <f t="shared" si="48"/>
        <v>FGC-304/2B-001X93,4</v>
      </c>
      <c r="E324" s="294" t="s">
        <v>4363</v>
      </c>
      <c r="F324" s="294" t="s">
        <v>4364</v>
      </c>
      <c r="G324" s="294" t="s">
        <v>4370</v>
      </c>
      <c r="H324" s="294">
        <v>304</v>
      </c>
      <c r="I324" s="337" t="s">
        <v>116</v>
      </c>
      <c r="J324" s="149">
        <v>1.1499999999999999</v>
      </c>
      <c r="K324" s="149">
        <v>0.6</v>
      </c>
      <c r="L324" s="149">
        <v>0.6</v>
      </c>
      <c r="M324" s="149">
        <v>0.62</v>
      </c>
      <c r="N324" s="335">
        <v>730</v>
      </c>
      <c r="O324" s="296">
        <f>4.315-3.785</f>
        <v>0.53000000000000025</v>
      </c>
      <c r="P324" s="379"/>
      <c r="Q324" s="138">
        <v>93.399999999999977</v>
      </c>
      <c r="R324" s="138"/>
      <c r="S324" s="339"/>
      <c r="T324" s="299"/>
      <c r="U324" s="282" t="s">
        <v>117</v>
      </c>
      <c r="V324" s="282" t="s">
        <v>4366</v>
      </c>
      <c r="W324" s="282" t="s">
        <v>116</v>
      </c>
      <c r="X324" s="340" t="s">
        <v>4367</v>
      </c>
      <c r="Y324" s="340" t="s">
        <v>4368</v>
      </c>
      <c r="Z324" s="340" t="s">
        <v>4369</v>
      </c>
      <c r="AA324" s="340">
        <v>44037</v>
      </c>
      <c r="AB324" s="340"/>
      <c r="AC324" s="341"/>
      <c r="AD324" s="342" t="s">
        <v>64</v>
      </c>
      <c r="AE324" s="342" t="s">
        <v>3542</v>
      </c>
      <c r="AF324" s="284" t="s">
        <v>4124</v>
      </c>
      <c r="AG324" s="284">
        <v>43182</v>
      </c>
      <c r="AH324" s="284">
        <v>43208</v>
      </c>
      <c r="AI324" s="284"/>
      <c r="AJ324" s="334">
        <f t="shared" ca="1" si="49"/>
        <v>44963</v>
      </c>
      <c r="AK324" s="342">
        <f t="shared" ca="1" si="50"/>
        <v>1755</v>
      </c>
      <c r="AL324" s="342">
        <f ca="1">IF(ISNUMBER(Z324)=TRUE,AJ324-Z324,IF(Z324="","",(AJ324)-(MID(RIGHT(Z324,10),4,2)&amp;"/"&amp;LEFT((RIGHT(Z324,10)),2)&amp;"/"&amp;RIGHT(Z324,4))))</f>
        <v>1123</v>
      </c>
      <c r="AM324" s="284"/>
      <c r="AN324" s="284" t="s">
        <v>4364</v>
      </c>
      <c r="AO324" s="343">
        <v>9</v>
      </c>
      <c r="AP324" s="343">
        <v>9.0299999999999994</v>
      </c>
      <c r="AQ324" s="343">
        <v>9.02</v>
      </c>
      <c r="AR324" s="343">
        <v>9.0250000000000004</v>
      </c>
      <c r="AS324" s="331" t="e">
        <f t="shared" ca="1" si="47"/>
        <v>#VALUE!</v>
      </c>
      <c r="AV324" s="331" t="s">
        <v>136</v>
      </c>
      <c r="BI324" s="347" t="s">
        <v>3572</v>
      </c>
    </row>
    <row r="325" spans="1:61" s="331" customFormat="1" ht="18" customHeight="1" x14ac:dyDescent="0.35">
      <c r="A325" s="334"/>
      <c r="B325" s="335" t="e">
        <f ca="1">IF(A325="",(IF(ISNUMBER(SUBSTITUTE(LEFT(RIGHT(E325,LEN(E325)-MIN(SEARCH({1,2,3,4,5,6,7,8,9,0},E325&amp;"1234567890"))+1),10),".","/"))=TRUE,AJ325-(SUBSTITUTE(LEFT(RIGHT(E325,LEN(E325)-MIN(SEARCH({1,2,3,4,5,6,7,8,9,0},E325&amp;"1234567890"))+1),10),".","/")),IF((SUBSTITUTE(LEFT(RIGHT(E325,LEN(E325)-MIN(SEARCH({1,2,3,4,5,6,7,8,9,0},E325&amp;"1234567890"))+1),10),".","/"))="","",(AJ325)-(MID(RIGHT((SUBSTITUTE(LEFT(RIGHT(E325,LEN(E325)-MIN(SEARCH({1,2,3,4,5,6,7,8,9,0},E325&amp;"1234567890"))+1),10),".","/")),10),4,2)&amp;"/"&amp;LEFT((RIGHT((SUBSTITUTE(LEFT(RIGHT(E325,LEN(E325)-MIN(SEARCH({1,2,3,4,5,6,7,8,9,0},E325&amp;"1234567890"))+1),10),".","/")),10)),2)&amp;"/"&amp;RIGHT((SUBSTITUTE(LEFT(RIGHT(E325,LEN(E325)-MIN(SEARCH({1,2,3,4,5,6,7,8,9,0},E325&amp;"1234567890"))+1),10),".","/")),4))))),(AJ325-A325))</f>
        <v>#VALUE!</v>
      </c>
      <c r="C325" s="334"/>
      <c r="D325" s="294" t="str">
        <f t="shared" si="48"/>
        <v>FGC-304/2B-001X40</v>
      </c>
      <c r="E325" s="294" t="s">
        <v>4371</v>
      </c>
      <c r="F325" s="294" t="s">
        <v>4372</v>
      </c>
      <c r="G325" s="373" t="s">
        <v>4373</v>
      </c>
      <c r="H325" s="294">
        <v>304</v>
      </c>
      <c r="I325" s="337" t="s">
        <v>116</v>
      </c>
      <c r="J325" s="149">
        <v>3.78</v>
      </c>
      <c r="K325" s="149">
        <v>0.99</v>
      </c>
      <c r="L325" s="149">
        <v>0.97</v>
      </c>
      <c r="M325" s="149">
        <v>0.99</v>
      </c>
      <c r="N325" s="335">
        <v>770</v>
      </c>
      <c r="O325" s="296">
        <v>0.64</v>
      </c>
      <c r="P325" s="345"/>
      <c r="Q325" s="138">
        <v>40</v>
      </c>
      <c r="R325" s="138"/>
      <c r="S325" s="339"/>
      <c r="T325" s="299"/>
      <c r="U325" s="282" t="s">
        <v>117</v>
      </c>
      <c r="V325" s="282" t="s">
        <v>4262</v>
      </c>
      <c r="W325" s="282" t="s">
        <v>116</v>
      </c>
      <c r="X325" s="340">
        <v>44307</v>
      </c>
      <c r="Y325" s="340">
        <v>44307</v>
      </c>
      <c r="Z325" s="340">
        <v>44308</v>
      </c>
      <c r="AA325" s="340"/>
      <c r="AB325" s="340"/>
      <c r="AC325" s="341"/>
      <c r="AD325" s="342" t="s">
        <v>64</v>
      </c>
      <c r="AE325" s="342" t="s">
        <v>154</v>
      </c>
      <c r="AF325" s="284" t="s">
        <v>4374</v>
      </c>
      <c r="AG325" s="284"/>
      <c r="AH325" s="284">
        <v>44302</v>
      </c>
      <c r="AI325" s="284"/>
      <c r="AJ325" s="334">
        <f t="shared" ca="1" si="49"/>
        <v>44963</v>
      </c>
      <c r="AK325" s="342">
        <f t="shared" ca="1" si="50"/>
        <v>661</v>
      </c>
      <c r="AL325" s="342"/>
      <c r="AM325" s="284"/>
      <c r="AN325" s="284" t="s">
        <v>4375</v>
      </c>
      <c r="AO325" s="343">
        <v>10.505000000000001</v>
      </c>
      <c r="AP325" s="343">
        <v>10.515000000000001</v>
      </c>
      <c r="AQ325" s="343">
        <v>10.54</v>
      </c>
      <c r="AR325" s="343">
        <v>10.545</v>
      </c>
      <c r="AS325" s="331">
        <f t="shared" ca="1" si="47"/>
        <v>656</v>
      </c>
      <c r="AV325" s="331" t="s">
        <v>136</v>
      </c>
      <c r="BI325" s="347" t="s">
        <v>281</v>
      </c>
    </row>
    <row r="326" spans="1:61" s="331" customFormat="1" ht="18" customHeight="1" x14ac:dyDescent="0.35">
      <c r="A326" s="334"/>
      <c r="B326" s="335" t="e">
        <f ca="1">IF(A326="",(IF(ISNUMBER(SUBSTITUTE(LEFT(RIGHT(E326,LEN(E326)-MIN(SEARCH({1,2,3,4,5,6,7,8,9,0},E326&amp;"1234567890"))+1),10),".","/"))=TRUE,AJ326-(SUBSTITUTE(LEFT(RIGHT(E326,LEN(E326)-MIN(SEARCH({1,2,3,4,5,6,7,8,9,0},E326&amp;"1234567890"))+1),10),".","/")),IF((SUBSTITUTE(LEFT(RIGHT(E326,LEN(E326)-MIN(SEARCH({1,2,3,4,5,6,7,8,9,0},E326&amp;"1234567890"))+1),10),".","/"))="","",(AJ326)-(MID(RIGHT((SUBSTITUTE(LEFT(RIGHT(E326,LEN(E326)-MIN(SEARCH({1,2,3,4,5,6,7,8,9,0},E326&amp;"1234567890"))+1),10),".","/")),10),4,2)&amp;"/"&amp;LEFT((RIGHT((SUBSTITUTE(LEFT(RIGHT(E326,LEN(E326)-MIN(SEARCH({1,2,3,4,5,6,7,8,9,0},E326&amp;"1234567890"))+1),10),".","/")),10)),2)&amp;"/"&amp;RIGHT((SUBSTITUTE(LEFT(RIGHT(E326,LEN(E326)-MIN(SEARCH({1,2,3,4,5,6,7,8,9,0},E326&amp;"1234567890"))+1),10),".","/")),4))))),(AJ326-A326))</f>
        <v>#VALUE!</v>
      </c>
      <c r="C326" s="334"/>
      <c r="D326" s="294" t="str">
        <f t="shared" si="48"/>
        <v>FGC-304/2B-001X83</v>
      </c>
      <c r="E326" s="294" t="s">
        <v>4371</v>
      </c>
      <c r="F326" s="294" t="s">
        <v>4376</v>
      </c>
      <c r="G326" s="373" t="s">
        <v>4377</v>
      </c>
      <c r="H326" s="294">
        <v>304</v>
      </c>
      <c r="I326" s="337" t="s">
        <v>116</v>
      </c>
      <c r="J326" s="149">
        <v>3.78</v>
      </c>
      <c r="K326" s="149">
        <v>0.99</v>
      </c>
      <c r="L326" s="149">
        <v>0.97</v>
      </c>
      <c r="M326" s="149">
        <v>0.98</v>
      </c>
      <c r="N326" s="335">
        <v>770</v>
      </c>
      <c r="O326" s="296">
        <v>1.1000000000000001</v>
      </c>
      <c r="P326" s="345"/>
      <c r="Q326" s="138">
        <v>83</v>
      </c>
      <c r="R326" s="138"/>
      <c r="S326" s="339"/>
      <c r="T326" s="299"/>
      <c r="U326" s="282" t="s">
        <v>117</v>
      </c>
      <c r="V326" s="282" t="s">
        <v>4262</v>
      </c>
      <c r="W326" s="282" t="s">
        <v>116</v>
      </c>
      <c r="X326" s="340">
        <v>44307</v>
      </c>
      <c r="Y326" s="340">
        <v>44308</v>
      </c>
      <c r="Z326" s="340">
        <v>44308</v>
      </c>
      <c r="AA326" s="340"/>
      <c r="AB326" s="340"/>
      <c r="AC326" s="341"/>
      <c r="AD326" s="342" t="s">
        <v>64</v>
      </c>
      <c r="AE326" s="342" t="s">
        <v>154</v>
      </c>
      <c r="AF326" s="284" t="s">
        <v>4374</v>
      </c>
      <c r="AG326" s="284"/>
      <c r="AH326" s="284">
        <v>44302</v>
      </c>
      <c r="AI326" s="284"/>
      <c r="AJ326" s="334">
        <f t="shared" ca="1" si="49"/>
        <v>44963</v>
      </c>
      <c r="AK326" s="342">
        <f t="shared" ca="1" si="50"/>
        <v>661</v>
      </c>
      <c r="AL326" s="342"/>
      <c r="AM326" s="284"/>
      <c r="AN326" s="284" t="s">
        <v>4378</v>
      </c>
      <c r="AO326" s="343">
        <v>10.52</v>
      </c>
      <c r="AP326" s="343">
        <v>10.53</v>
      </c>
      <c r="AQ326" s="343">
        <v>10.554999999999998</v>
      </c>
      <c r="AR326" s="343">
        <v>10.559999999999999</v>
      </c>
      <c r="AS326" s="331">
        <f t="shared" ca="1" si="47"/>
        <v>655</v>
      </c>
      <c r="AV326" s="331" t="s">
        <v>136</v>
      </c>
      <c r="BI326" s="347" t="s">
        <v>281</v>
      </c>
    </row>
    <row r="327" spans="1:61" s="331" customFormat="1" ht="18" customHeight="1" x14ac:dyDescent="0.35">
      <c r="A327" s="334"/>
      <c r="B327" s="335" t="e">
        <f ca="1">IF(A327="",(IF(ISNUMBER(SUBSTITUTE(LEFT(RIGHT(E327,LEN(E327)-MIN(SEARCH({1,2,3,4,5,6,7,8,9,0},E327&amp;"1234567890"))+1),10),".","/"))=TRUE,AJ327-(SUBSTITUTE(LEFT(RIGHT(E327,LEN(E327)-MIN(SEARCH({1,2,3,4,5,6,7,8,9,0},E327&amp;"1234567890"))+1),10),".","/")),IF((SUBSTITUTE(LEFT(RIGHT(E327,LEN(E327)-MIN(SEARCH({1,2,3,4,5,6,7,8,9,0},E327&amp;"1234567890"))+1),10),".","/"))="","",(AJ327)-(MID(RIGHT((SUBSTITUTE(LEFT(RIGHT(E327,LEN(E327)-MIN(SEARCH({1,2,3,4,5,6,7,8,9,0},E327&amp;"1234567890"))+1),10),".","/")),10),4,2)&amp;"/"&amp;LEFT((RIGHT((SUBSTITUTE(LEFT(RIGHT(E327,LEN(E327)-MIN(SEARCH({1,2,3,4,5,6,7,8,9,0},E327&amp;"1234567890"))+1),10),".","/")),10)),2)&amp;"/"&amp;RIGHT((SUBSTITUTE(LEFT(RIGHT(E327,LEN(E327)-MIN(SEARCH({1,2,3,4,5,6,7,8,9,0},E327&amp;"1234567890"))+1),10),".","/")),4))))),(AJ327-A327))</f>
        <v>#VALUE!</v>
      </c>
      <c r="C327" s="334"/>
      <c r="D327" s="294" t="str">
        <f t="shared" si="48"/>
        <v>FGC-304/304L/2B-001X77,8</v>
      </c>
      <c r="E327" s="294" t="s">
        <v>4379</v>
      </c>
      <c r="F327" s="294" t="s">
        <v>4380</v>
      </c>
      <c r="G327" s="373" t="s">
        <v>4381</v>
      </c>
      <c r="H327" s="294" t="s">
        <v>377</v>
      </c>
      <c r="I327" s="337" t="s">
        <v>116</v>
      </c>
      <c r="J327" s="149">
        <v>2.8</v>
      </c>
      <c r="K327" s="149">
        <v>0.78</v>
      </c>
      <c r="L327" s="149">
        <v>0.75</v>
      </c>
      <c r="M327" s="149">
        <v>0.77</v>
      </c>
      <c r="N327" s="335">
        <v>770</v>
      </c>
      <c r="O327" s="296">
        <v>0.29499999999999998</v>
      </c>
      <c r="P327" s="345"/>
      <c r="Q327" s="138">
        <v>77.8</v>
      </c>
      <c r="R327" s="138"/>
      <c r="S327" s="339"/>
      <c r="T327" s="299"/>
      <c r="U327" s="282" t="s">
        <v>117</v>
      </c>
      <c r="V327" s="282" t="s">
        <v>4382</v>
      </c>
      <c r="W327" s="282" t="s">
        <v>116</v>
      </c>
      <c r="X327" s="340">
        <v>44362</v>
      </c>
      <c r="Y327" s="340">
        <v>44362</v>
      </c>
      <c r="Z327" s="340">
        <v>44371</v>
      </c>
      <c r="AA327" s="340"/>
      <c r="AB327" s="340"/>
      <c r="AC327" s="341"/>
      <c r="AD327" s="342" t="s">
        <v>64</v>
      </c>
      <c r="AE327" s="342" t="s">
        <v>154</v>
      </c>
      <c r="AF327" s="284" t="s">
        <v>874</v>
      </c>
      <c r="AG327" s="284"/>
      <c r="AH327" s="284">
        <v>44353</v>
      </c>
      <c r="AI327" s="284"/>
      <c r="AJ327" s="334">
        <f t="shared" ca="1" si="49"/>
        <v>44963</v>
      </c>
      <c r="AK327" s="342">
        <f t="shared" ca="1" si="50"/>
        <v>610</v>
      </c>
      <c r="AL327" s="342"/>
      <c r="AM327" s="284"/>
      <c r="AN327" s="284" t="s">
        <v>4383</v>
      </c>
      <c r="AO327" s="343">
        <v>10.455</v>
      </c>
      <c r="AP327" s="343">
        <v>10.465</v>
      </c>
      <c r="AQ327" s="343">
        <v>10.489999999999998</v>
      </c>
      <c r="AR327" s="343">
        <v>10.494999999999999</v>
      </c>
      <c r="AS327" s="331">
        <f t="shared" ca="1" si="47"/>
        <v>601</v>
      </c>
      <c r="AV327" s="331" t="s">
        <v>136</v>
      </c>
      <c r="BI327" s="347" t="s">
        <v>174</v>
      </c>
    </row>
    <row r="328" spans="1:61" s="331" customFormat="1" ht="18" customHeight="1" x14ac:dyDescent="0.35">
      <c r="A328" s="334">
        <v>44417</v>
      </c>
      <c r="B328" s="335">
        <f ca="1">IF(A328="",(IF(ISNUMBER(SUBSTITUTE(LEFT(RIGHT(E328,LEN(E328)-MIN(SEARCH({1,2,3,4,5,6,7,8,9,0},E328&amp;"1234567890"))+1),10),".","/"))=TRUE,AJ328-(SUBSTITUTE(LEFT(RIGHT(E328,LEN(E328)-MIN(SEARCH({1,2,3,4,5,6,7,8,9,0},E328&amp;"1234567890"))+1),10),".","/")),IF((SUBSTITUTE(LEFT(RIGHT(E328,LEN(E328)-MIN(SEARCH({1,2,3,4,5,6,7,8,9,0},E328&amp;"1234567890"))+1),10),".","/"))="","",(AJ328)-(MID(RIGHT((SUBSTITUTE(LEFT(RIGHT(E328,LEN(E328)-MIN(SEARCH({1,2,3,4,5,6,7,8,9,0},E328&amp;"1234567890"))+1),10),".","/")),10),4,2)&amp;"/"&amp;LEFT((RIGHT((SUBSTITUTE(LEFT(RIGHT(E328,LEN(E328)-MIN(SEARCH({1,2,3,4,5,6,7,8,9,0},E328&amp;"1234567890"))+1),10),".","/")),10)),2)&amp;"/"&amp;RIGHT((SUBSTITUTE(LEFT(RIGHT(E328,LEN(E328)-MIN(SEARCH({1,2,3,4,5,6,7,8,9,0},E328&amp;"1234567890"))+1),10),".","/")),4))))),(AJ328-A328))</f>
        <v>546</v>
      </c>
      <c r="C328" s="334"/>
      <c r="D328" s="294" t="str">
        <f t="shared" si="48"/>
        <v>FGC-304/2B-002X49</v>
      </c>
      <c r="E328" s="294" t="s">
        <v>4384</v>
      </c>
      <c r="F328" s="294" t="s">
        <v>4385</v>
      </c>
      <c r="G328" s="294" t="s">
        <v>4386</v>
      </c>
      <c r="H328" s="294">
        <v>304</v>
      </c>
      <c r="I328" s="337" t="s">
        <v>116</v>
      </c>
      <c r="J328" s="149">
        <v>3.78</v>
      </c>
      <c r="K328" s="149">
        <v>1.76</v>
      </c>
      <c r="L328" s="149">
        <v>1.72</v>
      </c>
      <c r="M328" s="149">
        <v>1.75</v>
      </c>
      <c r="N328" s="335">
        <v>770</v>
      </c>
      <c r="O328" s="296">
        <f>5.255-4.905</f>
        <v>0.34999999999999964</v>
      </c>
      <c r="P328" s="345"/>
      <c r="Q328" s="138">
        <v>49</v>
      </c>
      <c r="R328" s="138"/>
      <c r="S328" s="339"/>
      <c r="T328" s="299"/>
      <c r="U328" s="282" t="s">
        <v>117</v>
      </c>
      <c r="V328" s="282" t="s">
        <v>4387</v>
      </c>
      <c r="W328" s="282" t="s">
        <v>116</v>
      </c>
      <c r="X328" s="340">
        <v>44401</v>
      </c>
      <c r="Y328" s="340">
        <v>44401</v>
      </c>
      <c r="Z328" s="340">
        <v>44404</v>
      </c>
      <c r="AA328" s="340"/>
      <c r="AB328" s="340"/>
      <c r="AC328" s="341"/>
      <c r="AD328" s="342" t="s">
        <v>64</v>
      </c>
      <c r="AE328" s="342" t="s">
        <v>154</v>
      </c>
      <c r="AF328" s="284" t="s">
        <v>2816</v>
      </c>
      <c r="AG328" s="284"/>
      <c r="AH328" s="284">
        <v>44388</v>
      </c>
      <c r="AI328" s="284"/>
      <c r="AJ328" s="334">
        <f t="shared" ca="1" si="49"/>
        <v>44963</v>
      </c>
      <c r="AK328" s="342">
        <f t="shared" ca="1" si="50"/>
        <v>575</v>
      </c>
      <c r="AL328" s="342"/>
      <c r="AM328" s="284"/>
      <c r="AN328" s="284" t="s">
        <v>4388</v>
      </c>
      <c r="AO328" s="343">
        <v>10.44</v>
      </c>
      <c r="AP328" s="343">
        <v>10.45</v>
      </c>
      <c r="AQ328" s="343">
        <v>10.474999999999998</v>
      </c>
      <c r="AR328" s="343">
        <v>10.479999999999999</v>
      </c>
      <c r="AS328" s="331">
        <f t="shared" ca="1" si="47"/>
        <v>562</v>
      </c>
      <c r="AV328" s="331" t="s">
        <v>136</v>
      </c>
      <c r="BI328" s="347" t="s">
        <v>174</v>
      </c>
    </row>
    <row r="329" spans="1:61" s="331" customFormat="1" ht="18" customHeight="1" x14ac:dyDescent="0.35">
      <c r="A329" s="334">
        <v>44417</v>
      </c>
      <c r="B329" s="335">
        <f ca="1">IF(A329="",(IF(ISNUMBER(SUBSTITUTE(LEFT(RIGHT(E329,LEN(E329)-MIN(SEARCH({1,2,3,4,5,6,7,8,9,0},E329&amp;"1234567890"))+1),10),".","/"))=TRUE,AJ329-(SUBSTITUTE(LEFT(RIGHT(E329,LEN(E329)-MIN(SEARCH({1,2,3,4,5,6,7,8,9,0},E329&amp;"1234567890"))+1),10),".","/")),IF((SUBSTITUTE(LEFT(RIGHT(E329,LEN(E329)-MIN(SEARCH({1,2,3,4,5,6,7,8,9,0},E329&amp;"1234567890"))+1),10),".","/"))="","",(AJ329)-(MID(RIGHT((SUBSTITUTE(LEFT(RIGHT(E329,LEN(E329)-MIN(SEARCH({1,2,3,4,5,6,7,8,9,0},E329&amp;"1234567890"))+1),10),".","/")),10),4,2)&amp;"/"&amp;LEFT((RIGHT((SUBSTITUTE(LEFT(RIGHT(E329,LEN(E329)-MIN(SEARCH({1,2,3,4,5,6,7,8,9,0},E329&amp;"1234567890"))+1),10),".","/")),10)),2)&amp;"/"&amp;RIGHT((SUBSTITUTE(LEFT(RIGHT(E329,LEN(E329)-MIN(SEARCH({1,2,3,4,5,6,7,8,9,0},E329&amp;"1234567890"))+1),10),".","/")),4))))),(AJ329-A329))</f>
        <v>546</v>
      </c>
      <c r="C329" s="334"/>
      <c r="D329" s="294" t="str">
        <f t="shared" si="48"/>
        <v>FGC-304/2B-002X49</v>
      </c>
      <c r="E329" s="294" t="s">
        <v>4384</v>
      </c>
      <c r="F329" s="294" t="s">
        <v>4389</v>
      </c>
      <c r="G329" s="294" t="s">
        <v>4390</v>
      </c>
      <c r="H329" s="294">
        <v>304</v>
      </c>
      <c r="I329" s="337" t="s">
        <v>116</v>
      </c>
      <c r="J329" s="149">
        <v>3.79</v>
      </c>
      <c r="K329" s="149">
        <v>1.76</v>
      </c>
      <c r="L329" s="149">
        <v>1.7</v>
      </c>
      <c r="M329" s="149">
        <v>1.73</v>
      </c>
      <c r="N329" s="335">
        <v>770</v>
      </c>
      <c r="O329" s="296">
        <f>5.8-5.46</f>
        <v>0.33999999999999986</v>
      </c>
      <c r="P329" s="345"/>
      <c r="Q329" s="138">
        <v>49</v>
      </c>
      <c r="R329" s="138"/>
      <c r="S329" s="339"/>
      <c r="T329" s="299"/>
      <c r="U329" s="282" t="s">
        <v>117</v>
      </c>
      <c r="V329" s="282" t="s">
        <v>4387</v>
      </c>
      <c r="W329" s="282" t="s">
        <v>116</v>
      </c>
      <c r="X329" s="340">
        <v>44400</v>
      </c>
      <c r="Y329" s="340">
        <v>44400</v>
      </c>
      <c r="Z329" s="340">
        <v>44403</v>
      </c>
      <c r="AA329" s="340"/>
      <c r="AB329" s="340"/>
      <c r="AC329" s="341"/>
      <c r="AD329" s="342" t="s">
        <v>64</v>
      </c>
      <c r="AE329" s="342" t="s">
        <v>154</v>
      </c>
      <c r="AF329" s="284" t="s">
        <v>874</v>
      </c>
      <c r="AG329" s="284"/>
      <c r="AH329" s="284">
        <v>44388</v>
      </c>
      <c r="AI329" s="284"/>
      <c r="AJ329" s="334">
        <f t="shared" ca="1" si="49"/>
        <v>44963</v>
      </c>
      <c r="AK329" s="342">
        <f t="shared" ca="1" si="50"/>
        <v>575</v>
      </c>
      <c r="AL329" s="342"/>
      <c r="AM329" s="284"/>
      <c r="AN329" s="284" t="s">
        <v>4391</v>
      </c>
      <c r="AO329" s="343">
        <v>12.035</v>
      </c>
      <c r="AP329" s="343">
        <v>12.045</v>
      </c>
      <c r="AQ329" s="343">
        <v>12.069999999999999</v>
      </c>
      <c r="AR329" s="343">
        <v>12.074999999999999</v>
      </c>
      <c r="AS329" s="331">
        <f t="shared" ca="1" si="47"/>
        <v>563</v>
      </c>
      <c r="AV329" s="331" t="s">
        <v>136</v>
      </c>
      <c r="BI329" s="347" t="s">
        <v>174</v>
      </c>
    </row>
    <row r="330" spans="1:61" s="331" customFormat="1" ht="18" customHeight="1" x14ac:dyDescent="0.35">
      <c r="A330" s="334"/>
      <c r="B330" s="335" t="e">
        <f ca="1">IF(A330="",(IF(ISNUMBER(SUBSTITUTE(LEFT(RIGHT(E330,LEN(E330)-MIN(SEARCH({1,2,3,4,5,6,7,8,9,0},E330&amp;"1234567890"))+1),10),".","/"))=TRUE,AJ330-(SUBSTITUTE(LEFT(RIGHT(E330,LEN(E330)-MIN(SEARCH({1,2,3,4,5,6,7,8,9,0},E330&amp;"1234567890"))+1),10),".","/")),IF((SUBSTITUTE(LEFT(RIGHT(E330,LEN(E330)-MIN(SEARCH({1,2,3,4,5,6,7,8,9,0},E330&amp;"1234567890"))+1),10),".","/"))="","",(AJ330)-(MID(RIGHT((SUBSTITUTE(LEFT(RIGHT(E330,LEN(E330)-MIN(SEARCH({1,2,3,4,5,6,7,8,9,0},E330&amp;"1234567890"))+1),10),".","/")),10),4,2)&amp;"/"&amp;LEFT((RIGHT((SUBSTITUTE(LEFT(RIGHT(E330,LEN(E330)-MIN(SEARCH({1,2,3,4,5,6,7,8,9,0},E330&amp;"1234567890"))+1),10),".","/")),10)),2)&amp;"/"&amp;RIGHT((SUBSTITUTE(LEFT(RIGHT(E330,LEN(E330)-MIN(SEARCH({1,2,3,4,5,6,7,8,9,0},E330&amp;"1234567890"))+1),10),".","/")),4))))),(AJ330-A330))</f>
        <v>#VALUE!</v>
      </c>
      <c r="C330" s="334"/>
      <c r="D330" s="294" t="str">
        <f t="shared" si="48"/>
        <v>FGC-304/2B-002X49</v>
      </c>
      <c r="E330" s="294" t="s">
        <v>4392</v>
      </c>
      <c r="F330" s="294" t="s">
        <v>4385</v>
      </c>
      <c r="G330" s="294" t="s">
        <v>4393</v>
      </c>
      <c r="H330" s="294">
        <v>304</v>
      </c>
      <c r="I330" s="337" t="s">
        <v>116</v>
      </c>
      <c r="J330" s="149">
        <v>3.78</v>
      </c>
      <c r="K330" s="149">
        <v>1.76</v>
      </c>
      <c r="L330" s="149">
        <v>1.72</v>
      </c>
      <c r="M330" s="149">
        <v>1.76</v>
      </c>
      <c r="N330" s="335">
        <v>770</v>
      </c>
      <c r="O330" s="296">
        <f>4.335-4.045</f>
        <v>0.29000000000000004</v>
      </c>
      <c r="P330" s="345"/>
      <c r="Q330" s="138">
        <v>49</v>
      </c>
      <c r="R330" s="366"/>
      <c r="S330" s="339"/>
      <c r="T330" s="299"/>
      <c r="U330" s="282" t="s">
        <v>117</v>
      </c>
      <c r="V330" s="282" t="s">
        <v>4387</v>
      </c>
      <c r="W330" s="282" t="s">
        <v>116</v>
      </c>
      <c r="X330" s="340">
        <v>44401</v>
      </c>
      <c r="Y330" s="340">
        <v>44401</v>
      </c>
      <c r="Z330" s="340">
        <v>44402</v>
      </c>
      <c r="AA330" s="340"/>
      <c r="AB330" s="340"/>
      <c r="AC330" s="341"/>
      <c r="AD330" s="342" t="s">
        <v>64</v>
      </c>
      <c r="AE330" s="342" t="s">
        <v>154</v>
      </c>
      <c r="AF330" s="284" t="s">
        <v>2816</v>
      </c>
      <c r="AG330" s="284"/>
      <c r="AH330" s="284">
        <v>44388</v>
      </c>
      <c r="AI330" s="284"/>
      <c r="AJ330" s="334">
        <f t="shared" ca="1" si="49"/>
        <v>44963</v>
      </c>
      <c r="AK330" s="342">
        <f t="shared" ca="1" si="50"/>
        <v>575</v>
      </c>
      <c r="AL330" s="342"/>
      <c r="AM330" s="284"/>
      <c r="AN330" s="284" t="s">
        <v>4388</v>
      </c>
      <c r="AO330" s="343">
        <v>10.44</v>
      </c>
      <c r="AP330" s="343">
        <v>10.45</v>
      </c>
      <c r="AQ330" s="343">
        <v>10.474999999999998</v>
      </c>
      <c r="AR330" s="343">
        <v>10.479999999999999</v>
      </c>
      <c r="AS330" s="331">
        <f t="shared" ref="AS330:AS335" ca="1" si="51">IF(ISNUMBER(Y330)=TRUE,AJ330-Y330,IF(Y330="","",(AJ330)-(MID(RIGHT(Y330,10),4,2)&amp;"/"&amp;LEFT((RIGHT(Y330,10)),2)&amp;"/"&amp;RIGHT(Y330,4))))</f>
        <v>562</v>
      </c>
      <c r="AV330" s="331" t="s">
        <v>136</v>
      </c>
      <c r="BI330" s="347" t="s">
        <v>174</v>
      </c>
    </row>
    <row r="331" spans="1:61" s="331" customFormat="1" ht="18" customHeight="1" x14ac:dyDescent="0.35">
      <c r="A331" s="334">
        <v>44417</v>
      </c>
      <c r="B331" s="335">
        <f ca="1">IF(A331="",(IF(ISNUMBER(SUBSTITUTE(LEFT(RIGHT(E331,LEN(E331)-MIN(SEARCH({1,2,3,4,5,6,7,8,9,0},E331&amp;"1234567890"))+1),10),".","/"))=TRUE,AJ331-(SUBSTITUTE(LEFT(RIGHT(E331,LEN(E331)-MIN(SEARCH({1,2,3,4,5,6,7,8,9,0},E331&amp;"1234567890"))+1),10),".","/")),IF((SUBSTITUTE(LEFT(RIGHT(E331,LEN(E331)-MIN(SEARCH({1,2,3,4,5,6,7,8,9,0},E331&amp;"1234567890"))+1),10),".","/"))="","",(AJ331)-(MID(RIGHT((SUBSTITUTE(LEFT(RIGHT(E331,LEN(E331)-MIN(SEARCH({1,2,3,4,5,6,7,8,9,0},E331&amp;"1234567890"))+1),10),".","/")),10),4,2)&amp;"/"&amp;LEFT((RIGHT((SUBSTITUTE(LEFT(RIGHT(E331,LEN(E331)-MIN(SEARCH({1,2,3,4,5,6,7,8,9,0},E331&amp;"1234567890"))+1),10),".","/")),10)),2)&amp;"/"&amp;RIGHT((SUBSTITUTE(LEFT(RIGHT(E331,LEN(E331)-MIN(SEARCH({1,2,3,4,5,6,7,8,9,0},E331&amp;"1234567890"))+1),10),".","/")),4))))),(AJ331-A331))</f>
        <v>546</v>
      </c>
      <c r="C331" s="334"/>
      <c r="D331" s="294" t="str">
        <f t="shared" si="48"/>
        <v>FGC-304/2B-002X49</v>
      </c>
      <c r="E331" s="294" t="s">
        <v>4384</v>
      </c>
      <c r="F331" s="294" t="s">
        <v>4389</v>
      </c>
      <c r="G331" s="294" t="s">
        <v>4394</v>
      </c>
      <c r="H331" s="294">
        <v>304</v>
      </c>
      <c r="I331" s="337" t="s">
        <v>116</v>
      </c>
      <c r="J331" s="149">
        <v>3.79</v>
      </c>
      <c r="K331" s="149">
        <v>1.76</v>
      </c>
      <c r="L331" s="149">
        <v>1.7</v>
      </c>
      <c r="M331" s="149">
        <v>1.73</v>
      </c>
      <c r="N331" s="335">
        <v>770</v>
      </c>
      <c r="O331" s="296">
        <f>6.035-5.67</f>
        <v>0.36500000000000021</v>
      </c>
      <c r="P331" s="345"/>
      <c r="Q331" s="138">
        <v>49</v>
      </c>
      <c r="R331" s="138"/>
      <c r="S331" s="339"/>
      <c r="T331" s="299"/>
      <c r="U331" s="282" t="s">
        <v>117</v>
      </c>
      <c r="V331" s="282" t="s">
        <v>4387</v>
      </c>
      <c r="W331" s="282" t="s">
        <v>116</v>
      </c>
      <c r="X331" s="340">
        <v>44400</v>
      </c>
      <c r="Y331" s="340">
        <v>44400</v>
      </c>
      <c r="Z331" s="340">
        <v>44403</v>
      </c>
      <c r="AA331" s="340"/>
      <c r="AB331" s="340"/>
      <c r="AC331" s="341"/>
      <c r="AD331" s="342" t="s">
        <v>64</v>
      </c>
      <c r="AE331" s="342" t="s">
        <v>154</v>
      </c>
      <c r="AF331" s="284" t="s">
        <v>874</v>
      </c>
      <c r="AG331" s="284"/>
      <c r="AH331" s="284">
        <v>44388</v>
      </c>
      <c r="AI331" s="284"/>
      <c r="AJ331" s="334">
        <f t="shared" ca="1" si="49"/>
        <v>44963</v>
      </c>
      <c r="AK331" s="342">
        <f t="shared" ca="1" si="50"/>
        <v>575</v>
      </c>
      <c r="AL331" s="342"/>
      <c r="AM331" s="284"/>
      <c r="AN331" s="284" t="s">
        <v>4391</v>
      </c>
      <c r="AO331" s="343">
        <v>12.035</v>
      </c>
      <c r="AP331" s="343">
        <v>12.045</v>
      </c>
      <c r="AQ331" s="343">
        <v>12.069999999999999</v>
      </c>
      <c r="AR331" s="343">
        <v>12.074999999999999</v>
      </c>
      <c r="AS331" s="331">
        <f t="shared" ca="1" si="51"/>
        <v>563</v>
      </c>
      <c r="AV331" s="331" t="s">
        <v>136</v>
      </c>
      <c r="BI331" s="347" t="s">
        <v>174</v>
      </c>
    </row>
    <row r="332" spans="1:61" s="331" customFormat="1" ht="18" customHeight="1" x14ac:dyDescent="0.35">
      <c r="A332" s="334">
        <v>44608</v>
      </c>
      <c r="B332" s="335">
        <f ca="1">IF(A332="",(IF(ISNUMBER(SUBSTITUTE(LEFT(RIGHT(E332,LEN(E332)-MIN(SEARCH({1,2,3,4,5,6,7,8,9,0},E332&amp;"1234567890"))+1),10),".","/"))=TRUE,AJ332-(SUBSTITUTE(LEFT(RIGHT(E332,LEN(E332)-MIN(SEARCH({1,2,3,4,5,6,7,8,9,0},E332&amp;"1234567890"))+1),10),".","/")),IF((SUBSTITUTE(LEFT(RIGHT(E332,LEN(E332)-MIN(SEARCH({1,2,3,4,5,6,7,8,9,0},E332&amp;"1234567890"))+1),10),".","/"))="","",(AJ332)-(MID(RIGHT((SUBSTITUTE(LEFT(RIGHT(E332,LEN(E332)-MIN(SEARCH({1,2,3,4,5,6,7,8,9,0},E332&amp;"1234567890"))+1),10),".","/")),10),4,2)&amp;"/"&amp;LEFT((RIGHT((SUBSTITUTE(LEFT(RIGHT(E332,LEN(E332)-MIN(SEARCH({1,2,3,4,5,6,7,8,9,0},E332&amp;"1234567890"))+1),10),".","/")),10)),2)&amp;"/"&amp;RIGHT((SUBSTITUTE(LEFT(RIGHT(E332,LEN(E332)-MIN(SEARCH({1,2,3,4,5,6,7,8,9,0},E332&amp;"1234567890"))+1),10),".","/")),4))))),(AJ332-A332))</f>
        <v>355</v>
      </c>
      <c r="C332" s="334"/>
      <c r="D332" s="294" t="str">
        <f t="shared" si="48"/>
        <v>FGM-304/FH-001X770</v>
      </c>
      <c r="E332" s="294" t="s">
        <v>4395</v>
      </c>
      <c r="F332" s="294" t="s">
        <v>4396</v>
      </c>
      <c r="G332" s="294" t="s">
        <v>4397</v>
      </c>
      <c r="H332" s="294">
        <v>304</v>
      </c>
      <c r="I332" s="337" t="s">
        <v>65</v>
      </c>
      <c r="J332" s="149">
        <v>0.98</v>
      </c>
      <c r="K332" s="149">
        <v>0.5</v>
      </c>
      <c r="L332" s="297"/>
      <c r="M332" s="149"/>
      <c r="N332" s="335">
        <v>770</v>
      </c>
      <c r="O332" s="296">
        <v>1.7549999999999999</v>
      </c>
      <c r="P332" s="345">
        <v>1.7749999999999999</v>
      </c>
      <c r="Q332" s="138" t="s">
        <v>3598</v>
      </c>
      <c r="R332" s="138">
        <f>385*2</f>
        <v>770</v>
      </c>
      <c r="S332" s="339"/>
      <c r="T332" s="299"/>
      <c r="U332" s="282" t="s">
        <v>4398</v>
      </c>
      <c r="V332" s="282" t="s">
        <v>629</v>
      </c>
      <c r="W332" s="138" t="s">
        <v>116</v>
      </c>
      <c r="X332" s="340" t="s">
        <v>4399</v>
      </c>
      <c r="Y332" s="340" t="s">
        <v>4400</v>
      </c>
      <c r="Z332" s="340">
        <v>44400</v>
      </c>
      <c r="AA332" s="340">
        <v>44400</v>
      </c>
      <c r="AB332" s="340"/>
      <c r="AC332" s="341"/>
      <c r="AD332" s="342" t="s">
        <v>64</v>
      </c>
      <c r="AE332" s="342" t="s">
        <v>154</v>
      </c>
      <c r="AF332" s="284" t="s">
        <v>868</v>
      </c>
      <c r="AG332" s="284"/>
      <c r="AH332" s="284">
        <v>44388</v>
      </c>
      <c r="AI332" s="284"/>
      <c r="AJ332" s="334">
        <f ca="1">TODAY()</f>
        <v>44963</v>
      </c>
      <c r="AK332" s="342">
        <f t="shared" ca="1" si="50"/>
        <v>575</v>
      </c>
      <c r="AL332" s="342"/>
      <c r="AM332" s="284"/>
      <c r="AN332" s="284" t="s">
        <v>4401</v>
      </c>
      <c r="AO332" s="343">
        <v>10.625</v>
      </c>
      <c r="AP332" s="343">
        <v>10.635</v>
      </c>
      <c r="AQ332" s="343">
        <v>10.659999999999998</v>
      </c>
      <c r="AR332" s="343">
        <v>10.664999999999999</v>
      </c>
      <c r="AS332" s="331" t="e">
        <f t="shared" ca="1" si="51"/>
        <v>#VALUE!</v>
      </c>
      <c r="AV332" s="331" t="s">
        <v>136</v>
      </c>
      <c r="BI332" s="347" t="s">
        <v>3786</v>
      </c>
    </row>
    <row r="333" spans="1:61" s="331" customFormat="1" ht="18" customHeight="1" x14ac:dyDescent="0.35">
      <c r="A333" s="334"/>
      <c r="B333" s="335">
        <f ca="1">IF(A333="",(IF(ISNUMBER(SUBSTITUTE(LEFT(RIGHT(E333,LEN(E333)-MIN(SEARCH({1,2,3,4,5,6,7,8,9,0},E333&amp;"1234567890"))+1),10),".","/"))=TRUE,AJ333-(SUBSTITUTE(LEFT(RIGHT(E333,LEN(E333)-MIN(SEARCH({1,2,3,4,5,6,7,8,9,0},E333&amp;"1234567890"))+1),10),".","/")),IF((SUBSTITUTE(LEFT(RIGHT(E333,LEN(E333)-MIN(SEARCH({1,2,3,4,5,6,7,8,9,0},E333&amp;"1234567890"))+1),10),".","/"))="","",(AJ333)-(MID(RIGHT((SUBSTITUTE(LEFT(RIGHT(E333,LEN(E333)-MIN(SEARCH({1,2,3,4,5,6,7,8,9,0},E333&amp;"1234567890"))+1),10),".","/")),10),4,2)&amp;"/"&amp;LEFT((RIGHT((SUBSTITUTE(LEFT(RIGHT(E333,LEN(E333)-MIN(SEARCH({1,2,3,4,5,6,7,8,9,0},E333&amp;"1234567890"))+1),10),".","/")),10)),2)&amp;"/"&amp;RIGHT((SUBSTITUTE(LEFT(RIGHT(E333,LEN(E333)-MIN(SEARCH({1,2,3,4,5,6,7,8,9,0},E333&amp;"1234567890"))+1),10),".","/")),4))))),(AJ333-A333))</f>
        <v>454</v>
      </c>
      <c r="C333" s="334"/>
      <c r="D333" s="294" t="str">
        <f t="shared" si="48"/>
        <v>FGC-316L/2B-000X20</v>
      </c>
      <c r="E333" s="294" t="s">
        <v>4402</v>
      </c>
      <c r="F333" s="294" t="s">
        <v>4403</v>
      </c>
      <c r="G333" s="294" t="s">
        <v>4404</v>
      </c>
      <c r="H333" s="294" t="s">
        <v>148</v>
      </c>
      <c r="I333" s="337" t="s">
        <v>116</v>
      </c>
      <c r="J333" s="149">
        <v>0.7</v>
      </c>
      <c r="K333" s="149">
        <v>0.4</v>
      </c>
      <c r="L333" s="149">
        <v>0.41</v>
      </c>
      <c r="M333" s="149">
        <v>0.42</v>
      </c>
      <c r="N333" s="335">
        <v>756</v>
      </c>
      <c r="O333" s="296">
        <f>5.84-5.655</f>
        <v>0.18499999999999961</v>
      </c>
      <c r="P333" s="345"/>
      <c r="Q333" s="138">
        <v>20</v>
      </c>
      <c r="R333" s="138"/>
      <c r="S333" s="339"/>
      <c r="T333" s="299"/>
      <c r="U333" s="282" t="s">
        <v>117</v>
      </c>
      <c r="V333" s="282" t="s">
        <v>4262</v>
      </c>
      <c r="W333" s="138" t="s">
        <v>116</v>
      </c>
      <c r="X333" s="340" t="s">
        <v>4405</v>
      </c>
      <c r="Y333" s="340" t="s">
        <v>4406</v>
      </c>
      <c r="Z333" s="340" t="s">
        <v>4407</v>
      </c>
      <c r="AA333" s="340" t="s">
        <v>4408</v>
      </c>
      <c r="AB333" s="340"/>
      <c r="AC333" s="341"/>
      <c r="AD333" s="342" t="s">
        <v>64</v>
      </c>
      <c r="AE333" s="342" t="s">
        <v>154</v>
      </c>
      <c r="AF333" s="284" t="s">
        <v>4409</v>
      </c>
      <c r="AG333" s="284"/>
      <c r="AH333" s="284">
        <v>44373</v>
      </c>
      <c r="AI333" s="284"/>
      <c r="AJ333" s="334">
        <f t="shared" ref="AJ333:AJ339" ca="1" si="52">TODAY()</f>
        <v>44963</v>
      </c>
      <c r="AK333" s="342">
        <f t="shared" ca="1" si="50"/>
        <v>590</v>
      </c>
      <c r="AL333" s="342"/>
      <c r="AM333" s="284"/>
      <c r="AN333" s="284" t="s">
        <v>4410</v>
      </c>
      <c r="AO333" s="343">
        <v>12.22</v>
      </c>
      <c r="AP333" s="343">
        <v>12.23</v>
      </c>
      <c r="AQ333" s="343">
        <v>12.254999999999999</v>
      </c>
      <c r="AR333" s="343">
        <v>12.26</v>
      </c>
      <c r="AS333" s="331">
        <f t="shared" ca="1" si="51"/>
        <v>515</v>
      </c>
      <c r="AV333" s="331" t="s">
        <v>136</v>
      </c>
      <c r="BI333" s="347" t="s">
        <v>3584</v>
      </c>
    </row>
    <row r="334" spans="1:61" s="331" customFormat="1" ht="18" customHeight="1" x14ac:dyDescent="0.35">
      <c r="A334" s="334"/>
      <c r="B334" s="335">
        <f ca="1">IF(A334="",(IF(ISNUMBER(SUBSTITUTE(LEFT(RIGHT(E334,LEN(E334)-MIN(SEARCH({1,2,3,4,5,6,7,8,9,0},E334&amp;"1234567890"))+1),10),".","/"))=TRUE,AJ334-(SUBSTITUTE(LEFT(RIGHT(E334,LEN(E334)-MIN(SEARCH({1,2,3,4,5,6,7,8,9,0},E334&amp;"1234567890"))+1),10),".","/")),IF((SUBSTITUTE(LEFT(RIGHT(E334,LEN(E334)-MIN(SEARCH({1,2,3,4,5,6,7,8,9,0},E334&amp;"1234567890"))+1),10),".","/"))="","",(AJ334)-(MID(RIGHT((SUBSTITUTE(LEFT(RIGHT(E334,LEN(E334)-MIN(SEARCH({1,2,3,4,5,6,7,8,9,0},E334&amp;"1234567890"))+1),10),".","/")),10),4,2)&amp;"/"&amp;LEFT((RIGHT((SUBSTITUTE(LEFT(RIGHT(E334,LEN(E334)-MIN(SEARCH({1,2,3,4,5,6,7,8,9,0},E334&amp;"1234567890"))+1),10),".","/")),10)),2)&amp;"/"&amp;RIGHT((SUBSTITUTE(LEFT(RIGHT(E334,LEN(E334)-MIN(SEARCH({1,2,3,4,5,6,7,8,9,0},E334&amp;"1234567890"))+1),10),".","/")),4))))),(AJ334-A334))</f>
        <v>424</v>
      </c>
      <c r="C334" s="334"/>
      <c r="D334" s="294" t="str">
        <f t="shared" si="48"/>
        <v>FGC-316L/2B-000X20</v>
      </c>
      <c r="E334" s="294" t="s">
        <v>4411</v>
      </c>
      <c r="F334" s="294" t="s">
        <v>4412</v>
      </c>
      <c r="G334" s="294" t="s">
        <v>4413</v>
      </c>
      <c r="H334" s="294" t="s">
        <v>148</v>
      </c>
      <c r="I334" s="337" t="s">
        <v>116</v>
      </c>
      <c r="J334" s="149">
        <v>0.8</v>
      </c>
      <c r="K334" s="149">
        <v>0.4</v>
      </c>
      <c r="L334" s="149">
        <v>0.38</v>
      </c>
      <c r="M334" s="149">
        <v>0.4</v>
      </c>
      <c r="N334" s="335">
        <v>760</v>
      </c>
      <c r="O334" s="296">
        <f>10.255-9.93</f>
        <v>0.32500000000000107</v>
      </c>
      <c r="P334" s="345"/>
      <c r="Q334" s="138">
        <v>20</v>
      </c>
      <c r="R334" s="138"/>
      <c r="S334" s="339"/>
      <c r="T334" s="299"/>
      <c r="U334" s="282" t="s">
        <v>117</v>
      </c>
      <c r="V334" s="282" t="s">
        <v>4262</v>
      </c>
      <c r="W334" s="138" t="s">
        <v>116</v>
      </c>
      <c r="X334" s="340" t="s">
        <v>4414</v>
      </c>
      <c r="Y334" s="340" t="s">
        <v>4415</v>
      </c>
      <c r="Z334" s="340" t="s">
        <v>4416</v>
      </c>
      <c r="AA334" s="340">
        <v>44445</v>
      </c>
      <c r="AB334" s="340"/>
      <c r="AC334" s="341"/>
      <c r="AD334" s="342" t="s">
        <v>64</v>
      </c>
      <c r="AE334" s="342" t="s">
        <v>154</v>
      </c>
      <c r="AF334" s="284" t="s">
        <v>4417</v>
      </c>
      <c r="AG334" s="284"/>
      <c r="AH334" s="284">
        <v>44091</v>
      </c>
      <c r="AI334" s="284"/>
      <c r="AJ334" s="334">
        <f t="shared" ca="1" si="52"/>
        <v>44963</v>
      </c>
      <c r="AK334" s="342">
        <f t="shared" ca="1" si="50"/>
        <v>872</v>
      </c>
      <c r="AL334" s="342">
        <f ca="1">IF(ISNUMBER(Z334)=TRUE,AJ334-Z334,IF(Z334="","",(AJ334)-(MID(RIGHT(Z334,10),4,2)&amp;"/"&amp;LEFT((RIGHT(Z334,10)),2)&amp;"/"&amp;RIGHT(Z334,4))))</f>
        <v>515</v>
      </c>
      <c r="AM334" s="284"/>
      <c r="AN334" s="284" t="s">
        <v>4418</v>
      </c>
      <c r="AO334" s="343">
        <v>10.6</v>
      </c>
      <c r="AP334" s="343">
        <v>10.61</v>
      </c>
      <c r="AQ334" s="343">
        <v>10.634999999999998</v>
      </c>
      <c r="AR334" s="343">
        <v>10.639999999999999</v>
      </c>
      <c r="AS334" s="331">
        <f t="shared" ca="1" si="51"/>
        <v>546</v>
      </c>
      <c r="AV334" s="331" t="s">
        <v>136</v>
      </c>
      <c r="BI334" s="347" t="s">
        <v>137</v>
      </c>
    </row>
    <row r="335" spans="1:61" s="331" customFormat="1" ht="18" customHeight="1" x14ac:dyDescent="0.35">
      <c r="A335" s="334"/>
      <c r="B335" s="335">
        <f ca="1">IF(A335="",(IF(ISNUMBER(SUBSTITUTE(LEFT(RIGHT(E335,LEN(E335)-MIN(SEARCH({1,2,3,4,5,6,7,8,9,0},E335&amp;"1234567890"))+1),10),".","/"))=TRUE,AJ335-(SUBSTITUTE(LEFT(RIGHT(E335,LEN(E335)-MIN(SEARCH({1,2,3,4,5,6,7,8,9,0},E335&amp;"1234567890"))+1),10),".","/")),IF((SUBSTITUTE(LEFT(RIGHT(E335,LEN(E335)-MIN(SEARCH({1,2,3,4,5,6,7,8,9,0},E335&amp;"1234567890"))+1),10),".","/"))="","",(AJ335)-(MID(RIGHT((SUBSTITUTE(LEFT(RIGHT(E335,LEN(E335)-MIN(SEARCH({1,2,3,4,5,6,7,8,9,0},E335&amp;"1234567890"))+1),10),".","/")),10),4,2)&amp;"/"&amp;LEFT((RIGHT((SUBSTITUTE(LEFT(RIGHT(E335,LEN(E335)-MIN(SEARCH({1,2,3,4,5,6,7,8,9,0},E335&amp;"1234567890"))+1),10),".","/")),10)),2)&amp;"/"&amp;RIGHT((SUBSTITUTE(LEFT(RIGHT(E335,LEN(E335)-MIN(SEARCH({1,2,3,4,5,6,7,8,9,0},E335&amp;"1234567890"))+1),10),".","/")),4))))),(AJ335-A335))</f>
        <v>454</v>
      </c>
      <c r="C335" s="334"/>
      <c r="D335" s="294" t="str">
        <f t="shared" si="48"/>
        <v>FGC-316L/2B-000X20</v>
      </c>
      <c r="E335" s="294" t="s">
        <v>4402</v>
      </c>
      <c r="F335" s="294" t="s">
        <v>4419</v>
      </c>
      <c r="G335" s="294" t="s">
        <v>4420</v>
      </c>
      <c r="H335" s="294" t="s">
        <v>148</v>
      </c>
      <c r="I335" s="337" t="s">
        <v>116</v>
      </c>
      <c r="J335" s="149">
        <v>0.82</v>
      </c>
      <c r="K335" s="149">
        <v>0.4</v>
      </c>
      <c r="L335" s="149">
        <v>0.41</v>
      </c>
      <c r="M335" s="149">
        <v>0.42</v>
      </c>
      <c r="N335" s="335">
        <v>760</v>
      </c>
      <c r="O335" s="296">
        <f>6.055-5.835</f>
        <v>0.21999999999999975</v>
      </c>
      <c r="P335" s="345"/>
      <c r="Q335" s="138">
        <v>20</v>
      </c>
      <c r="R335" s="138"/>
      <c r="S335" s="339"/>
      <c r="T335" s="299"/>
      <c r="U335" s="282" t="s">
        <v>117</v>
      </c>
      <c r="V335" s="282" t="s">
        <v>4262</v>
      </c>
      <c r="W335" s="138" t="s">
        <v>116</v>
      </c>
      <c r="X335" s="340" t="s">
        <v>4421</v>
      </c>
      <c r="Y335" s="340" t="s">
        <v>4422</v>
      </c>
      <c r="Z335" s="340" t="s">
        <v>4423</v>
      </c>
      <c r="AA335" s="340">
        <v>44444</v>
      </c>
      <c r="AB335" s="340"/>
      <c r="AC335" s="341"/>
      <c r="AD335" s="342" t="s">
        <v>64</v>
      </c>
      <c r="AE335" s="342" t="s">
        <v>154</v>
      </c>
      <c r="AF335" s="284" t="s">
        <v>4409</v>
      </c>
      <c r="AG335" s="284"/>
      <c r="AH335" s="284">
        <v>44373</v>
      </c>
      <c r="AI335" s="284"/>
      <c r="AJ335" s="334">
        <f t="shared" ca="1" si="52"/>
        <v>44963</v>
      </c>
      <c r="AK335" s="342">
        <f t="shared" ca="1" si="50"/>
        <v>590</v>
      </c>
      <c r="AL335" s="342"/>
      <c r="AM335" s="284"/>
      <c r="AN335" s="284" t="s">
        <v>4424</v>
      </c>
      <c r="AO335" s="343">
        <v>12.295</v>
      </c>
      <c r="AP335" s="343">
        <v>12.305</v>
      </c>
      <c r="AQ335" s="343">
        <v>12.329999999999998</v>
      </c>
      <c r="AR335" s="343">
        <v>12.334999999999999</v>
      </c>
      <c r="AS335" s="331">
        <f t="shared" ca="1" si="51"/>
        <v>546</v>
      </c>
      <c r="AV335" s="331" t="s">
        <v>136</v>
      </c>
      <c r="BI335" s="347" t="s">
        <v>3584</v>
      </c>
    </row>
    <row r="336" spans="1:61" s="331" customFormat="1" ht="18" customHeight="1" x14ac:dyDescent="0.35">
      <c r="A336" s="334"/>
      <c r="B336" s="335">
        <f ca="1">IF(A336="",(IF(ISNUMBER(SUBSTITUTE(LEFT(RIGHT(E336,LEN(E336)-MIN(SEARCH({1,2,3,4,5,6,7,8,9,0},E336&amp;"1234567890"))+1),10),".","/"))=TRUE,AJ336-(SUBSTITUTE(LEFT(RIGHT(E336,LEN(E336)-MIN(SEARCH({1,2,3,4,5,6,7,8,9,0},E336&amp;"1234567890"))+1),10),".","/")),IF((SUBSTITUTE(LEFT(RIGHT(E336,LEN(E336)-MIN(SEARCH({1,2,3,4,5,6,7,8,9,0},E336&amp;"1234567890"))+1),10),".","/"))="","",(AJ336)-(MID(RIGHT((SUBSTITUTE(LEFT(RIGHT(E336,LEN(E336)-MIN(SEARCH({1,2,3,4,5,6,7,8,9,0},E336&amp;"1234567890"))+1),10),".","/")),10),4,2)&amp;"/"&amp;LEFT((RIGHT((SUBSTITUTE(LEFT(RIGHT(E336,LEN(E336)-MIN(SEARCH({1,2,3,4,5,6,7,8,9,0},E336&amp;"1234567890"))+1),10),".","/")),10)),2)&amp;"/"&amp;RIGHT((SUBSTITUTE(LEFT(RIGHT(E336,LEN(E336)-MIN(SEARCH({1,2,3,4,5,6,7,8,9,0},E336&amp;"1234567890"))+1),10),".","/")),4))))),(AJ336-A336))</f>
        <v>424</v>
      </c>
      <c r="C336" s="334"/>
      <c r="D336" s="294" t="str">
        <f t="shared" si="48"/>
        <v>FGC-316L/2B-000X20</v>
      </c>
      <c r="E336" s="294" t="s">
        <v>4411</v>
      </c>
      <c r="F336" s="294" t="s">
        <v>4425</v>
      </c>
      <c r="G336" s="294" t="s">
        <v>4426</v>
      </c>
      <c r="H336" s="294" t="s">
        <v>148</v>
      </c>
      <c r="I336" s="337" t="s">
        <v>116</v>
      </c>
      <c r="J336" s="149">
        <v>0.82</v>
      </c>
      <c r="K336" s="149">
        <v>0.4</v>
      </c>
      <c r="L336" s="149">
        <v>0.4</v>
      </c>
      <c r="M336" s="149">
        <v>0.42</v>
      </c>
      <c r="N336" s="335">
        <v>766</v>
      </c>
      <c r="O336" s="296">
        <f>10.28-9.82</f>
        <v>0.45999999999999908</v>
      </c>
      <c r="P336" s="345"/>
      <c r="Q336" s="138">
        <v>20</v>
      </c>
      <c r="R336" s="138"/>
      <c r="S336" s="339"/>
      <c r="T336" s="299"/>
      <c r="U336" s="282" t="s">
        <v>117</v>
      </c>
      <c r="V336" s="282" t="s">
        <v>4262</v>
      </c>
      <c r="W336" s="138" t="s">
        <v>116</v>
      </c>
      <c r="X336" s="340" t="s">
        <v>4427</v>
      </c>
      <c r="Y336" s="340" t="s">
        <v>4428</v>
      </c>
      <c r="Z336" s="340" t="s">
        <v>4423</v>
      </c>
      <c r="AA336" s="340">
        <v>44444</v>
      </c>
      <c r="AB336" s="340"/>
      <c r="AC336" s="341"/>
      <c r="AD336" s="342" t="s">
        <v>64</v>
      </c>
      <c r="AE336" s="342" t="s">
        <v>154</v>
      </c>
      <c r="AF336" s="284" t="s">
        <v>1169</v>
      </c>
      <c r="AG336" s="284"/>
      <c r="AH336" s="284">
        <v>44431</v>
      </c>
      <c r="AI336" s="284"/>
      <c r="AJ336" s="334">
        <f t="shared" ca="1" si="52"/>
        <v>44963</v>
      </c>
      <c r="AK336" s="342">
        <f t="shared" ca="1" si="50"/>
        <v>532</v>
      </c>
      <c r="AL336" s="342"/>
      <c r="AM336" s="284"/>
      <c r="AN336" s="284" t="s">
        <v>4429</v>
      </c>
      <c r="AO336" s="343">
        <v>10.72</v>
      </c>
      <c r="AP336" s="343">
        <v>10.73</v>
      </c>
      <c r="AQ336" s="343">
        <v>10.754999999999999</v>
      </c>
      <c r="AR336" s="343">
        <v>10.76</v>
      </c>
      <c r="AV336" s="331" t="s">
        <v>136</v>
      </c>
      <c r="BI336" s="347" t="s">
        <v>137</v>
      </c>
    </row>
    <row r="337" spans="1:61" s="331" customFormat="1" ht="18" customHeight="1" x14ac:dyDescent="0.35">
      <c r="A337" s="334"/>
      <c r="B337" s="335">
        <f ca="1">IF(A337="",(IF(ISNUMBER(SUBSTITUTE(LEFT(RIGHT(E337,LEN(E337)-MIN(SEARCH({1,2,3,4,5,6,7,8,9,0},E337&amp;"1234567890"))+1),10),".","/"))=TRUE,AJ337-(SUBSTITUTE(LEFT(RIGHT(E337,LEN(E337)-MIN(SEARCH({1,2,3,4,5,6,7,8,9,0},E337&amp;"1234567890"))+1),10),".","/")),IF((SUBSTITUTE(LEFT(RIGHT(E337,LEN(E337)-MIN(SEARCH({1,2,3,4,5,6,7,8,9,0},E337&amp;"1234567890"))+1),10),".","/"))="","",(AJ337)-(MID(RIGHT((SUBSTITUTE(LEFT(RIGHT(E337,LEN(E337)-MIN(SEARCH({1,2,3,4,5,6,7,8,9,0},E337&amp;"1234567890"))+1),10),".","/")),10),4,2)&amp;"/"&amp;LEFT((RIGHT((SUBSTITUTE(LEFT(RIGHT(E337,LEN(E337)-MIN(SEARCH({1,2,3,4,5,6,7,8,9,0},E337&amp;"1234567890"))+1),10),".","/")),10)),2)&amp;"/"&amp;RIGHT((SUBSTITUTE(LEFT(RIGHT(E337,LEN(E337)-MIN(SEARCH({1,2,3,4,5,6,7,8,9,0},E337&amp;"1234567890"))+1),10),".","/")),4))))),(AJ337-A337))</f>
        <v>454</v>
      </c>
      <c r="C337" s="334"/>
      <c r="D337" s="294" t="str">
        <f t="shared" si="48"/>
        <v>FGC-316L/2B-000X20</v>
      </c>
      <c r="E337" s="294" t="s">
        <v>4402</v>
      </c>
      <c r="F337" s="294" t="s">
        <v>4419</v>
      </c>
      <c r="G337" s="294" t="s">
        <v>4430</v>
      </c>
      <c r="H337" s="294" t="s">
        <v>148</v>
      </c>
      <c r="I337" s="337" t="s">
        <v>116</v>
      </c>
      <c r="J337" s="149">
        <v>0.82</v>
      </c>
      <c r="K337" s="149">
        <v>0.4</v>
      </c>
      <c r="L337" s="149">
        <v>0.41</v>
      </c>
      <c r="M337" s="149">
        <v>0.42</v>
      </c>
      <c r="N337" s="335">
        <v>760</v>
      </c>
      <c r="O337" s="296">
        <f>5.775-5.575</f>
        <v>0.20000000000000018</v>
      </c>
      <c r="P337" s="345"/>
      <c r="Q337" s="138">
        <v>20</v>
      </c>
      <c r="R337" s="138"/>
      <c r="S337" s="339"/>
      <c r="T337" s="299"/>
      <c r="U337" s="282" t="s">
        <v>117</v>
      </c>
      <c r="V337" s="282" t="s">
        <v>4262</v>
      </c>
      <c r="W337" s="138" t="s">
        <v>116</v>
      </c>
      <c r="X337" s="340" t="s">
        <v>4421</v>
      </c>
      <c r="Y337" s="340" t="s">
        <v>4422</v>
      </c>
      <c r="Z337" s="340" t="s">
        <v>4423</v>
      </c>
      <c r="AA337" s="340">
        <v>44444</v>
      </c>
      <c r="AB337" s="340"/>
      <c r="AC337" s="341"/>
      <c r="AD337" s="342" t="s">
        <v>64</v>
      </c>
      <c r="AE337" s="342" t="s">
        <v>154</v>
      </c>
      <c r="AF337" s="284" t="s">
        <v>4409</v>
      </c>
      <c r="AG337" s="284"/>
      <c r="AH337" s="284">
        <v>44373</v>
      </c>
      <c r="AI337" s="284"/>
      <c r="AJ337" s="334">
        <f t="shared" ca="1" si="52"/>
        <v>44963</v>
      </c>
      <c r="AK337" s="342">
        <f t="shared" ca="1" si="50"/>
        <v>590</v>
      </c>
      <c r="AL337" s="342"/>
      <c r="AM337" s="284"/>
      <c r="AN337" s="284" t="s">
        <v>4424</v>
      </c>
      <c r="AO337" s="343">
        <v>12.295</v>
      </c>
      <c r="AP337" s="343">
        <v>12.305</v>
      </c>
      <c r="AQ337" s="343">
        <v>12.329999999999998</v>
      </c>
      <c r="AR337" s="343">
        <v>12.334999999999999</v>
      </c>
      <c r="AS337" s="331">
        <f ca="1">IF(ISNUMBER(Y337)=TRUE,AJ337-Y337,IF(Y337="","",(AJ337)-(MID(RIGHT(Y337,10),4,2)&amp;"/"&amp;LEFT((RIGHT(Y337,10)),2)&amp;"/"&amp;RIGHT(Y337,4))))</f>
        <v>546</v>
      </c>
      <c r="AV337" s="331" t="s">
        <v>136</v>
      </c>
      <c r="BI337" s="347" t="s">
        <v>3572</v>
      </c>
    </row>
    <row r="338" spans="1:61" s="331" customFormat="1" ht="18" customHeight="1" x14ac:dyDescent="0.35">
      <c r="A338" s="334"/>
      <c r="B338" s="335" t="e">
        <f ca="1">IF(A338="",(IF(ISNUMBER(SUBSTITUTE(LEFT(RIGHT(E338,LEN(E338)-MIN(SEARCH({1,2,3,4,5,6,7,8,9,0},E338&amp;"1234567890"))+1),10),".","/"))=TRUE,AJ338-(SUBSTITUTE(LEFT(RIGHT(E338,LEN(E338)-MIN(SEARCH({1,2,3,4,5,6,7,8,9,0},E338&amp;"1234567890"))+1),10),".","/")),IF((SUBSTITUTE(LEFT(RIGHT(E338,LEN(E338)-MIN(SEARCH({1,2,3,4,5,6,7,8,9,0},E338&amp;"1234567890"))+1),10),".","/"))="","",(AJ338)-(MID(RIGHT((SUBSTITUTE(LEFT(RIGHT(E338,LEN(E338)-MIN(SEARCH({1,2,3,4,5,6,7,8,9,0},E338&amp;"1234567890"))+1),10),".","/")),10),4,2)&amp;"/"&amp;LEFT((RIGHT((SUBSTITUTE(LEFT(RIGHT(E338,LEN(E338)-MIN(SEARCH({1,2,3,4,5,6,7,8,9,0},E338&amp;"1234567890"))+1),10),".","/")),10)),2)&amp;"/"&amp;RIGHT((SUBSTITUTE(LEFT(RIGHT(E338,LEN(E338)-MIN(SEARCH({1,2,3,4,5,6,7,8,9,0},E338&amp;"1234567890"))+1),10),".","/")),4))))),(AJ338-A338))</f>
        <v>#VALUE!</v>
      </c>
      <c r="C338" s="334"/>
      <c r="D338" s="294" t="str">
        <f t="shared" si="48"/>
        <v>FGC-304/304L/2B-001X20</v>
      </c>
      <c r="E338" s="294" t="s">
        <v>4431</v>
      </c>
      <c r="F338" s="294" t="s">
        <v>4432</v>
      </c>
      <c r="G338" s="294" t="s">
        <v>4433</v>
      </c>
      <c r="H338" s="294" t="s">
        <v>377</v>
      </c>
      <c r="I338" s="337" t="s">
        <v>116</v>
      </c>
      <c r="J338" s="149">
        <v>3.79</v>
      </c>
      <c r="K338" s="149">
        <v>1.35</v>
      </c>
      <c r="L338" s="149">
        <v>1.35</v>
      </c>
      <c r="M338" s="149">
        <v>1.37</v>
      </c>
      <c r="N338" s="335">
        <v>770</v>
      </c>
      <c r="O338" s="296">
        <f>10.01-9.675</f>
        <v>0.33499999999999908</v>
      </c>
      <c r="P338" s="345"/>
      <c r="Q338" s="138">
        <v>20</v>
      </c>
      <c r="R338" s="138"/>
      <c r="S338" s="339"/>
      <c r="T338" s="299"/>
      <c r="U338" s="282" t="s">
        <v>117</v>
      </c>
      <c r="V338" s="282" t="s">
        <v>4262</v>
      </c>
      <c r="W338" s="138" t="s">
        <v>116</v>
      </c>
      <c r="X338" s="340">
        <v>44449</v>
      </c>
      <c r="Y338" s="340">
        <v>44449</v>
      </c>
      <c r="Z338" s="340">
        <v>44452</v>
      </c>
      <c r="AA338" s="340"/>
      <c r="AB338" s="340"/>
      <c r="AC338" s="341"/>
      <c r="AD338" s="342" t="s">
        <v>64</v>
      </c>
      <c r="AE338" s="342" t="s">
        <v>154</v>
      </c>
      <c r="AF338" s="284" t="s">
        <v>868</v>
      </c>
      <c r="AG338" s="284"/>
      <c r="AH338" s="284">
        <v>44431</v>
      </c>
      <c r="AI338" s="284"/>
      <c r="AJ338" s="334">
        <f t="shared" ca="1" si="52"/>
        <v>44963</v>
      </c>
      <c r="AK338" s="342">
        <f t="shared" ca="1" si="50"/>
        <v>532</v>
      </c>
      <c r="AL338" s="342"/>
      <c r="AM338" s="284"/>
      <c r="AN338" s="284" t="s">
        <v>4434</v>
      </c>
      <c r="AO338" s="343">
        <v>10.285</v>
      </c>
      <c r="AP338" s="343">
        <v>10.295</v>
      </c>
      <c r="AQ338" s="343">
        <v>10.319999999999999</v>
      </c>
      <c r="AR338" s="343">
        <v>10.324999999999999</v>
      </c>
      <c r="AV338" s="331" t="s">
        <v>136</v>
      </c>
      <c r="BI338" s="347" t="s">
        <v>221</v>
      </c>
    </row>
    <row r="339" spans="1:61" s="331" customFormat="1" ht="18" customHeight="1" x14ac:dyDescent="0.35">
      <c r="A339" s="334"/>
      <c r="B339" s="335" t="e">
        <f ca="1">IF(A339="",(IF(ISNUMBER(SUBSTITUTE(LEFT(RIGHT(E339,LEN(E339)-MIN(SEARCH({1,2,3,4,5,6,7,8,9,0},E339&amp;"1234567890"))+1),10),".","/"))=TRUE,AJ339-(SUBSTITUTE(LEFT(RIGHT(E339,LEN(E339)-MIN(SEARCH({1,2,3,4,5,6,7,8,9,0},E339&amp;"1234567890"))+1),10),".","/")),IF((SUBSTITUTE(LEFT(RIGHT(E339,LEN(E339)-MIN(SEARCH({1,2,3,4,5,6,7,8,9,0},E339&amp;"1234567890"))+1),10),".","/"))="","",(AJ339)-(MID(RIGHT((SUBSTITUTE(LEFT(RIGHT(E339,LEN(E339)-MIN(SEARCH({1,2,3,4,5,6,7,8,9,0},E339&amp;"1234567890"))+1),10),".","/")),10),4,2)&amp;"/"&amp;LEFT((RIGHT((SUBSTITUTE(LEFT(RIGHT(E339,LEN(E339)-MIN(SEARCH({1,2,3,4,5,6,7,8,9,0},E339&amp;"1234567890"))+1),10),".","/")),10)),2)&amp;"/"&amp;RIGHT((SUBSTITUTE(LEFT(RIGHT(E339,LEN(E339)-MIN(SEARCH({1,2,3,4,5,6,7,8,9,0},E339&amp;"1234567890"))+1),10),".","/")),4))))),(AJ339-A339))</f>
        <v>#VALUE!</v>
      </c>
      <c r="C339" s="334"/>
      <c r="D339" s="294" t="str">
        <f t="shared" si="48"/>
        <v>FGC-304/304L/2B-001X20</v>
      </c>
      <c r="E339" s="294" t="s">
        <v>4431</v>
      </c>
      <c r="F339" s="294" t="s">
        <v>4435</v>
      </c>
      <c r="G339" s="294" t="s">
        <v>4436</v>
      </c>
      <c r="H339" s="294" t="s">
        <v>377</v>
      </c>
      <c r="I339" s="337" t="s">
        <v>116</v>
      </c>
      <c r="J339" s="149">
        <v>3.79</v>
      </c>
      <c r="K339" s="149">
        <v>1.35</v>
      </c>
      <c r="L339" s="149">
        <v>1.35</v>
      </c>
      <c r="M339" s="149">
        <v>1.37</v>
      </c>
      <c r="N339" s="335">
        <v>770</v>
      </c>
      <c r="O339" s="296">
        <f>10.115-9.76</f>
        <v>0.35500000000000043</v>
      </c>
      <c r="P339" s="345"/>
      <c r="Q339" s="138">
        <v>20</v>
      </c>
      <c r="R339" s="138"/>
      <c r="S339" s="339"/>
      <c r="T339" s="299"/>
      <c r="U339" s="282" t="s">
        <v>117</v>
      </c>
      <c r="V339" s="282" t="s">
        <v>4262</v>
      </c>
      <c r="W339" s="138" t="s">
        <v>116</v>
      </c>
      <c r="X339" s="340">
        <v>44449</v>
      </c>
      <c r="Y339" s="340">
        <v>44449</v>
      </c>
      <c r="Z339" s="340">
        <v>44453</v>
      </c>
      <c r="AA339" s="340"/>
      <c r="AB339" s="340"/>
      <c r="AC339" s="341"/>
      <c r="AD339" s="342" t="s">
        <v>64</v>
      </c>
      <c r="AE339" s="342" t="s">
        <v>154</v>
      </c>
      <c r="AF339" s="284" t="s">
        <v>868</v>
      </c>
      <c r="AG339" s="284"/>
      <c r="AH339" s="284">
        <v>44431</v>
      </c>
      <c r="AI339" s="284"/>
      <c r="AJ339" s="334">
        <f t="shared" ca="1" si="52"/>
        <v>44963</v>
      </c>
      <c r="AK339" s="342">
        <f t="shared" ca="1" si="50"/>
        <v>532</v>
      </c>
      <c r="AL339" s="342"/>
      <c r="AM339" s="284"/>
      <c r="AN339" s="284" t="s">
        <v>4434</v>
      </c>
      <c r="AO339" s="343">
        <v>10.285</v>
      </c>
      <c r="AP339" s="343">
        <v>10.295</v>
      </c>
      <c r="AQ339" s="343">
        <v>10.319999999999999</v>
      </c>
      <c r="AR339" s="343">
        <v>10.324999999999999</v>
      </c>
      <c r="AV339" s="331" t="s">
        <v>136</v>
      </c>
      <c r="BI339" s="347" t="s">
        <v>137</v>
      </c>
    </row>
    <row r="340" spans="1:61" s="331" customFormat="1" ht="18" customHeight="1" x14ac:dyDescent="0.35">
      <c r="A340" s="334"/>
      <c r="B340" s="335" t="e">
        <f ca="1">IF(A340="",(IF(ISNUMBER(SUBSTITUTE(LEFT(RIGHT(E340,LEN(E340)-MIN(SEARCH({1,2,3,4,5,6,7,8,9,0},E340&amp;"1234567890"))+1),10),".","/"))=TRUE,AJ340-(SUBSTITUTE(LEFT(RIGHT(E340,LEN(E340)-MIN(SEARCH({1,2,3,4,5,6,7,8,9,0},E340&amp;"1234567890"))+1),10),".","/")),IF((SUBSTITUTE(LEFT(RIGHT(E340,LEN(E340)-MIN(SEARCH({1,2,3,4,5,6,7,8,9,0},E340&amp;"1234567890"))+1),10),".","/"))="","",(AJ340)-(MID(RIGHT((SUBSTITUTE(LEFT(RIGHT(E340,LEN(E340)-MIN(SEARCH({1,2,3,4,5,6,7,8,9,0},E340&amp;"1234567890"))+1),10),".","/")),10),4,2)&amp;"/"&amp;LEFT((RIGHT((SUBSTITUTE(LEFT(RIGHT(E340,LEN(E340)-MIN(SEARCH({1,2,3,4,5,6,7,8,9,0},E340&amp;"1234567890"))+1),10),".","/")),10)),2)&amp;"/"&amp;RIGHT((SUBSTITUTE(LEFT(RIGHT(E340,LEN(E340)-MIN(SEARCH({1,2,3,4,5,6,7,8,9,0},E340&amp;"1234567890"))+1),10),".","/")),4))))),(AJ340-A340))</f>
        <v>#VALUE!</v>
      </c>
      <c r="C340" s="334"/>
      <c r="D340" s="294" t="str">
        <f t="shared" si="48"/>
        <v>FGM-304/304L/2B-001X770</v>
      </c>
      <c r="E340" s="294" t="s">
        <v>4437</v>
      </c>
      <c r="F340" s="294" t="s">
        <v>4438</v>
      </c>
      <c r="G340" s="336" t="s">
        <v>4439</v>
      </c>
      <c r="H340" s="294" t="s">
        <v>377</v>
      </c>
      <c r="I340" s="337" t="s">
        <v>116</v>
      </c>
      <c r="J340" s="149">
        <v>3.79</v>
      </c>
      <c r="K340" s="149">
        <v>1.48</v>
      </c>
      <c r="L340" s="149">
        <v>1.47</v>
      </c>
      <c r="M340" s="149">
        <v>1.48</v>
      </c>
      <c r="N340" s="335">
        <v>770</v>
      </c>
      <c r="O340" s="296">
        <v>1.17</v>
      </c>
      <c r="P340" s="345"/>
      <c r="Q340" s="138" t="s">
        <v>3598</v>
      </c>
      <c r="R340" s="138">
        <f>77.47*3+117.86*2+97.41*3</f>
        <v>760.36</v>
      </c>
      <c r="S340" s="339"/>
      <c r="T340" s="299"/>
      <c r="U340" s="282" t="s">
        <v>117</v>
      </c>
      <c r="V340" s="282" t="s">
        <v>4440</v>
      </c>
      <c r="W340" s="138" t="s">
        <v>116</v>
      </c>
      <c r="X340" s="340">
        <v>44451</v>
      </c>
      <c r="Y340" s="340">
        <v>44451</v>
      </c>
      <c r="Z340" s="340">
        <v>44457</v>
      </c>
      <c r="AA340" s="340"/>
      <c r="AB340" s="340"/>
      <c r="AC340" s="341"/>
      <c r="AD340" s="342" t="s">
        <v>64</v>
      </c>
      <c r="AE340" s="342" t="s">
        <v>154</v>
      </c>
      <c r="AF340" s="284" t="s">
        <v>1139</v>
      </c>
      <c r="AG340" s="284"/>
      <c r="AH340" s="284">
        <v>44431</v>
      </c>
      <c r="AI340" s="284"/>
      <c r="AJ340" s="334">
        <f ca="1">TODAY()</f>
        <v>44963</v>
      </c>
      <c r="AK340" s="342">
        <f t="shared" ca="1" si="50"/>
        <v>532</v>
      </c>
      <c r="AL340" s="342">
        <f ca="1">IF(ISNUMBER(Z340)=TRUE,AJ340-Z340,IF(Z340="","",(AJ340)-(MID(RIGHT(Z340,10),4,2)&amp;"/"&amp;LEFT((RIGHT(Z340,10)),2)&amp;"/"&amp;RIGHT(Z340,4))))</f>
        <v>506</v>
      </c>
      <c r="AM340" s="284"/>
      <c r="AN340" s="284" t="s">
        <v>4441</v>
      </c>
      <c r="AO340" s="343">
        <v>11.875</v>
      </c>
      <c r="AP340" s="343">
        <v>11.885</v>
      </c>
      <c r="AQ340" s="343">
        <v>11.909999999999998</v>
      </c>
      <c r="AR340" s="343">
        <v>11.914999999999999</v>
      </c>
      <c r="AV340" s="331" t="s">
        <v>136</v>
      </c>
      <c r="BI340" s="347" t="s">
        <v>221</v>
      </c>
    </row>
    <row r="341" spans="1:61" s="331" customFormat="1" ht="18" customHeight="1" x14ac:dyDescent="0.35">
      <c r="A341" s="334">
        <v>44372</v>
      </c>
      <c r="B341" s="335">
        <f ca="1">IF(A341="",(IF(ISNUMBER(SUBSTITUTE(LEFT(RIGHT(E341,LEN(E341)-MIN(SEARCH({1,2,3,4,5,6,7,8,9,0},E341&amp;"1234567890"))+1),10),".","/"))=TRUE,AJ341-(SUBSTITUTE(LEFT(RIGHT(E341,LEN(E341)-MIN(SEARCH({1,2,3,4,5,6,7,8,9,0},E341&amp;"1234567890"))+1),10),".","/")),IF((SUBSTITUTE(LEFT(RIGHT(E341,LEN(E341)-MIN(SEARCH({1,2,3,4,5,6,7,8,9,0},E341&amp;"1234567890"))+1),10),".","/"))="","",(AJ341)-(MID(RIGHT((SUBSTITUTE(LEFT(RIGHT(E341,LEN(E341)-MIN(SEARCH({1,2,3,4,5,6,7,8,9,0},E341&amp;"1234567890"))+1),10),".","/")),10),4,2)&amp;"/"&amp;LEFT((RIGHT((SUBSTITUTE(LEFT(RIGHT(E341,LEN(E341)-MIN(SEARCH({1,2,3,4,5,6,7,8,9,0},E341&amp;"1234567890"))+1),10),".","/")),10)),2)&amp;"/"&amp;RIGHT((SUBSTITUTE(LEFT(RIGHT(E341,LEN(E341)-MIN(SEARCH({1,2,3,4,5,6,7,8,9,0},E341&amp;"1234567890"))+1),10),".","/")),4))))),(AJ341-A341))</f>
        <v>591</v>
      </c>
      <c r="C341" s="334"/>
      <c r="D341" s="294" t="str">
        <f t="shared" si="48"/>
        <v>FGM-304/304L/2B-001X770</v>
      </c>
      <c r="E341" s="294" t="s">
        <v>4442</v>
      </c>
      <c r="F341" s="294" t="s">
        <v>4443</v>
      </c>
      <c r="G341" s="373" t="s">
        <v>4444</v>
      </c>
      <c r="H341" s="294" t="s">
        <v>377</v>
      </c>
      <c r="I341" s="337" t="s">
        <v>116</v>
      </c>
      <c r="J341" s="149">
        <v>2.8</v>
      </c>
      <c r="K341" s="149">
        <v>0.78</v>
      </c>
      <c r="L341" s="149">
        <v>0.74</v>
      </c>
      <c r="M341" s="149">
        <v>0.76</v>
      </c>
      <c r="N341" s="335">
        <v>770</v>
      </c>
      <c r="O341" s="296">
        <f>3.425-3.16</f>
        <v>0.26499999999999968</v>
      </c>
      <c r="P341" s="345"/>
      <c r="Q341" s="138" t="s">
        <v>3598</v>
      </c>
      <c r="R341" s="138">
        <f t="shared" ref="R341:R356" si="53">29.8*2</f>
        <v>59.6</v>
      </c>
      <c r="S341" s="339"/>
      <c r="T341" s="299"/>
      <c r="U341" s="282" t="s">
        <v>4351</v>
      </c>
      <c r="V341" s="282" t="s">
        <v>4445</v>
      </c>
      <c r="W341" s="282" t="s">
        <v>116</v>
      </c>
      <c r="X341" s="340">
        <v>44362</v>
      </c>
      <c r="Y341" s="340">
        <v>44362</v>
      </c>
      <c r="Z341" s="340">
        <v>44367</v>
      </c>
      <c r="AA341" s="340"/>
      <c r="AB341" s="340"/>
      <c r="AC341" s="341"/>
      <c r="AD341" s="342" t="s">
        <v>64</v>
      </c>
      <c r="AE341" s="342" t="s">
        <v>154</v>
      </c>
      <c r="AF341" s="284" t="s">
        <v>4446</v>
      </c>
      <c r="AG341" s="284"/>
      <c r="AH341" s="284">
        <v>44353</v>
      </c>
      <c r="AI341" s="284"/>
      <c r="AJ341" s="334">
        <f t="shared" ref="AJ341:AJ359" ca="1" si="54">TODAY()</f>
        <v>44963</v>
      </c>
      <c r="AK341" s="342">
        <f t="shared" ca="1" si="50"/>
        <v>610</v>
      </c>
      <c r="AL341" s="342"/>
      <c r="AM341" s="284"/>
      <c r="AN341" s="284" t="s">
        <v>4447</v>
      </c>
      <c r="AO341" s="343">
        <v>10.61</v>
      </c>
      <c r="AP341" s="343">
        <v>10.62</v>
      </c>
      <c r="AQ341" s="343">
        <v>10.644999999999998</v>
      </c>
      <c r="AR341" s="343">
        <v>10.649999999999999</v>
      </c>
      <c r="AS341" s="331">
        <f t="shared" ref="AS341:AS351" ca="1" si="55">IF(ISNUMBER(Y341)=TRUE,AJ341-Y341,IF(Y341="","",(AJ341)-(MID(RIGHT(Y341,10),4,2)&amp;"/"&amp;LEFT((RIGHT(Y341,10)),2)&amp;"/"&amp;RIGHT(Y341,4))))</f>
        <v>601</v>
      </c>
      <c r="AV341" s="331" t="s">
        <v>136</v>
      </c>
      <c r="BI341" s="347" t="s">
        <v>3584</v>
      </c>
    </row>
    <row r="342" spans="1:61" s="331" customFormat="1" ht="18" customHeight="1" x14ac:dyDescent="0.35">
      <c r="A342" s="334">
        <v>44372</v>
      </c>
      <c r="B342" s="335">
        <f ca="1">IF(A342="",(IF(ISNUMBER(SUBSTITUTE(LEFT(RIGHT(E342,LEN(E342)-MIN(SEARCH({1,2,3,4,5,6,7,8,9,0},E342&amp;"1234567890"))+1),10),".","/"))=TRUE,AJ342-(SUBSTITUTE(LEFT(RIGHT(E342,LEN(E342)-MIN(SEARCH({1,2,3,4,5,6,7,8,9,0},E342&amp;"1234567890"))+1),10),".","/")),IF((SUBSTITUTE(LEFT(RIGHT(E342,LEN(E342)-MIN(SEARCH({1,2,3,4,5,6,7,8,9,0},E342&amp;"1234567890"))+1),10),".","/"))="","",(AJ342)-(MID(RIGHT((SUBSTITUTE(LEFT(RIGHT(E342,LEN(E342)-MIN(SEARCH({1,2,3,4,5,6,7,8,9,0},E342&amp;"1234567890"))+1),10),".","/")),10),4,2)&amp;"/"&amp;LEFT((RIGHT((SUBSTITUTE(LEFT(RIGHT(E342,LEN(E342)-MIN(SEARCH({1,2,3,4,5,6,7,8,9,0},E342&amp;"1234567890"))+1),10),".","/")),10)),2)&amp;"/"&amp;RIGHT((SUBSTITUTE(LEFT(RIGHT(E342,LEN(E342)-MIN(SEARCH({1,2,3,4,5,6,7,8,9,0},E342&amp;"1234567890"))+1),10),".","/")),4))))),(AJ342-A342))</f>
        <v>591</v>
      </c>
      <c r="C342" s="334"/>
      <c r="D342" s="294" t="str">
        <f t="shared" si="48"/>
        <v>FGM-304/304L/2B-001X770</v>
      </c>
      <c r="E342" s="294" t="s">
        <v>4442</v>
      </c>
      <c r="F342" s="294" t="s">
        <v>4443</v>
      </c>
      <c r="G342" s="373" t="s">
        <v>4448</v>
      </c>
      <c r="H342" s="294" t="s">
        <v>377</v>
      </c>
      <c r="I342" s="337" t="s">
        <v>116</v>
      </c>
      <c r="J342" s="149">
        <v>2.8</v>
      </c>
      <c r="K342" s="149">
        <v>0.78</v>
      </c>
      <c r="L342" s="149">
        <v>0.74</v>
      </c>
      <c r="M342" s="149">
        <v>0.76</v>
      </c>
      <c r="N342" s="335">
        <v>770</v>
      </c>
      <c r="O342" s="296">
        <f>3.12-2.85</f>
        <v>0.27</v>
      </c>
      <c r="P342" s="345"/>
      <c r="Q342" s="138" t="s">
        <v>3598</v>
      </c>
      <c r="R342" s="138">
        <f t="shared" si="53"/>
        <v>59.6</v>
      </c>
      <c r="S342" s="339"/>
      <c r="T342" s="299"/>
      <c r="U342" s="282" t="s">
        <v>4351</v>
      </c>
      <c r="V342" s="282" t="s">
        <v>4445</v>
      </c>
      <c r="W342" s="282" t="s">
        <v>116</v>
      </c>
      <c r="X342" s="340">
        <v>44362</v>
      </c>
      <c r="Y342" s="340">
        <v>44362</v>
      </c>
      <c r="Z342" s="340">
        <v>44367</v>
      </c>
      <c r="AA342" s="340"/>
      <c r="AB342" s="340"/>
      <c r="AC342" s="341"/>
      <c r="AD342" s="342" t="s">
        <v>64</v>
      </c>
      <c r="AE342" s="342" t="s">
        <v>154</v>
      </c>
      <c r="AF342" s="284" t="s">
        <v>4446</v>
      </c>
      <c r="AG342" s="284"/>
      <c r="AH342" s="284">
        <v>44353</v>
      </c>
      <c r="AI342" s="284"/>
      <c r="AJ342" s="334">
        <f t="shared" ca="1" si="54"/>
        <v>44963</v>
      </c>
      <c r="AK342" s="342">
        <f t="shared" ca="1" si="50"/>
        <v>610</v>
      </c>
      <c r="AL342" s="342"/>
      <c r="AM342" s="284"/>
      <c r="AN342" s="284" t="s">
        <v>4447</v>
      </c>
      <c r="AO342" s="343">
        <v>10.61</v>
      </c>
      <c r="AP342" s="343">
        <v>10.62</v>
      </c>
      <c r="AQ342" s="343">
        <v>10.644999999999998</v>
      </c>
      <c r="AR342" s="343">
        <v>10.649999999999999</v>
      </c>
      <c r="AS342" s="331">
        <f t="shared" ca="1" si="55"/>
        <v>601</v>
      </c>
      <c r="AV342" s="331" t="s">
        <v>136</v>
      </c>
      <c r="BI342" s="347" t="s">
        <v>3584</v>
      </c>
    </row>
    <row r="343" spans="1:61" s="331" customFormat="1" ht="18" customHeight="1" x14ac:dyDescent="0.35">
      <c r="A343" s="334">
        <v>44373</v>
      </c>
      <c r="B343" s="335">
        <f ca="1">IF(A343="",(IF(ISNUMBER(SUBSTITUTE(LEFT(RIGHT(E343,LEN(E343)-MIN(SEARCH({1,2,3,4,5,6,7,8,9,0},E343&amp;"1234567890"))+1),10),".","/"))=TRUE,AJ343-(SUBSTITUTE(LEFT(RIGHT(E343,LEN(E343)-MIN(SEARCH({1,2,3,4,5,6,7,8,9,0},E343&amp;"1234567890"))+1),10),".","/")),IF((SUBSTITUTE(LEFT(RIGHT(E343,LEN(E343)-MIN(SEARCH({1,2,3,4,5,6,7,8,9,0},E343&amp;"1234567890"))+1),10),".","/"))="","",(AJ343)-(MID(RIGHT((SUBSTITUTE(LEFT(RIGHT(E343,LEN(E343)-MIN(SEARCH({1,2,3,4,5,6,7,8,9,0},E343&amp;"1234567890"))+1),10),".","/")),10),4,2)&amp;"/"&amp;LEFT((RIGHT((SUBSTITUTE(LEFT(RIGHT(E343,LEN(E343)-MIN(SEARCH({1,2,3,4,5,6,7,8,9,0},E343&amp;"1234567890"))+1),10),".","/")),10)),2)&amp;"/"&amp;RIGHT((SUBSTITUTE(LEFT(RIGHT(E343,LEN(E343)-MIN(SEARCH({1,2,3,4,5,6,7,8,9,0},E343&amp;"1234567890"))+1),10),".","/")),4))))),(AJ343-A343))</f>
        <v>590</v>
      </c>
      <c r="C343" s="334"/>
      <c r="D343" s="294" t="str">
        <f t="shared" si="48"/>
        <v>FGM-304/304L/2B-001X770</v>
      </c>
      <c r="E343" s="294" t="s">
        <v>4442</v>
      </c>
      <c r="F343" s="294" t="s">
        <v>4443</v>
      </c>
      <c r="G343" s="373" t="s">
        <v>4449</v>
      </c>
      <c r="H343" s="294" t="s">
        <v>377</v>
      </c>
      <c r="I343" s="337" t="s">
        <v>116</v>
      </c>
      <c r="J343" s="149">
        <v>2.8</v>
      </c>
      <c r="K343" s="149">
        <v>0.78</v>
      </c>
      <c r="L343" s="149">
        <v>0.74</v>
      </c>
      <c r="M343" s="149">
        <v>0.76</v>
      </c>
      <c r="N343" s="335">
        <v>770</v>
      </c>
      <c r="O343" s="296">
        <f>3.82-3.515</f>
        <v>0.30499999999999972</v>
      </c>
      <c r="P343" s="345"/>
      <c r="Q343" s="138" t="s">
        <v>3598</v>
      </c>
      <c r="R343" s="138">
        <f t="shared" si="53"/>
        <v>59.6</v>
      </c>
      <c r="S343" s="339"/>
      <c r="T343" s="299"/>
      <c r="U343" s="282" t="s">
        <v>4351</v>
      </c>
      <c r="V343" s="282" t="s">
        <v>4445</v>
      </c>
      <c r="W343" s="282" t="s">
        <v>116</v>
      </c>
      <c r="X343" s="340">
        <v>44362</v>
      </c>
      <c r="Y343" s="340">
        <v>44362</v>
      </c>
      <c r="Z343" s="340">
        <v>44367</v>
      </c>
      <c r="AA343" s="340"/>
      <c r="AB343" s="340"/>
      <c r="AC343" s="341"/>
      <c r="AD343" s="342" t="s">
        <v>64</v>
      </c>
      <c r="AE343" s="342" t="s">
        <v>154</v>
      </c>
      <c r="AF343" s="284" t="s">
        <v>4446</v>
      </c>
      <c r="AG343" s="284"/>
      <c r="AH343" s="284">
        <v>44353</v>
      </c>
      <c r="AI343" s="284"/>
      <c r="AJ343" s="334">
        <f t="shared" ca="1" si="54"/>
        <v>44963</v>
      </c>
      <c r="AK343" s="342">
        <f t="shared" ca="1" si="50"/>
        <v>610</v>
      </c>
      <c r="AL343" s="342"/>
      <c r="AM343" s="284"/>
      <c r="AN343" s="284" t="s">
        <v>4447</v>
      </c>
      <c r="AO343" s="343">
        <v>10.61</v>
      </c>
      <c r="AP343" s="343">
        <v>10.62</v>
      </c>
      <c r="AQ343" s="343">
        <v>10.644999999999998</v>
      </c>
      <c r="AR343" s="343">
        <v>10.649999999999999</v>
      </c>
      <c r="AS343" s="331">
        <f t="shared" ca="1" si="55"/>
        <v>601</v>
      </c>
      <c r="AV343" s="331" t="s">
        <v>136</v>
      </c>
      <c r="BI343" s="347" t="s">
        <v>3584</v>
      </c>
    </row>
    <row r="344" spans="1:61" s="331" customFormat="1" ht="18" customHeight="1" x14ac:dyDescent="0.35">
      <c r="A344" s="334">
        <v>44372</v>
      </c>
      <c r="B344" s="335">
        <f ca="1">IF(A344="",(IF(ISNUMBER(SUBSTITUTE(LEFT(RIGHT(E344,LEN(E344)-MIN(SEARCH({1,2,3,4,5,6,7,8,9,0},E344&amp;"1234567890"))+1),10),".","/"))=TRUE,AJ344-(SUBSTITUTE(LEFT(RIGHT(E344,LEN(E344)-MIN(SEARCH({1,2,3,4,5,6,7,8,9,0},E344&amp;"1234567890"))+1),10),".","/")),IF((SUBSTITUTE(LEFT(RIGHT(E344,LEN(E344)-MIN(SEARCH({1,2,3,4,5,6,7,8,9,0},E344&amp;"1234567890"))+1),10),".","/"))="","",(AJ344)-(MID(RIGHT((SUBSTITUTE(LEFT(RIGHT(E344,LEN(E344)-MIN(SEARCH({1,2,3,4,5,6,7,8,9,0},E344&amp;"1234567890"))+1),10),".","/")),10),4,2)&amp;"/"&amp;LEFT((RIGHT((SUBSTITUTE(LEFT(RIGHT(E344,LEN(E344)-MIN(SEARCH({1,2,3,4,5,6,7,8,9,0},E344&amp;"1234567890"))+1),10),".","/")),10)),2)&amp;"/"&amp;RIGHT((SUBSTITUTE(LEFT(RIGHT(E344,LEN(E344)-MIN(SEARCH({1,2,3,4,5,6,7,8,9,0},E344&amp;"1234567890"))+1),10),".","/")),4))))),(AJ344-A344))</f>
        <v>591</v>
      </c>
      <c r="C344" s="334"/>
      <c r="D344" s="294" t="str">
        <f t="shared" si="48"/>
        <v>FGM-304/304L/2B-001X770</v>
      </c>
      <c r="E344" s="294" t="s">
        <v>4450</v>
      </c>
      <c r="F344" s="294" t="s">
        <v>4451</v>
      </c>
      <c r="G344" s="373" t="s">
        <v>4452</v>
      </c>
      <c r="H344" s="294" t="s">
        <v>377</v>
      </c>
      <c r="I344" s="337" t="s">
        <v>116</v>
      </c>
      <c r="J344" s="149">
        <v>2.8</v>
      </c>
      <c r="K344" s="149">
        <v>0.78</v>
      </c>
      <c r="L344" s="149">
        <v>0.77</v>
      </c>
      <c r="M344" s="149">
        <v>0.78</v>
      </c>
      <c r="N344" s="335">
        <v>770</v>
      </c>
      <c r="O344" s="296">
        <f>2.92-2.7</f>
        <v>0.21999999999999975</v>
      </c>
      <c r="P344" s="345"/>
      <c r="Q344" s="138" t="s">
        <v>3598</v>
      </c>
      <c r="R344" s="138">
        <f t="shared" si="53"/>
        <v>59.6</v>
      </c>
      <c r="S344" s="339"/>
      <c r="T344" s="299"/>
      <c r="U344" s="282" t="s">
        <v>4351</v>
      </c>
      <c r="V344" s="282" t="s">
        <v>4445</v>
      </c>
      <c r="W344" s="282" t="s">
        <v>116</v>
      </c>
      <c r="X344" s="340">
        <v>44362</v>
      </c>
      <c r="Y344" s="340">
        <v>44363</v>
      </c>
      <c r="Z344" s="340">
        <v>44367</v>
      </c>
      <c r="AA344" s="340"/>
      <c r="AB344" s="340"/>
      <c r="AC344" s="341"/>
      <c r="AD344" s="342" t="s">
        <v>64</v>
      </c>
      <c r="AE344" s="342" t="s">
        <v>154</v>
      </c>
      <c r="AF344" s="284" t="s">
        <v>874</v>
      </c>
      <c r="AG344" s="284"/>
      <c r="AH344" s="284">
        <v>44353</v>
      </c>
      <c r="AI344" s="284"/>
      <c r="AJ344" s="334">
        <f t="shared" ca="1" si="54"/>
        <v>44963</v>
      </c>
      <c r="AK344" s="342">
        <f t="shared" ca="1" si="50"/>
        <v>610</v>
      </c>
      <c r="AL344" s="342"/>
      <c r="AM344" s="284"/>
      <c r="AN344" s="284" t="s">
        <v>4453</v>
      </c>
      <c r="AO344" s="343">
        <v>10.23</v>
      </c>
      <c r="AP344" s="343">
        <v>10.24</v>
      </c>
      <c r="AQ344" s="343">
        <v>10.264999999999999</v>
      </c>
      <c r="AR344" s="343">
        <v>10.27</v>
      </c>
      <c r="AS344" s="331">
        <f t="shared" ca="1" si="55"/>
        <v>600</v>
      </c>
      <c r="AV344" s="331" t="s">
        <v>136</v>
      </c>
      <c r="BI344" s="347" t="s">
        <v>3584</v>
      </c>
    </row>
    <row r="345" spans="1:61" s="331" customFormat="1" ht="18" customHeight="1" x14ac:dyDescent="0.35">
      <c r="A345" s="334">
        <v>44372</v>
      </c>
      <c r="B345" s="335">
        <f ca="1">IF(A345="",(IF(ISNUMBER(SUBSTITUTE(LEFT(RIGHT(E345,LEN(E345)-MIN(SEARCH({1,2,3,4,5,6,7,8,9,0},E345&amp;"1234567890"))+1),10),".","/"))=TRUE,AJ345-(SUBSTITUTE(LEFT(RIGHT(E345,LEN(E345)-MIN(SEARCH({1,2,3,4,5,6,7,8,9,0},E345&amp;"1234567890"))+1),10),".","/")),IF((SUBSTITUTE(LEFT(RIGHT(E345,LEN(E345)-MIN(SEARCH({1,2,3,4,5,6,7,8,9,0},E345&amp;"1234567890"))+1),10),".","/"))="","",(AJ345)-(MID(RIGHT((SUBSTITUTE(LEFT(RIGHT(E345,LEN(E345)-MIN(SEARCH({1,2,3,4,5,6,7,8,9,0},E345&amp;"1234567890"))+1),10),".","/")),10),4,2)&amp;"/"&amp;LEFT((RIGHT((SUBSTITUTE(LEFT(RIGHT(E345,LEN(E345)-MIN(SEARCH({1,2,3,4,5,6,7,8,9,0},E345&amp;"1234567890"))+1),10),".","/")),10)),2)&amp;"/"&amp;RIGHT((SUBSTITUTE(LEFT(RIGHT(E345,LEN(E345)-MIN(SEARCH({1,2,3,4,5,6,7,8,9,0},E345&amp;"1234567890"))+1),10),".","/")),4))))),(AJ345-A345))</f>
        <v>591</v>
      </c>
      <c r="C345" s="334"/>
      <c r="D345" s="294" t="str">
        <f t="shared" si="48"/>
        <v>FGM-304/304L/2B-001X770</v>
      </c>
      <c r="E345" s="294" t="s">
        <v>4379</v>
      </c>
      <c r="F345" s="294" t="s">
        <v>4454</v>
      </c>
      <c r="G345" s="373" t="s">
        <v>4455</v>
      </c>
      <c r="H345" s="294" t="s">
        <v>377</v>
      </c>
      <c r="I345" s="337" t="s">
        <v>116</v>
      </c>
      <c r="J345" s="149">
        <v>2.79</v>
      </c>
      <c r="K345" s="149">
        <v>0.78</v>
      </c>
      <c r="L345" s="149">
        <v>0.77</v>
      </c>
      <c r="M345" s="149">
        <v>0.78</v>
      </c>
      <c r="N345" s="335">
        <v>770</v>
      </c>
      <c r="O345" s="296">
        <f>3.5-3.225</f>
        <v>0.27499999999999991</v>
      </c>
      <c r="P345" s="345"/>
      <c r="Q345" s="138" t="s">
        <v>3598</v>
      </c>
      <c r="R345" s="138">
        <f t="shared" si="53"/>
        <v>59.6</v>
      </c>
      <c r="S345" s="339"/>
      <c r="T345" s="299"/>
      <c r="U345" s="282" t="s">
        <v>4351</v>
      </c>
      <c r="V345" s="282" t="s">
        <v>4445</v>
      </c>
      <c r="W345" s="282" t="s">
        <v>116</v>
      </c>
      <c r="X345" s="340">
        <v>44363</v>
      </c>
      <c r="Y345" s="340">
        <v>44363</v>
      </c>
      <c r="Z345" s="340">
        <v>44371</v>
      </c>
      <c r="AA345" s="340"/>
      <c r="AB345" s="340"/>
      <c r="AC345" s="341"/>
      <c r="AD345" s="342" t="s">
        <v>64</v>
      </c>
      <c r="AE345" s="342" t="s">
        <v>154</v>
      </c>
      <c r="AF345" s="284" t="s">
        <v>4446</v>
      </c>
      <c r="AG345" s="284"/>
      <c r="AH345" s="284">
        <v>44353</v>
      </c>
      <c r="AI345" s="284"/>
      <c r="AJ345" s="334">
        <f t="shared" ca="1" si="54"/>
        <v>44963</v>
      </c>
      <c r="AK345" s="342">
        <f t="shared" ca="1" si="50"/>
        <v>610</v>
      </c>
      <c r="AL345" s="342"/>
      <c r="AM345" s="284"/>
      <c r="AN345" s="284" t="s">
        <v>4456</v>
      </c>
      <c r="AO345" s="343">
        <v>10.585000000000001</v>
      </c>
      <c r="AP345" s="343">
        <v>10.595000000000001</v>
      </c>
      <c r="AQ345" s="343">
        <v>10.62</v>
      </c>
      <c r="AR345" s="343">
        <v>10.625</v>
      </c>
      <c r="AS345" s="331">
        <f t="shared" ca="1" si="55"/>
        <v>600</v>
      </c>
      <c r="AV345" s="331" t="s">
        <v>136</v>
      </c>
      <c r="BI345" s="347" t="s">
        <v>3584</v>
      </c>
    </row>
    <row r="346" spans="1:61" s="331" customFormat="1" ht="18" customHeight="1" x14ac:dyDescent="0.35">
      <c r="A346" s="334">
        <v>44377</v>
      </c>
      <c r="B346" s="335">
        <f ca="1">IF(A346="",(IF(ISNUMBER(SUBSTITUTE(LEFT(RIGHT(E346,LEN(E346)-MIN(SEARCH({1,2,3,4,5,6,7,8,9,0},E346&amp;"1234567890"))+1),10),".","/"))=TRUE,AJ346-(SUBSTITUTE(LEFT(RIGHT(E346,LEN(E346)-MIN(SEARCH({1,2,3,4,5,6,7,8,9,0},E346&amp;"1234567890"))+1),10),".","/")),IF((SUBSTITUTE(LEFT(RIGHT(E346,LEN(E346)-MIN(SEARCH({1,2,3,4,5,6,7,8,9,0},E346&amp;"1234567890"))+1),10),".","/"))="","",(AJ346)-(MID(RIGHT((SUBSTITUTE(LEFT(RIGHT(E346,LEN(E346)-MIN(SEARCH({1,2,3,4,5,6,7,8,9,0},E346&amp;"1234567890"))+1),10),".","/")),10),4,2)&amp;"/"&amp;LEFT((RIGHT((SUBSTITUTE(LEFT(RIGHT(E346,LEN(E346)-MIN(SEARCH({1,2,3,4,5,6,7,8,9,0},E346&amp;"1234567890"))+1),10),".","/")),10)),2)&amp;"/"&amp;RIGHT((SUBSTITUTE(LEFT(RIGHT(E346,LEN(E346)-MIN(SEARCH({1,2,3,4,5,6,7,8,9,0},E346&amp;"1234567890"))+1),10),".","/")),4))))),(AJ346-A346))</f>
        <v>586</v>
      </c>
      <c r="C346" s="334"/>
      <c r="D346" s="294" t="str">
        <f t="shared" si="48"/>
        <v>FGM-304/304L/2B-001X770</v>
      </c>
      <c r="E346" s="294" t="s">
        <v>4450</v>
      </c>
      <c r="F346" s="294" t="s">
        <v>4451</v>
      </c>
      <c r="G346" s="373" t="s">
        <v>4457</v>
      </c>
      <c r="H346" s="294" t="s">
        <v>377</v>
      </c>
      <c r="I346" s="337" t="s">
        <v>116</v>
      </c>
      <c r="J346" s="149">
        <v>2.8</v>
      </c>
      <c r="K346" s="149">
        <v>0.78</v>
      </c>
      <c r="L346" s="149">
        <v>0.77</v>
      </c>
      <c r="M346" s="149">
        <v>0.78</v>
      </c>
      <c r="N346" s="335">
        <v>770</v>
      </c>
      <c r="O346" s="296">
        <f>3.315-3.06</f>
        <v>0.25499999999999989</v>
      </c>
      <c r="P346" s="839">
        <v>1.34</v>
      </c>
      <c r="Q346" s="138" t="s">
        <v>3598</v>
      </c>
      <c r="R346" s="138">
        <f t="shared" si="53"/>
        <v>59.6</v>
      </c>
      <c r="S346" s="339"/>
      <c r="T346" s="299"/>
      <c r="U346" s="282" t="s">
        <v>4351</v>
      </c>
      <c r="V346" s="282" t="s">
        <v>4445</v>
      </c>
      <c r="W346" s="282" t="s">
        <v>116</v>
      </c>
      <c r="X346" s="340">
        <v>44362</v>
      </c>
      <c r="Y346" s="340">
        <v>44363</v>
      </c>
      <c r="Z346" s="340">
        <v>44367</v>
      </c>
      <c r="AA346" s="340"/>
      <c r="AB346" s="340"/>
      <c r="AC346" s="341"/>
      <c r="AD346" s="342" t="s">
        <v>64</v>
      </c>
      <c r="AE346" s="342" t="s">
        <v>154</v>
      </c>
      <c r="AF346" s="284" t="s">
        <v>874</v>
      </c>
      <c r="AG346" s="284"/>
      <c r="AH346" s="284">
        <v>44353</v>
      </c>
      <c r="AI346" s="284"/>
      <c r="AJ346" s="334">
        <f t="shared" ca="1" si="54"/>
        <v>44963</v>
      </c>
      <c r="AK346" s="342">
        <f t="shared" ca="1" si="50"/>
        <v>610</v>
      </c>
      <c r="AL346" s="342"/>
      <c r="AM346" s="284"/>
      <c r="AN346" s="284" t="s">
        <v>4453</v>
      </c>
      <c r="AO346" s="343">
        <v>10.23</v>
      </c>
      <c r="AP346" s="343">
        <v>10.24</v>
      </c>
      <c r="AQ346" s="343">
        <v>10.264999999999999</v>
      </c>
      <c r="AR346" s="343">
        <v>10.27</v>
      </c>
      <c r="AS346" s="331">
        <f t="shared" ca="1" si="55"/>
        <v>600</v>
      </c>
      <c r="AV346" s="331" t="s">
        <v>136</v>
      </c>
      <c r="BI346" s="347" t="s">
        <v>3584</v>
      </c>
    </row>
    <row r="347" spans="1:61" s="331" customFormat="1" ht="18" customHeight="1" x14ac:dyDescent="0.35">
      <c r="A347" s="334">
        <v>44377</v>
      </c>
      <c r="B347" s="335">
        <f ca="1">IF(A347="",(IF(ISNUMBER(SUBSTITUTE(LEFT(RIGHT(E347,LEN(E347)-MIN(SEARCH({1,2,3,4,5,6,7,8,9,0},E347&amp;"1234567890"))+1),10),".","/"))=TRUE,AJ347-(SUBSTITUTE(LEFT(RIGHT(E347,LEN(E347)-MIN(SEARCH({1,2,3,4,5,6,7,8,9,0},E347&amp;"1234567890"))+1),10),".","/")),IF((SUBSTITUTE(LEFT(RIGHT(E347,LEN(E347)-MIN(SEARCH({1,2,3,4,5,6,7,8,9,0},E347&amp;"1234567890"))+1),10),".","/"))="","",(AJ347)-(MID(RIGHT((SUBSTITUTE(LEFT(RIGHT(E347,LEN(E347)-MIN(SEARCH({1,2,3,4,5,6,7,8,9,0},E347&amp;"1234567890"))+1),10),".","/")),10),4,2)&amp;"/"&amp;LEFT((RIGHT((SUBSTITUTE(LEFT(RIGHT(E347,LEN(E347)-MIN(SEARCH({1,2,3,4,5,6,7,8,9,0},E347&amp;"1234567890"))+1),10),".","/")),10)),2)&amp;"/"&amp;RIGHT((SUBSTITUTE(LEFT(RIGHT(E347,LEN(E347)-MIN(SEARCH({1,2,3,4,5,6,7,8,9,0},E347&amp;"1234567890"))+1),10),".","/")),4))))),(AJ347-A347))</f>
        <v>586</v>
      </c>
      <c r="C347" s="334"/>
      <c r="D347" s="294" t="str">
        <f t="shared" si="48"/>
        <v>FGM-304/304L/2B-001X770</v>
      </c>
      <c r="E347" s="294" t="s">
        <v>4450</v>
      </c>
      <c r="F347" s="294" t="s">
        <v>4451</v>
      </c>
      <c r="G347" s="373" t="s">
        <v>4458</v>
      </c>
      <c r="H347" s="294" t="s">
        <v>377</v>
      </c>
      <c r="I347" s="337" t="s">
        <v>116</v>
      </c>
      <c r="J347" s="149">
        <v>2.8</v>
      </c>
      <c r="K347" s="149">
        <v>0.78</v>
      </c>
      <c r="L347" s="149">
        <v>0.77</v>
      </c>
      <c r="M347" s="149">
        <v>0.78</v>
      </c>
      <c r="N347" s="335">
        <v>770</v>
      </c>
      <c r="O347" s="296">
        <f>3.825-3.53</f>
        <v>0.29500000000000037</v>
      </c>
      <c r="P347" s="841"/>
      <c r="Q347" s="138" t="s">
        <v>3598</v>
      </c>
      <c r="R347" s="138">
        <f t="shared" si="53"/>
        <v>59.6</v>
      </c>
      <c r="S347" s="339"/>
      <c r="T347" s="299"/>
      <c r="U347" s="282" t="s">
        <v>4351</v>
      </c>
      <c r="V347" s="282" t="s">
        <v>4445</v>
      </c>
      <c r="W347" s="282" t="s">
        <v>116</v>
      </c>
      <c r="X347" s="340">
        <v>44362</v>
      </c>
      <c r="Y347" s="340">
        <v>44363</v>
      </c>
      <c r="Z347" s="340">
        <v>44367</v>
      </c>
      <c r="AA347" s="340"/>
      <c r="AB347" s="340"/>
      <c r="AC347" s="341"/>
      <c r="AD347" s="342" t="s">
        <v>64</v>
      </c>
      <c r="AE347" s="342" t="s">
        <v>154</v>
      </c>
      <c r="AF347" s="284" t="s">
        <v>874</v>
      </c>
      <c r="AG347" s="284"/>
      <c r="AH347" s="284">
        <v>44353</v>
      </c>
      <c r="AI347" s="284"/>
      <c r="AJ347" s="334">
        <f t="shared" ca="1" si="54"/>
        <v>44963</v>
      </c>
      <c r="AK347" s="342">
        <f t="shared" ca="1" si="50"/>
        <v>610</v>
      </c>
      <c r="AL347" s="342"/>
      <c r="AM347" s="284"/>
      <c r="AN347" s="284" t="s">
        <v>4453</v>
      </c>
      <c r="AO347" s="343">
        <v>10.23</v>
      </c>
      <c r="AP347" s="343">
        <v>10.24</v>
      </c>
      <c r="AQ347" s="343">
        <v>10.264999999999999</v>
      </c>
      <c r="AR347" s="343">
        <v>10.27</v>
      </c>
      <c r="AS347" s="331">
        <f t="shared" ca="1" si="55"/>
        <v>600</v>
      </c>
      <c r="AV347" s="331" t="s">
        <v>136</v>
      </c>
      <c r="BI347" s="347" t="s">
        <v>3584</v>
      </c>
    </row>
    <row r="348" spans="1:61" s="331" customFormat="1" ht="18" customHeight="1" x14ac:dyDescent="0.35">
      <c r="A348" s="334">
        <v>44377</v>
      </c>
      <c r="B348" s="335">
        <f ca="1">IF(A348="",(IF(ISNUMBER(SUBSTITUTE(LEFT(RIGHT(E348,LEN(E348)-MIN(SEARCH({1,2,3,4,5,6,7,8,9,0},E348&amp;"1234567890"))+1),10),".","/"))=TRUE,AJ348-(SUBSTITUTE(LEFT(RIGHT(E348,LEN(E348)-MIN(SEARCH({1,2,3,4,5,6,7,8,9,0},E348&amp;"1234567890"))+1),10),".","/")),IF((SUBSTITUTE(LEFT(RIGHT(E348,LEN(E348)-MIN(SEARCH({1,2,3,4,5,6,7,8,9,0},E348&amp;"1234567890"))+1),10),".","/"))="","",(AJ348)-(MID(RIGHT((SUBSTITUTE(LEFT(RIGHT(E348,LEN(E348)-MIN(SEARCH({1,2,3,4,5,6,7,8,9,0},E348&amp;"1234567890"))+1),10),".","/")),10),4,2)&amp;"/"&amp;LEFT((RIGHT((SUBSTITUTE(LEFT(RIGHT(E348,LEN(E348)-MIN(SEARCH({1,2,3,4,5,6,7,8,9,0},E348&amp;"1234567890"))+1),10),".","/")),10)),2)&amp;"/"&amp;RIGHT((SUBSTITUTE(LEFT(RIGHT(E348,LEN(E348)-MIN(SEARCH({1,2,3,4,5,6,7,8,9,0},E348&amp;"1234567890"))+1),10),".","/")),4))))),(AJ348-A348))</f>
        <v>586</v>
      </c>
      <c r="C348" s="334"/>
      <c r="D348" s="294" t="str">
        <f t="shared" si="48"/>
        <v>FGM-304/304L/2B-001X770</v>
      </c>
      <c r="E348" s="294" t="s">
        <v>4450</v>
      </c>
      <c r="F348" s="294" t="s">
        <v>4454</v>
      </c>
      <c r="G348" s="373" t="s">
        <v>4459</v>
      </c>
      <c r="H348" s="294" t="s">
        <v>377</v>
      </c>
      <c r="I348" s="337" t="s">
        <v>116</v>
      </c>
      <c r="J348" s="149">
        <v>2.79</v>
      </c>
      <c r="K348" s="149">
        <v>0.78</v>
      </c>
      <c r="L348" s="149">
        <v>0.77</v>
      </c>
      <c r="M348" s="149">
        <v>0.78</v>
      </c>
      <c r="N348" s="335">
        <v>770</v>
      </c>
      <c r="O348" s="296">
        <f>3.415-3.15</f>
        <v>0.26500000000000012</v>
      </c>
      <c r="P348" s="841"/>
      <c r="Q348" s="138" t="s">
        <v>3598</v>
      </c>
      <c r="R348" s="138">
        <f t="shared" si="53"/>
        <v>59.6</v>
      </c>
      <c r="S348" s="339"/>
      <c r="T348" s="299"/>
      <c r="U348" s="282" t="s">
        <v>4351</v>
      </c>
      <c r="V348" s="282" t="s">
        <v>4445</v>
      </c>
      <c r="W348" s="282" t="s">
        <v>116</v>
      </c>
      <c r="X348" s="340">
        <v>44363</v>
      </c>
      <c r="Y348" s="340">
        <v>44363</v>
      </c>
      <c r="Z348" s="340">
        <v>44371</v>
      </c>
      <c r="AA348" s="340"/>
      <c r="AB348" s="340"/>
      <c r="AC348" s="341"/>
      <c r="AD348" s="342" t="s">
        <v>64</v>
      </c>
      <c r="AE348" s="342" t="s">
        <v>154</v>
      </c>
      <c r="AF348" s="284" t="s">
        <v>4446</v>
      </c>
      <c r="AG348" s="284"/>
      <c r="AH348" s="284">
        <v>44353</v>
      </c>
      <c r="AI348" s="284"/>
      <c r="AJ348" s="334">
        <f t="shared" ca="1" si="54"/>
        <v>44963</v>
      </c>
      <c r="AK348" s="342">
        <f t="shared" ca="1" si="50"/>
        <v>610</v>
      </c>
      <c r="AL348" s="342"/>
      <c r="AM348" s="284"/>
      <c r="AN348" s="284" t="s">
        <v>4456</v>
      </c>
      <c r="AO348" s="343">
        <v>10.585000000000001</v>
      </c>
      <c r="AP348" s="343">
        <v>10.595000000000001</v>
      </c>
      <c r="AQ348" s="343">
        <v>10.62</v>
      </c>
      <c r="AR348" s="343">
        <v>10.625</v>
      </c>
      <c r="AS348" s="331">
        <f t="shared" ca="1" si="55"/>
        <v>600</v>
      </c>
      <c r="AV348" s="331" t="s">
        <v>136</v>
      </c>
      <c r="BI348" s="347" t="s">
        <v>3584</v>
      </c>
    </row>
    <row r="349" spans="1:61" s="331" customFormat="1" ht="18" customHeight="1" x14ac:dyDescent="0.35">
      <c r="A349" s="334">
        <v>44377</v>
      </c>
      <c r="B349" s="335">
        <f ca="1">IF(A349="",(IF(ISNUMBER(SUBSTITUTE(LEFT(RIGHT(E349,LEN(E349)-MIN(SEARCH({1,2,3,4,5,6,7,8,9,0},E349&amp;"1234567890"))+1),10),".","/"))=TRUE,AJ349-(SUBSTITUTE(LEFT(RIGHT(E349,LEN(E349)-MIN(SEARCH({1,2,3,4,5,6,7,8,9,0},E349&amp;"1234567890"))+1),10),".","/")),IF((SUBSTITUTE(LEFT(RIGHT(E349,LEN(E349)-MIN(SEARCH({1,2,3,4,5,6,7,8,9,0},E349&amp;"1234567890"))+1),10),".","/"))="","",(AJ349)-(MID(RIGHT((SUBSTITUTE(LEFT(RIGHT(E349,LEN(E349)-MIN(SEARCH({1,2,3,4,5,6,7,8,9,0},E349&amp;"1234567890"))+1),10),".","/")),10),4,2)&amp;"/"&amp;LEFT((RIGHT((SUBSTITUTE(LEFT(RIGHT(E349,LEN(E349)-MIN(SEARCH({1,2,3,4,5,6,7,8,9,0},E349&amp;"1234567890"))+1),10),".","/")),10)),2)&amp;"/"&amp;RIGHT((SUBSTITUTE(LEFT(RIGHT(E349,LEN(E349)-MIN(SEARCH({1,2,3,4,5,6,7,8,9,0},E349&amp;"1234567890"))+1),10),".","/")),4))))),(AJ349-A349))</f>
        <v>586</v>
      </c>
      <c r="C349" s="334"/>
      <c r="D349" s="294" t="str">
        <f t="shared" si="48"/>
        <v>FGM-304/304L/2B-001X770</v>
      </c>
      <c r="E349" s="294" t="s">
        <v>4450</v>
      </c>
      <c r="F349" s="294" t="s">
        <v>4454</v>
      </c>
      <c r="G349" s="373" t="s">
        <v>4460</v>
      </c>
      <c r="H349" s="294" t="s">
        <v>377</v>
      </c>
      <c r="I349" s="337" t="s">
        <v>116</v>
      </c>
      <c r="J349" s="149">
        <v>2.79</v>
      </c>
      <c r="K349" s="149">
        <v>0.78</v>
      </c>
      <c r="L349" s="149">
        <v>0.77</v>
      </c>
      <c r="M349" s="149">
        <v>0.78</v>
      </c>
      <c r="N349" s="335">
        <v>770</v>
      </c>
      <c r="O349" s="296">
        <f>3.49-3.225</f>
        <v>0.26500000000000012</v>
      </c>
      <c r="P349" s="841"/>
      <c r="Q349" s="138" t="s">
        <v>3598</v>
      </c>
      <c r="R349" s="138">
        <f t="shared" si="53"/>
        <v>59.6</v>
      </c>
      <c r="S349" s="339"/>
      <c r="T349" s="299"/>
      <c r="U349" s="282" t="s">
        <v>4351</v>
      </c>
      <c r="V349" s="282" t="s">
        <v>4445</v>
      </c>
      <c r="W349" s="282" t="s">
        <v>116</v>
      </c>
      <c r="X349" s="340">
        <v>44363</v>
      </c>
      <c r="Y349" s="340">
        <v>44363</v>
      </c>
      <c r="Z349" s="340">
        <v>44371</v>
      </c>
      <c r="AA349" s="340"/>
      <c r="AB349" s="340"/>
      <c r="AC349" s="341"/>
      <c r="AD349" s="342" t="s">
        <v>64</v>
      </c>
      <c r="AE349" s="342" t="s">
        <v>154</v>
      </c>
      <c r="AF349" s="284" t="s">
        <v>4446</v>
      </c>
      <c r="AG349" s="284"/>
      <c r="AH349" s="284">
        <v>44353</v>
      </c>
      <c r="AI349" s="284"/>
      <c r="AJ349" s="334">
        <f t="shared" ca="1" si="54"/>
        <v>44963</v>
      </c>
      <c r="AK349" s="342">
        <f t="shared" ca="1" si="50"/>
        <v>610</v>
      </c>
      <c r="AL349" s="342"/>
      <c r="AM349" s="284"/>
      <c r="AN349" s="284" t="s">
        <v>4456</v>
      </c>
      <c r="AO349" s="343">
        <v>10.585000000000001</v>
      </c>
      <c r="AP349" s="343">
        <v>10.595000000000001</v>
      </c>
      <c r="AQ349" s="343">
        <v>10.62</v>
      </c>
      <c r="AR349" s="343">
        <v>10.625</v>
      </c>
      <c r="AS349" s="331">
        <f t="shared" ca="1" si="55"/>
        <v>600</v>
      </c>
      <c r="AV349" s="331" t="s">
        <v>136</v>
      </c>
      <c r="BI349" s="347" t="s">
        <v>3584</v>
      </c>
    </row>
    <row r="350" spans="1:61" s="331" customFormat="1" ht="18" customHeight="1" x14ac:dyDescent="0.35">
      <c r="A350" s="334">
        <v>44377</v>
      </c>
      <c r="B350" s="335">
        <f ca="1">IF(A350="",(IF(ISNUMBER(SUBSTITUTE(LEFT(RIGHT(E350,LEN(E350)-MIN(SEARCH({1,2,3,4,5,6,7,8,9,0},E350&amp;"1234567890"))+1),10),".","/"))=TRUE,AJ350-(SUBSTITUTE(LEFT(RIGHT(E350,LEN(E350)-MIN(SEARCH({1,2,3,4,5,6,7,8,9,0},E350&amp;"1234567890"))+1),10),".","/")),IF((SUBSTITUTE(LEFT(RIGHT(E350,LEN(E350)-MIN(SEARCH({1,2,3,4,5,6,7,8,9,0},E350&amp;"1234567890"))+1),10),".","/"))="","",(AJ350)-(MID(RIGHT((SUBSTITUTE(LEFT(RIGHT(E350,LEN(E350)-MIN(SEARCH({1,2,3,4,5,6,7,8,9,0},E350&amp;"1234567890"))+1),10),".","/")),10),4,2)&amp;"/"&amp;LEFT((RIGHT((SUBSTITUTE(LEFT(RIGHT(E350,LEN(E350)-MIN(SEARCH({1,2,3,4,5,6,7,8,9,0},E350&amp;"1234567890"))+1),10),".","/")),10)),2)&amp;"/"&amp;RIGHT((SUBSTITUTE(LEFT(RIGHT(E350,LEN(E350)-MIN(SEARCH({1,2,3,4,5,6,7,8,9,0},E350&amp;"1234567890"))+1),10),".","/")),4))))),(AJ350-A350))</f>
        <v>586</v>
      </c>
      <c r="C350" s="334"/>
      <c r="D350" s="294" t="str">
        <f t="shared" si="48"/>
        <v>FGM-304/304L/2B-001X770</v>
      </c>
      <c r="E350" s="294" t="s">
        <v>4379</v>
      </c>
      <c r="F350" s="294" t="s">
        <v>4380</v>
      </c>
      <c r="G350" s="373" t="s">
        <v>4461</v>
      </c>
      <c r="H350" s="294" t="s">
        <v>377</v>
      </c>
      <c r="I350" s="337" t="s">
        <v>116</v>
      </c>
      <c r="J350" s="149">
        <v>2.8</v>
      </c>
      <c r="K350" s="149">
        <v>0.78</v>
      </c>
      <c r="L350" s="149">
        <v>0.75</v>
      </c>
      <c r="M350" s="149">
        <v>0.77</v>
      </c>
      <c r="N350" s="335">
        <v>770</v>
      </c>
      <c r="O350" s="296">
        <v>0.22500000000000001</v>
      </c>
      <c r="P350" s="840"/>
      <c r="Q350" s="138" t="s">
        <v>3598</v>
      </c>
      <c r="R350" s="138">
        <f t="shared" si="53"/>
        <v>59.6</v>
      </c>
      <c r="S350" s="339"/>
      <c r="T350" s="299"/>
      <c r="U350" s="282" t="s">
        <v>4351</v>
      </c>
      <c r="V350" s="282" t="s">
        <v>4445</v>
      </c>
      <c r="W350" s="282" t="s">
        <v>116</v>
      </c>
      <c r="X350" s="340">
        <v>44362</v>
      </c>
      <c r="Y350" s="340">
        <v>44362</v>
      </c>
      <c r="Z350" s="340">
        <v>44371</v>
      </c>
      <c r="AA350" s="340"/>
      <c r="AB350" s="340"/>
      <c r="AC350" s="341"/>
      <c r="AD350" s="342" t="s">
        <v>64</v>
      </c>
      <c r="AE350" s="342" t="s">
        <v>154</v>
      </c>
      <c r="AF350" s="284" t="s">
        <v>874</v>
      </c>
      <c r="AG350" s="284"/>
      <c r="AH350" s="284">
        <v>44353</v>
      </c>
      <c r="AI350" s="284"/>
      <c r="AJ350" s="334">
        <f t="shared" ca="1" si="54"/>
        <v>44963</v>
      </c>
      <c r="AK350" s="342">
        <f t="shared" ca="1" si="50"/>
        <v>610</v>
      </c>
      <c r="AL350" s="342"/>
      <c r="AM350" s="284"/>
      <c r="AN350" s="284" t="s">
        <v>4383</v>
      </c>
      <c r="AO350" s="343">
        <v>10.455</v>
      </c>
      <c r="AP350" s="343">
        <v>10.465</v>
      </c>
      <c r="AQ350" s="343">
        <v>10.489999999999998</v>
      </c>
      <c r="AR350" s="343">
        <v>10.494999999999999</v>
      </c>
      <c r="AS350" s="331">
        <f t="shared" ca="1" si="55"/>
        <v>601</v>
      </c>
      <c r="AV350" s="331" t="s">
        <v>136</v>
      </c>
      <c r="BI350" s="347" t="s">
        <v>3584</v>
      </c>
    </row>
    <row r="351" spans="1:61" s="331" customFormat="1" ht="18" customHeight="1" x14ac:dyDescent="0.35">
      <c r="A351" s="334">
        <v>44377</v>
      </c>
      <c r="B351" s="335">
        <f ca="1">IF(A351="",(IF(ISNUMBER(SUBSTITUTE(LEFT(RIGHT(E351,LEN(E351)-MIN(SEARCH({1,2,3,4,5,6,7,8,9,0},E351&amp;"1234567890"))+1),10),".","/"))=TRUE,AJ351-(SUBSTITUTE(LEFT(RIGHT(E351,LEN(E351)-MIN(SEARCH({1,2,3,4,5,6,7,8,9,0},E351&amp;"1234567890"))+1),10),".","/")),IF((SUBSTITUTE(LEFT(RIGHT(E351,LEN(E351)-MIN(SEARCH({1,2,3,4,5,6,7,8,9,0},E351&amp;"1234567890"))+1),10),".","/"))="","",(AJ351)-(MID(RIGHT((SUBSTITUTE(LEFT(RIGHT(E351,LEN(E351)-MIN(SEARCH({1,2,3,4,5,6,7,8,9,0},E351&amp;"1234567890"))+1),10),".","/")),10),4,2)&amp;"/"&amp;LEFT((RIGHT((SUBSTITUTE(LEFT(RIGHT(E351,LEN(E351)-MIN(SEARCH({1,2,3,4,5,6,7,8,9,0},E351&amp;"1234567890"))+1),10),".","/")),10)),2)&amp;"/"&amp;RIGHT((SUBSTITUTE(LEFT(RIGHT(E351,LEN(E351)-MIN(SEARCH({1,2,3,4,5,6,7,8,9,0},E351&amp;"1234567890"))+1),10),".","/")),4))))),(AJ351-A351))</f>
        <v>586</v>
      </c>
      <c r="C351" s="334"/>
      <c r="D351" s="294" t="str">
        <f t="shared" si="48"/>
        <v>FGM-304/2B-001X462</v>
      </c>
      <c r="E351" s="294" t="s">
        <v>4450</v>
      </c>
      <c r="F351" s="294" t="s">
        <v>4462</v>
      </c>
      <c r="G351" s="373" t="s">
        <v>4463</v>
      </c>
      <c r="H351" s="294">
        <v>304</v>
      </c>
      <c r="I351" s="337" t="s">
        <v>116</v>
      </c>
      <c r="J351" s="149">
        <v>3.5</v>
      </c>
      <c r="K351" s="149">
        <v>0.78</v>
      </c>
      <c r="L351" s="149">
        <v>0.78</v>
      </c>
      <c r="M351" s="149">
        <v>0.79</v>
      </c>
      <c r="N351" s="335">
        <v>462</v>
      </c>
      <c r="O351" s="296">
        <f>2.895-2.515</f>
        <v>0.37999999999999989</v>
      </c>
      <c r="P351" s="345">
        <v>0.41499999999999998</v>
      </c>
      <c r="Q351" s="138" t="s">
        <v>3598</v>
      </c>
      <c r="R351" s="138">
        <f t="shared" si="53"/>
        <v>59.6</v>
      </c>
      <c r="S351" s="339"/>
      <c r="T351" s="299"/>
      <c r="U351" s="282" t="s">
        <v>4351</v>
      </c>
      <c r="V351" s="282" t="s">
        <v>4445</v>
      </c>
      <c r="W351" s="282" t="s">
        <v>116</v>
      </c>
      <c r="X351" s="340">
        <v>44320</v>
      </c>
      <c r="Y351" s="340">
        <v>44321</v>
      </c>
      <c r="Z351" s="340">
        <v>44321</v>
      </c>
      <c r="AA351" s="340"/>
      <c r="AB351" s="340"/>
      <c r="AC351" s="341"/>
      <c r="AD351" s="342" t="s">
        <v>64</v>
      </c>
      <c r="AE351" s="342" t="s">
        <v>154</v>
      </c>
      <c r="AF351" s="284" t="s">
        <v>4464</v>
      </c>
      <c r="AG351" s="284"/>
      <c r="AH351" s="284">
        <v>44317</v>
      </c>
      <c r="AI351" s="284"/>
      <c r="AJ351" s="334">
        <f t="shared" ca="1" si="54"/>
        <v>44963</v>
      </c>
      <c r="AK351" s="342">
        <f t="shared" ca="1" si="50"/>
        <v>646</v>
      </c>
      <c r="AL351" s="342"/>
      <c r="AM351" s="284"/>
      <c r="AN351" s="284" t="s">
        <v>4465</v>
      </c>
      <c r="AO351" s="343">
        <v>12.24</v>
      </c>
      <c r="AP351" s="343">
        <v>12.25</v>
      </c>
      <c r="AQ351" s="343">
        <v>12.274999999999999</v>
      </c>
      <c r="AR351" s="343">
        <v>12.28</v>
      </c>
      <c r="AS351" s="331">
        <f t="shared" ca="1" si="55"/>
        <v>642</v>
      </c>
      <c r="AV351" s="331" t="s">
        <v>136</v>
      </c>
      <c r="BI351" s="347"/>
    </row>
    <row r="352" spans="1:61" s="331" customFormat="1" ht="18" customHeight="1" x14ac:dyDescent="0.35">
      <c r="A352" s="334">
        <v>44503</v>
      </c>
      <c r="B352" s="335">
        <f ca="1">IF(A352="",(IF(ISNUMBER(SUBSTITUTE(LEFT(RIGHT(E352,LEN(E352)-MIN(SEARCH({1,2,3,4,5,6,7,8,9,0},E352&amp;"1234567890"))+1),10),".","/"))=TRUE,AJ352-(SUBSTITUTE(LEFT(RIGHT(E352,LEN(E352)-MIN(SEARCH({1,2,3,4,5,6,7,8,9,0},E352&amp;"1234567890"))+1),10),".","/")),IF((SUBSTITUTE(LEFT(RIGHT(E352,LEN(E352)-MIN(SEARCH({1,2,3,4,5,6,7,8,9,0},E352&amp;"1234567890"))+1),10),".","/"))="","",(AJ352)-(MID(RIGHT((SUBSTITUTE(LEFT(RIGHT(E352,LEN(E352)-MIN(SEARCH({1,2,3,4,5,6,7,8,9,0},E352&amp;"1234567890"))+1),10),".","/")),10),4,2)&amp;"/"&amp;LEFT((RIGHT((SUBSTITUTE(LEFT(RIGHT(E352,LEN(E352)-MIN(SEARCH({1,2,3,4,5,6,7,8,9,0},E352&amp;"1234567890"))+1),10),".","/")),10)),2)&amp;"/"&amp;RIGHT((SUBSTITUTE(LEFT(RIGHT(E352,LEN(E352)-MIN(SEARCH({1,2,3,4,5,6,7,8,9,0},E352&amp;"1234567890"))+1),10),".","/")),4))))),(AJ352-A352))</f>
        <v>460</v>
      </c>
      <c r="C352" s="334"/>
      <c r="D352" s="294" t="str">
        <f t="shared" si="48"/>
        <v>FGM-304/304L/2B-001X770</v>
      </c>
      <c r="E352" s="294" t="s">
        <v>4437</v>
      </c>
      <c r="F352" s="294" t="s">
        <v>4466</v>
      </c>
      <c r="G352" s="373" t="s">
        <v>4467</v>
      </c>
      <c r="H352" s="294" t="s">
        <v>377</v>
      </c>
      <c r="I352" s="337" t="s">
        <v>116</v>
      </c>
      <c r="J352" s="149">
        <v>1.5</v>
      </c>
      <c r="K352" s="149">
        <v>0.78</v>
      </c>
      <c r="L352" s="149">
        <v>0.77</v>
      </c>
      <c r="M352" s="149">
        <v>0.78</v>
      </c>
      <c r="N352" s="335">
        <v>770</v>
      </c>
      <c r="O352" s="296">
        <f>3.38-3.115</f>
        <v>0.26499999999999968</v>
      </c>
      <c r="P352" s="839">
        <v>1.1100000000000001</v>
      </c>
      <c r="Q352" s="138" t="s">
        <v>3598</v>
      </c>
      <c r="R352" s="138">
        <f t="shared" si="53"/>
        <v>59.6</v>
      </c>
      <c r="S352" s="339"/>
      <c r="T352" s="299"/>
      <c r="U352" s="282" t="s">
        <v>4351</v>
      </c>
      <c r="V352" s="282" t="s">
        <v>4445</v>
      </c>
      <c r="W352" s="138" t="s">
        <v>116</v>
      </c>
      <c r="X352" s="340" t="s">
        <v>4468</v>
      </c>
      <c r="Y352" s="340" t="s">
        <v>4469</v>
      </c>
      <c r="Z352" s="340" t="s">
        <v>4470</v>
      </c>
      <c r="AA352" s="340">
        <v>44440</v>
      </c>
      <c r="AB352" s="340"/>
      <c r="AC352" s="341"/>
      <c r="AD352" s="342" t="s">
        <v>64</v>
      </c>
      <c r="AE352" s="342" t="s">
        <v>154</v>
      </c>
      <c r="AF352" s="284" t="s">
        <v>868</v>
      </c>
      <c r="AG352" s="284"/>
      <c r="AH352" s="284">
        <v>44431</v>
      </c>
      <c r="AI352" s="284"/>
      <c r="AJ352" s="334">
        <f t="shared" ca="1" si="54"/>
        <v>44963</v>
      </c>
      <c r="AK352" s="342">
        <f t="shared" ca="1" si="50"/>
        <v>532</v>
      </c>
      <c r="AL352" s="342" t="e">
        <f t="shared" ref="AL352:AL359" ca="1" si="56">IF(ISNUMBER(Z352)=TRUE,AJ352-Z352,IF(Z352="","",(AJ352)-(MID(RIGHT(Z352,10),4,2)&amp;"/"&amp;LEFT((RIGHT(Z352,10)),2)&amp;"/"&amp;RIGHT(Z352,4))))</f>
        <v>#VALUE!</v>
      </c>
      <c r="AM352" s="284"/>
      <c r="AN352" s="284" t="s">
        <v>4471</v>
      </c>
      <c r="AO352" s="343">
        <v>10.484999999999999</v>
      </c>
      <c r="AP352" s="343">
        <v>10.494999999999999</v>
      </c>
      <c r="AQ352" s="343">
        <v>10.519999999999998</v>
      </c>
      <c r="AR352" s="343">
        <v>10.524999999999999</v>
      </c>
      <c r="AV352" s="331" t="s">
        <v>136</v>
      </c>
      <c r="BI352" s="347" t="s">
        <v>3572</v>
      </c>
    </row>
    <row r="353" spans="1:61" s="331" customFormat="1" ht="18" customHeight="1" x14ac:dyDescent="0.35">
      <c r="A353" s="334">
        <v>44503</v>
      </c>
      <c r="B353" s="335">
        <f ca="1">IF(A353="",(IF(ISNUMBER(SUBSTITUTE(LEFT(RIGHT(E353,LEN(E353)-MIN(SEARCH({1,2,3,4,5,6,7,8,9,0},E353&amp;"1234567890"))+1),10),".","/"))=TRUE,AJ353-(SUBSTITUTE(LEFT(RIGHT(E353,LEN(E353)-MIN(SEARCH({1,2,3,4,5,6,7,8,9,0},E353&amp;"1234567890"))+1),10),".","/")),IF((SUBSTITUTE(LEFT(RIGHT(E353,LEN(E353)-MIN(SEARCH({1,2,3,4,5,6,7,8,9,0},E353&amp;"1234567890"))+1),10),".","/"))="","",(AJ353)-(MID(RIGHT((SUBSTITUTE(LEFT(RIGHT(E353,LEN(E353)-MIN(SEARCH({1,2,3,4,5,6,7,8,9,0},E353&amp;"1234567890"))+1),10),".","/")),10),4,2)&amp;"/"&amp;LEFT((RIGHT((SUBSTITUTE(LEFT(RIGHT(E353,LEN(E353)-MIN(SEARCH({1,2,3,4,5,6,7,8,9,0},E353&amp;"1234567890"))+1),10),".","/")),10)),2)&amp;"/"&amp;RIGHT((SUBSTITUTE(LEFT(RIGHT(E353,LEN(E353)-MIN(SEARCH({1,2,3,4,5,6,7,8,9,0},E353&amp;"1234567890"))+1),10),".","/")),4))))),(AJ353-A353))</f>
        <v>460</v>
      </c>
      <c r="C353" s="334"/>
      <c r="D353" s="294" t="str">
        <f t="shared" si="48"/>
        <v>FGM-304/304L/2B-001X770</v>
      </c>
      <c r="E353" s="294" t="s">
        <v>4472</v>
      </c>
      <c r="F353" s="294" t="s">
        <v>4466</v>
      </c>
      <c r="G353" s="373" t="s">
        <v>4473</v>
      </c>
      <c r="H353" s="294" t="s">
        <v>377</v>
      </c>
      <c r="I353" s="337" t="s">
        <v>116</v>
      </c>
      <c r="J353" s="149">
        <v>1.5</v>
      </c>
      <c r="K353" s="149">
        <v>0.78</v>
      </c>
      <c r="L353" s="149">
        <v>0.77</v>
      </c>
      <c r="M353" s="149">
        <v>0.78</v>
      </c>
      <c r="N353" s="335">
        <v>770</v>
      </c>
      <c r="O353" s="296">
        <f>3.365-3.1</f>
        <v>0.26500000000000012</v>
      </c>
      <c r="P353" s="841"/>
      <c r="Q353" s="138" t="s">
        <v>3598</v>
      </c>
      <c r="R353" s="138">
        <f t="shared" si="53"/>
        <v>59.6</v>
      </c>
      <c r="S353" s="339"/>
      <c r="T353" s="299"/>
      <c r="U353" s="282" t="s">
        <v>4351</v>
      </c>
      <c r="V353" s="282" t="s">
        <v>4445</v>
      </c>
      <c r="W353" s="282" t="s">
        <v>116</v>
      </c>
      <c r="X353" s="340" t="s">
        <v>4468</v>
      </c>
      <c r="Y353" s="340" t="s">
        <v>4469</v>
      </c>
      <c r="Z353" s="340" t="s">
        <v>4470</v>
      </c>
      <c r="AA353" s="340">
        <v>44440</v>
      </c>
      <c r="AB353" s="340"/>
      <c r="AC353" s="341"/>
      <c r="AD353" s="342" t="s">
        <v>64</v>
      </c>
      <c r="AE353" s="342" t="s">
        <v>154</v>
      </c>
      <c r="AF353" s="284" t="s">
        <v>868</v>
      </c>
      <c r="AG353" s="284"/>
      <c r="AH353" s="284">
        <v>44431</v>
      </c>
      <c r="AI353" s="284"/>
      <c r="AJ353" s="334">
        <f t="shared" ca="1" si="54"/>
        <v>44963</v>
      </c>
      <c r="AK353" s="342">
        <f t="shared" ca="1" si="50"/>
        <v>532</v>
      </c>
      <c r="AL353" s="342" t="e">
        <f t="shared" ca="1" si="56"/>
        <v>#VALUE!</v>
      </c>
      <c r="AM353" s="284"/>
      <c r="AN353" s="284" t="s">
        <v>4471</v>
      </c>
      <c r="AO353" s="343">
        <v>10.484999999999999</v>
      </c>
      <c r="AP353" s="343">
        <v>10.494999999999999</v>
      </c>
      <c r="AQ353" s="343">
        <v>10.519999999999998</v>
      </c>
      <c r="AR353" s="343">
        <v>10.524999999999999</v>
      </c>
      <c r="AV353" s="331" t="s">
        <v>136</v>
      </c>
      <c r="BI353" s="347" t="s">
        <v>3572</v>
      </c>
    </row>
    <row r="354" spans="1:61" s="331" customFormat="1" ht="18" customHeight="1" x14ac:dyDescent="0.35">
      <c r="A354" s="334">
        <v>44503</v>
      </c>
      <c r="B354" s="335">
        <f ca="1">IF(A354="",(IF(ISNUMBER(SUBSTITUTE(LEFT(RIGHT(E354,LEN(E354)-MIN(SEARCH({1,2,3,4,5,6,7,8,9,0},E354&amp;"1234567890"))+1),10),".","/"))=TRUE,AJ354-(SUBSTITUTE(LEFT(RIGHT(E354,LEN(E354)-MIN(SEARCH({1,2,3,4,5,6,7,8,9,0},E354&amp;"1234567890"))+1),10),".","/")),IF((SUBSTITUTE(LEFT(RIGHT(E354,LEN(E354)-MIN(SEARCH({1,2,3,4,5,6,7,8,9,0},E354&amp;"1234567890"))+1),10),".","/"))="","",(AJ354)-(MID(RIGHT((SUBSTITUTE(LEFT(RIGHT(E354,LEN(E354)-MIN(SEARCH({1,2,3,4,5,6,7,8,9,0},E354&amp;"1234567890"))+1),10),".","/")),10),4,2)&amp;"/"&amp;LEFT((RIGHT((SUBSTITUTE(LEFT(RIGHT(E354,LEN(E354)-MIN(SEARCH({1,2,3,4,5,6,7,8,9,0},E354&amp;"1234567890"))+1),10),".","/")),10)),2)&amp;"/"&amp;RIGHT((SUBSTITUTE(LEFT(RIGHT(E354,LEN(E354)-MIN(SEARCH({1,2,3,4,5,6,7,8,9,0},E354&amp;"1234567890"))+1),10),".","/")),4))))),(AJ354-A354))</f>
        <v>460</v>
      </c>
      <c r="C354" s="334"/>
      <c r="D354" s="294" t="str">
        <f t="shared" si="48"/>
        <v>FGM-304/2B-001X770</v>
      </c>
      <c r="E354" s="294" t="s">
        <v>4437</v>
      </c>
      <c r="F354" s="294" t="s">
        <v>4474</v>
      </c>
      <c r="G354" s="373" t="s">
        <v>4475</v>
      </c>
      <c r="H354" s="294">
        <v>304</v>
      </c>
      <c r="I354" s="337" t="s">
        <v>116</v>
      </c>
      <c r="J354" s="149">
        <v>1.5</v>
      </c>
      <c r="K354" s="149">
        <v>0.78</v>
      </c>
      <c r="L354" s="149">
        <v>0.79</v>
      </c>
      <c r="M354" s="149">
        <v>0.8</v>
      </c>
      <c r="N354" s="335">
        <v>770</v>
      </c>
      <c r="O354" s="296">
        <f>3.505-3.23</f>
        <v>0.27499999999999991</v>
      </c>
      <c r="P354" s="841"/>
      <c r="Q354" s="138" t="s">
        <v>3598</v>
      </c>
      <c r="R354" s="138">
        <f t="shared" si="53"/>
        <v>59.6</v>
      </c>
      <c r="S354" s="339"/>
      <c r="T354" s="299"/>
      <c r="U354" s="282" t="s">
        <v>4351</v>
      </c>
      <c r="V354" s="282" t="s">
        <v>4445</v>
      </c>
      <c r="W354" s="138" t="s">
        <v>116</v>
      </c>
      <c r="X354" s="340" t="s">
        <v>4476</v>
      </c>
      <c r="Y354" s="340" t="s">
        <v>4477</v>
      </c>
      <c r="Z354" s="340" t="s">
        <v>4478</v>
      </c>
      <c r="AA354" s="340"/>
      <c r="AB354" s="340"/>
      <c r="AC354" s="341"/>
      <c r="AD354" s="342" t="s">
        <v>64</v>
      </c>
      <c r="AE354" s="342" t="s">
        <v>154</v>
      </c>
      <c r="AF354" s="284" t="s">
        <v>1139</v>
      </c>
      <c r="AG354" s="284"/>
      <c r="AH354" s="284">
        <v>44431</v>
      </c>
      <c r="AI354" s="284"/>
      <c r="AJ354" s="334">
        <f t="shared" ca="1" si="54"/>
        <v>44963</v>
      </c>
      <c r="AK354" s="342">
        <f t="shared" ca="1" si="50"/>
        <v>532</v>
      </c>
      <c r="AL354" s="342" t="e">
        <f t="shared" ca="1" si="56"/>
        <v>#VALUE!</v>
      </c>
      <c r="AM354" s="284"/>
      <c r="AN354" s="284" t="s">
        <v>4479</v>
      </c>
      <c r="AO354" s="343">
        <v>10.52</v>
      </c>
      <c r="AP354" s="343">
        <v>10.53</v>
      </c>
      <c r="AQ354" s="343">
        <v>10.554999999999998</v>
      </c>
      <c r="AR354" s="343">
        <v>10.559999999999999</v>
      </c>
      <c r="AV354" s="331" t="s">
        <v>136</v>
      </c>
      <c r="BI354" s="347" t="s">
        <v>3572</v>
      </c>
    </row>
    <row r="355" spans="1:61" s="331" customFormat="1" ht="18" customHeight="1" x14ac:dyDescent="0.35">
      <c r="A355" s="334">
        <v>44503</v>
      </c>
      <c r="B355" s="335">
        <f ca="1">IF(A355="",(IF(ISNUMBER(SUBSTITUTE(LEFT(RIGHT(E355,LEN(E355)-MIN(SEARCH({1,2,3,4,5,6,7,8,9,0},E355&amp;"1234567890"))+1),10),".","/"))=TRUE,AJ355-(SUBSTITUTE(LEFT(RIGHT(E355,LEN(E355)-MIN(SEARCH({1,2,3,4,5,6,7,8,9,0},E355&amp;"1234567890"))+1),10),".","/")),IF((SUBSTITUTE(LEFT(RIGHT(E355,LEN(E355)-MIN(SEARCH({1,2,3,4,5,6,7,8,9,0},E355&amp;"1234567890"))+1),10),".","/"))="","",(AJ355)-(MID(RIGHT((SUBSTITUTE(LEFT(RIGHT(E355,LEN(E355)-MIN(SEARCH({1,2,3,4,5,6,7,8,9,0},E355&amp;"1234567890"))+1),10),".","/")),10),4,2)&amp;"/"&amp;LEFT((RIGHT((SUBSTITUTE(LEFT(RIGHT(E355,LEN(E355)-MIN(SEARCH({1,2,3,4,5,6,7,8,9,0},E355&amp;"1234567890"))+1),10),".","/")),10)),2)&amp;"/"&amp;RIGHT((SUBSTITUTE(LEFT(RIGHT(E355,LEN(E355)-MIN(SEARCH({1,2,3,4,5,6,7,8,9,0},E355&amp;"1234567890"))+1),10),".","/")),4))))),(AJ355-A355))</f>
        <v>460</v>
      </c>
      <c r="C355" s="334"/>
      <c r="D355" s="294" t="str">
        <f t="shared" si="48"/>
        <v>FGM-304/2B-001X770</v>
      </c>
      <c r="E355" s="294" t="s">
        <v>4437</v>
      </c>
      <c r="F355" s="294" t="s">
        <v>4474</v>
      </c>
      <c r="G355" s="373" t="s">
        <v>4480</v>
      </c>
      <c r="H355" s="294">
        <v>304</v>
      </c>
      <c r="I355" s="337" t="s">
        <v>116</v>
      </c>
      <c r="J355" s="149">
        <v>1.5</v>
      </c>
      <c r="K355" s="149">
        <v>0.78</v>
      </c>
      <c r="L355" s="149">
        <v>0.79</v>
      </c>
      <c r="M355" s="149">
        <v>0.8</v>
      </c>
      <c r="N355" s="335">
        <v>770</v>
      </c>
      <c r="O355" s="296">
        <f>3.515-3.245</f>
        <v>0.27</v>
      </c>
      <c r="P355" s="840"/>
      <c r="Q355" s="138" t="s">
        <v>3598</v>
      </c>
      <c r="R355" s="138">
        <f t="shared" si="53"/>
        <v>59.6</v>
      </c>
      <c r="S355" s="339"/>
      <c r="T355" s="299"/>
      <c r="U355" s="282" t="s">
        <v>4351</v>
      </c>
      <c r="V355" s="282" t="s">
        <v>4445</v>
      </c>
      <c r="W355" s="138" t="s">
        <v>116</v>
      </c>
      <c r="X355" s="340" t="s">
        <v>4476</v>
      </c>
      <c r="Y355" s="340" t="s">
        <v>4477</v>
      </c>
      <c r="Z355" s="340" t="s">
        <v>4478</v>
      </c>
      <c r="AA355" s="340"/>
      <c r="AB355" s="340"/>
      <c r="AC355" s="341"/>
      <c r="AD355" s="342" t="s">
        <v>64</v>
      </c>
      <c r="AE355" s="342" t="s">
        <v>154</v>
      </c>
      <c r="AF355" s="284" t="s">
        <v>1139</v>
      </c>
      <c r="AG355" s="284"/>
      <c r="AH355" s="284">
        <v>44431</v>
      </c>
      <c r="AI355" s="284"/>
      <c r="AJ355" s="334">
        <f t="shared" ca="1" si="54"/>
        <v>44963</v>
      </c>
      <c r="AK355" s="342">
        <f t="shared" ca="1" si="50"/>
        <v>532</v>
      </c>
      <c r="AL355" s="342" t="e">
        <f t="shared" ca="1" si="56"/>
        <v>#VALUE!</v>
      </c>
      <c r="AM355" s="284"/>
      <c r="AN355" s="284" t="s">
        <v>4479</v>
      </c>
      <c r="AO355" s="343">
        <v>10.52</v>
      </c>
      <c r="AP355" s="343">
        <v>10.53</v>
      </c>
      <c r="AQ355" s="343">
        <v>10.554999999999998</v>
      </c>
      <c r="AR355" s="343">
        <v>10.559999999999999</v>
      </c>
      <c r="AV355" s="331" t="s">
        <v>136</v>
      </c>
      <c r="BI355" s="347" t="s">
        <v>3572</v>
      </c>
    </row>
    <row r="356" spans="1:61" s="331" customFormat="1" ht="18" customHeight="1" x14ac:dyDescent="0.35">
      <c r="A356" s="334">
        <v>44505</v>
      </c>
      <c r="B356" s="335">
        <f ca="1">IF(A356="",(IF(ISNUMBER(SUBSTITUTE(LEFT(RIGHT(E356,LEN(E356)-MIN(SEARCH({1,2,3,4,5,6,7,8,9,0},E356&amp;"1234567890"))+1),10),".","/"))=TRUE,AJ356-(SUBSTITUTE(LEFT(RIGHT(E356,LEN(E356)-MIN(SEARCH({1,2,3,4,5,6,7,8,9,0},E356&amp;"1234567890"))+1),10),".","/")),IF((SUBSTITUTE(LEFT(RIGHT(E356,LEN(E356)-MIN(SEARCH({1,2,3,4,5,6,7,8,9,0},E356&amp;"1234567890"))+1),10),".","/"))="","",(AJ356)-(MID(RIGHT((SUBSTITUTE(LEFT(RIGHT(E356,LEN(E356)-MIN(SEARCH({1,2,3,4,5,6,7,8,9,0},E356&amp;"1234567890"))+1),10),".","/")),10),4,2)&amp;"/"&amp;LEFT((RIGHT((SUBSTITUTE(LEFT(RIGHT(E356,LEN(E356)-MIN(SEARCH({1,2,3,4,5,6,7,8,9,0},E356&amp;"1234567890"))+1),10),".","/")),10)),2)&amp;"/"&amp;RIGHT((SUBSTITUTE(LEFT(RIGHT(E356,LEN(E356)-MIN(SEARCH({1,2,3,4,5,6,7,8,9,0},E356&amp;"1234567890"))+1),10),".","/")),4))))),(AJ356-A356))</f>
        <v>458</v>
      </c>
      <c r="C356" s="334"/>
      <c r="D356" s="294" t="str">
        <f t="shared" si="48"/>
        <v>FGM-304/304L/2B-001X770</v>
      </c>
      <c r="E356" s="294" t="s">
        <v>4472</v>
      </c>
      <c r="F356" s="294" t="s">
        <v>4466</v>
      </c>
      <c r="G356" s="373" t="s">
        <v>4481</v>
      </c>
      <c r="H356" s="294" t="s">
        <v>377</v>
      </c>
      <c r="I356" s="337" t="s">
        <v>116</v>
      </c>
      <c r="J356" s="149">
        <v>1.5</v>
      </c>
      <c r="K356" s="149">
        <v>0.78</v>
      </c>
      <c r="L356" s="149">
        <v>0.77</v>
      </c>
      <c r="M356" s="149">
        <v>0.78</v>
      </c>
      <c r="N356" s="335">
        <v>770</v>
      </c>
      <c r="O356" s="296">
        <f>3.405-3.135</f>
        <v>0.27</v>
      </c>
      <c r="P356" s="375"/>
      <c r="Q356" s="138" t="s">
        <v>3598</v>
      </c>
      <c r="R356" s="138">
        <f t="shared" si="53"/>
        <v>59.6</v>
      </c>
      <c r="S356" s="339"/>
      <c r="T356" s="282"/>
      <c r="U356" s="282" t="s">
        <v>4351</v>
      </c>
      <c r="V356" s="282" t="s">
        <v>4445</v>
      </c>
      <c r="W356" s="282" t="s">
        <v>116</v>
      </c>
      <c r="X356" s="340" t="s">
        <v>4468</v>
      </c>
      <c r="Y356" s="340" t="s">
        <v>4469</v>
      </c>
      <c r="Z356" s="340" t="s">
        <v>4470</v>
      </c>
      <c r="AA356" s="340">
        <v>44440</v>
      </c>
      <c r="AB356" s="340"/>
      <c r="AC356" s="341"/>
      <c r="AD356" s="342" t="s">
        <v>64</v>
      </c>
      <c r="AE356" s="342" t="s">
        <v>154</v>
      </c>
      <c r="AF356" s="284" t="s">
        <v>868</v>
      </c>
      <c r="AG356" s="284"/>
      <c r="AH356" s="284">
        <v>44431</v>
      </c>
      <c r="AI356" s="284"/>
      <c r="AJ356" s="334">
        <f t="shared" ca="1" si="54"/>
        <v>44963</v>
      </c>
      <c r="AK356" s="342">
        <f t="shared" ca="1" si="50"/>
        <v>532</v>
      </c>
      <c r="AL356" s="342" t="e">
        <f t="shared" ca="1" si="56"/>
        <v>#VALUE!</v>
      </c>
      <c r="AM356" s="284"/>
      <c r="AN356" s="284" t="s">
        <v>4471</v>
      </c>
      <c r="AO356" s="343">
        <v>10.484999999999999</v>
      </c>
      <c r="AP356" s="343">
        <v>10.494999999999999</v>
      </c>
      <c r="AQ356" s="343">
        <v>10.519999999999998</v>
      </c>
      <c r="AR356" s="343">
        <v>10.524999999999999</v>
      </c>
      <c r="AV356" s="331" t="s">
        <v>136</v>
      </c>
      <c r="BI356" s="347" t="s">
        <v>3572</v>
      </c>
    </row>
    <row r="357" spans="1:61" s="331" customFormat="1" ht="18" customHeight="1" x14ac:dyDescent="0.35">
      <c r="A357" s="334"/>
      <c r="B357" s="335" t="e">
        <f ca="1">IF(A357="",(IF(ISNUMBER(SUBSTITUTE(LEFT(RIGHT(E357,LEN(E357)-MIN(SEARCH({1,2,3,4,5,6,7,8,9,0},E357&amp;"1234567890"))+1),10),".","/"))=TRUE,AJ357-(SUBSTITUTE(LEFT(RIGHT(E357,LEN(E357)-MIN(SEARCH({1,2,3,4,5,6,7,8,9,0},E357&amp;"1234567890"))+1),10),".","/")),IF((SUBSTITUTE(LEFT(RIGHT(E357,LEN(E357)-MIN(SEARCH({1,2,3,4,5,6,7,8,9,0},E357&amp;"1234567890"))+1),10),".","/"))="","",(AJ357)-(MID(RIGHT((SUBSTITUTE(LEFT(RIGHT(E357,LEN(E357)-MIN(SEARCH({1,2,3,4,5,6,7,8,9,0},E357&amp;"1234567890"))+1),10),".","/")),10),4,2)&amp;"/"&amp;LEFT((RIGHT((SUBSTITUTE(LEFT(RIGHT(E357,LEN(E357)-MIN(SEARCH({1,2,3,4,5,6,7,8,9,0},E357&amp;"1234567890"))+1),10),".","/")),10)),2)&amp;"/"&amp;RIGHT((SUBSTITUTE(LEFT(RIGHT(E357,LEN(E357)-MIN(SEARCH({1,2,3,4,5,6,7,8,9,0},E357&amp;"1234567890"))+1),10),".","/")),4))))),(AJ357-A357))</f>
        <v>#VALUE!</v>
      </c>
      <c r="C357" s="334"/>
      <c r="D357" s="294" t="str">
        <f t="shared" si="48"/>
        <v>FGC-304/304L/2B-000X750</v>
      </c>
      <c r="E357" s="294" t="s">
        <v>4482</v>
      </c>
      <c r="F357" s="294" t="s">
        <v>4483</v>
      </c>
      <c r="G357" s="294" t="s">
        <v>4484</v>
      </c>
      <c r="H357" s="294" t="s">
        <v>377</v>
      </c>
      <c r="I357" s="337" t="s">
        <v>116</v>
      </c>
      <c r="J357" s="149">
        <v>0.57999999999999996</v>
      </c>
      <c r="K357" s="149">
        <v>0.3</v>
      </c>
      <c r="L357" s="149">
        <v>0.3</v>
      </c>
      <c r="M357" s="149">
        <v>0.31</v>
      </c>
      <c r="N357" s="335">
        <v>760</v>
      </c>
      <c r="O357" s="296">
        <v>5.89</v>
      </c>
      <c r="P357" s="345"/>
      <c r="Q357" s="138">
        <v>750</v>
      </c>
      <c r="R357" s="138"/>
      <c r="S357" s="339"/>
      <c r="T357" s="299"/>
      <c r="U357" s="282" t="s">
        <v>117</v>
      </c>
      <c r="V357" s="282" t="s">
        <v>4485</v>
      </c>
      <c r="W357" s="282" t="s">
        <v>116</v>
      </c>
      <c r="X357" s="340" t="s">
        <v>4486</v>
      </c>
      <c r="Y357" s="340" t="s">
        <v>4487</v>
      </c>
      <c r="Z357" s="340" t="s">
        <v>4488</v>
      </c>
      <c r="AA357" s="340">
        <v>44462</v>
      </c>
      <c r="AB357" s="340"/>
      <c r="AC357" s="341"/>
      <c r="AD357" s="342" t="s">
        <v>64</v>
      </c>
      <c r="AE357" s="342" t="s">
        <v>154</v>
      </c>
      <c r="AF357" s="284" t="s">
        <v>793</v>
      </c>
      <c r="AG357" s="284"/>
      <c r="AH357" s="284">
        <v>44444</v>
      </c>
      <c r="AI357" s="284"/>
      <c r="AJ357" s="334">
        <f t="shared" ca="1" si="54"/>
        <v>44963</v>
      </c>
      <c r="AK357" s="342">
        <f t="shared" ca="1" si="50"/>
        <v>519</v>
      </c>
      <c r="AL357" s="342" t="e">
        <f t="shared" ca="1" si="56"/>
        <v>#VALUE!</v>
      </c>
      <c r="AM357" s="284"/>
      <c r="AN357" s="284" t="s">
        <v>4030</v>
      </c>
      <c r="AO357" s="343">
        <v>12.145</v>
      </c>
      <c r="AP357" s="343">
        <v>12.154999999999999</v>
      </c>
      <c r="AQ357" s="343">
        <v>12.179999999999998</v>
      </c>
      <c r="AR357" s="343">
        <v>12.184999999999999</v>
      </c>
      <c r="AV357" s="331" t="s">
        <v>136</v>
      </c>
      <c r="BI357" s="347" t="s">
        <v>699</v>
      </c>
    </row>
    <row r="358" spans="1:61" s="331" customFormat="1" ht="18" customHeight="1" x14ac:dyDescent="0.35">
      <c r="A358" s="334"/>
      <c r="B358" s="335">
        <f ca="1">IF(A358="",(IF(ISNUMBER(SUBSTITUTE(LEFT(RIGHT(E358,LEN(E358)-MIN(SEARCH({1,2,3,4,5,6,7,8,9,0},E358&amp;"1234567890"))+1),10),".","/"))=TRUE,AJ358-(SUBSTITUTE(LEFT(RIGHT(E358,LEN(E358)-MIN(SEARCH({1,2,3,4,5,6,7,8,9,0},E358&amp;"1234567890"))+1),10),".","/")),IF((SUBSTITUTE(LEFT(RIGHT(E358,LEN(E358)-MIN(SEARCH({1,2,3,4,5,6,7,8,9,0},E358&amp;"1234567890"))+1),10),".","/"))="","",(AJ358)-(MID(RIGHT((SUBSTITUTE(LEFT(RIGHT(E358,LEN(E358)-MIN(SEARCH({1,2,3,4,5,6,7,8,9,0},E358&amp;"1234567890"))+1),10),".","/")),10),4,2)&amp;"/"&amp;LEFT((RIGHT((SUBSTITUTE(LEFT(RIGHT(E358,LEN(E358)-MIN(SEARCH({1,2,3,4,5,6,7,8,9,0},E358&amp;"1234567890"))+1),10),".","/")),10)),2)&amp;"/"&amp;RIGHT((SUBSTITUTE(LEFT(RIGHT(E358,LEN(E358)-MIN(SEARCH({1,2,3,4,5,6,7,8,9,0},E358&amp;"1234567890"))+1),10),".","/")),4))))),(AJ358-A358))</f>
        <v>576</v>
      </c>
      <c r="C358" s="334"/>
      <c r="D358" s="294" t="str">
        <f t="shared" si="48"/>
        <v>FGC-J3/2B-000X40</v>
      </c>
      <c r="E358" s="294" t="s">
        <v>4489</v>
      </c>
      <c r="F358" s="294" t="s">
        <v>4490</v>
      </c>
      <c r="G358" s="294" t="s">
        <v>4491</v>
      </c>
      <c r="H358" s="294" t="s">
        <v>29</v>
      </c>
      <c r="I358" s="337" t="s">
        <v>116</v>
      </c>
      <c r="J358" s="149">
        <v>0.5</v>
      </c>
      <c r="K358" s="149">
        <v>0.28000000000000003</v>
      </c>
      <c r="L358" s="149">
        <v>0.28000000000000003</v>
      </c>
      <c r="M358" s="149">
        <v>0.28999999999999998</v>
      </c>
      <c r="N358" s="335">
        <v>590</v>
      </c>
      <c r="O358" s="296">
        <f>3.36-3.135</f>
        <v>0.22500000000000009</v>
      </c>
      <c r="P358" s="345"/>
      <c r="Q358" s="138">
        <v>40</v>
      </c>
      <c r="R358" s="138"/>
      <c r="S358" s="339"/>
      <c r="T358" s="299"/>
      <c r="U358" s="282" t="s">
        <v>117</v>
      </c>
      <c r="V358" s="282" t="s">
        <v>4492</v>
      </c>
      <c r="W358" s="282" t="s">
        <v>116</v>
      </c>
      <c r="X358" s="340" t="s">
        <v>4493</v>
      </c>
      <c r="Y358" s="340" t="s">
        <v>4494</v>
      </c>
      <c r="Z358" s="340" t="s">
        <v>4495</v>
      </c>
      <c r="AA358" s="340">
        <v>44468</v>
      </c>
      <c r="AB358" s="340"/>
      <c r="AC358" s="341"/>
      <c r="AD358" s="342" t="s">
        <v>64</v>
      </c>
      <c r="AE358" s="342" t="s">
        <v>322</v>
      </c>
      <c r="AF358" s="284"/>
      <c r="AG358" s="284"/>
      <c r="AH358" s="284">
        <v>44301</v>
      </c>
      <c r="AI358" s="284"/>
      <c r="AJ358" s="334">
        <f t="shared" ca="1" si="54"/>
        <v>44963</v>
      </c>
      <c r="AK358" s="342">
        <f t="shared" ca="1" si="50"/>
        <v>662</v>
      </c>
      <c r="AL358" s="342">
        <f t="shared" ca="1" si="56"/>
        <v>667</v>
      </c>
      <c r="AM358" s="284" t="s">
        <v>4496</v>
      </c>
      <c r="AN358" s="284" t="s">
        <v>4497</v>
      </c>
      <c r="AO358" s="343">
        <v>8.1679999999999993</v>
      </c>
      <c r="AP358" s="343">
        <v>8.2079999999999984</v>
      </c>
      <c r="AQ358" s="343">
        <v>8.232999999999997</v>
      </c>
      <c r="AR358" s="343">
        <v>8.2379999999999978</v>
      </c>
      <c r="AS358" s="331">
        <f t="shared" ref="AS358:AS384" ca="1" si="57">IF(ISNUMBER(Y358)=TRUE,AJ358-Y358,IF(Y358="","",(AJ358)-(MID(RIGHT(Y358,10),4,2)&amp;"/"&amp;LEFT((RIGHT(Y358,10)),2)&amp;"/"&amp;RIGHT(Y358,4))))</f>
        <v>667</v>
      </c>
      <c r="AV358" s="331" t="s">
        <v>136</v>
      </c>
      <c r="BI358" s="347" t="s">
        <v>3584</v>
      </c>
    </row>
    <row r="359" spans="1:61" s="331" customFormat="1" ht="18" customHeight="1" x14ac:dyDescent="0.35">
      <c r="A359" s="334"/>
      <c r="B359" s="335">
        <f ca="1">IF(A359="",(IF(ISNUMBER(SUBSTITUTE(LEFT(RIGHT(E359,LEN(E359)-MIN(SEARCH({1,2,3,4,5,6,7,8,9,0},E359&amp;"1234567890"))+1),10),".","/"))=TRUE,AJ359-(SUBSTITUTE(LEFT(RIGHT(E359,LEN(E359)-MIN(SEARCH({1,2,3,4,5,6,7,8,9,0},E359&amp;"1234567890"))+1),10),".","/")),IF((SUBSTITUTE(LEFT(RIGHT(E359,LEN(E359)-MIN(SEARCH({1,2,3,4,5,6,7,8,9,0},E359&amp;"1234567890"))+1),10),".","/"))="","",(AJ359)-(MID(RIGHT((SUBSTITUTE(LEFT(RIGHT(E359,LEN(E359)-MIN(SEARCH({1,2,3,4,5,6,7,8,9,0},E359&amp;"1234567890"))+1),10),".","/")),10),4,2)&amp;"/"&amp;LEFT((RIGHT((SUBSTITUTE(LEFT(RIGHT(E359,LEN(E359)-MIN(SEARCH({1,2,3,4,5,6,7,8,9,0},E359&amp;"1234567890"))+1),10),".","/")),10)),2)&amp;"/"&amp;RIGHT((SUBSTITUTE(LEFT(RIGHT(E359,LEN(E359)-MIN(SEARCH({1,2,3,4,5,6,7,8,9,0},E359&amp;"1234567890"))+1),10),".","/")),4))))),(AJ359-A359))</f>
        <v>667</v>
      </c>
      <c r="C359" s="334"/>
      <c r="D359" s="294" t="str">
        <f t="shared" si="48"/>
        <v>FGC-410/BA-000X46</v>
      </c>
      <c r="E359" s="294" t="s">
        <v>4498</v>
      </c>
      <c r="F359" s="294" t="s">
        <v>4499</v>
      </c>
      <c r="G359" s="294" t="s">
        <v>4500</v>
      </c>
      <c r="H359" s="294">
        <v>410</v>
      </c>
      <c r="I359" s="337" t="s">
        <v>169</v>
      </c>
      <c r="J359" s="149">
        <v>0.25</v>
      </c>
      <c r="K359" s="149">
        <v>0.25</v>
      </c>
      <c r="L359" s="149"/>
      <c r="M359" s="149"/>
      <c r="N359" s="335">
        <f>300+300</f>
        <v>600</v>
      </c>
      <c r="O359" s="296">
        <f>0.42-0.35</f>
        <v>7.0000000000000007E-2</v>
      </c>
      <c r="P359" s="345"/>
      <c r="Q359" s="138">
        <f>23+23</f>
        <v>46</v>
      </c>
      <c r="R359" s="138"/>
      <c r="S359" s="339"/>
      <c r="T359" s="299"/>
      <c r="U359" s="282" t="s">
        <v>117</v>
      </c>
      <c r="V359" s="282" t="s">
        <v>4501</v>
      </c>
      <c r="W359" s="138"/>
      <c r="X359" s="340"/>
      <c r="Y359" s="340"/>
      <c r="Z359" s="340"/>
      <c r="AA359" s="340">
        <v>44471</v>
      </c>
      <c r="AB359" s="340"/>
      <c r="AC359" s="341"/>
      <c r="AD359" s="342" t="s">
        <v>169</v>
      </c>
      <c r="AE359" s="342" t="s">
        <v>903</v>
      </c>
      <c r="AF359" s="284" t="s">
        <v>904</v>
      </c>
      <c r="AG359" s="284">
        <v>44376</v>
      </c>
      <c r="AH359" s="284">
        <v>44396</v>
      </c>
      <c r="AI359" s="284"/>
      <c r="AJ359" s="334">
        <f t="shared" ca="1" si="54"/>
        <v>44963</v>
      </c>
      <c r="AK359" s="342">
        <f t="shared" ca="1" si="50"/>
        <v>567</v>
      </c>
      <c r="AL359" s="342" t="str">
        <f t="shared" si="56"/>
        <v/>
      </c>
      <c r="AM359" s="284" t="s">
        <v>911</v>
      </c>
      <c r="AN359" s="284" t="s">
        <v>4502</v>
      </c>
      <c r="AO359" s="343">
        <v>3.3119999999999998</v>
      </c>
      <c r="AP359" s="343">
        <f>AO359+0.01</f>
        <v>3.3219999999999996</v>
      </c>
      <c r="AQ359" s="343">
        <v>3.3119999999999998</v>
      </c>
      <c r="AR359" s="343">
        <f>AQ359+0.01</f>
        <v>3.3219999999999996</v>
      </c>
      <c r="AS359" s="331" t="str">
        <f t="shared" si="57"/>
        <v/>
      </c>
      <c r="AV359" s="331" t="s">
        <v>136</v>
      </c>
      <c r="BI359" s="347" t="s">
        <v>4503</v>
      </c>
    </row>
    <row r="360" spans="1:61" s="331" customFormat="1" ht="18" customHeight="1" x14ac:dyDescent="0.35">
      <c r="A360" s="334"/>
      <c r="B360" s="335">
        <f ca="1">IF(A360="",(IF(ISNUMBER(SUBSTITUTE(LEFT(RIGHT(E360,LEN(E360)-MIN(SEARCH({1,2,3,4,5,6,7,8,9,0},E360&amp;"1234567890"))+1),10),".","/"))=TRUE,AJ360-(SUBSTITUTE(LEFT(RIGHT(E360,LEN(E360)-MIN(SEARCH({1,2,3,4,5,6,7,8,9,0},E360&amp;"1234567890"))+1),10),".","/")),IF((SUBSTITUTE(LEFT(RIGHT(E360,LEN(E360)-MIN(SEARCH({1,2,3,4,5,6,7,8,9,0},E360&amp;"1234567890"))+1),10),".","/"))="","",(AJ360)-(MID(RIGHT((SUBSTITUTE(LEFT(RIGHT(E360,LEN(E360)-MIN(SEARCH({1,2,3,4,5,6,7,8,9,0},E360&amp;"1234567890"))+1),10),".","/")),10),4,2)&amp;"/"&amp;LEFT((RIGHT((SUBSTITUTE(LEFT(RIGHT(E360,LEN(E360)-MIN(SEARCH({1,2,3,4,5,6,7,8,9,0},E360&amp;"1234567890"))+1),10),".","/")),10)),2)&amp;"/"&amp;RIGHT((SUBSTITUTE(LEFT(RIGHT(E360,LEN(E360)-MIN(SEARCH({1,2,3,4,5,6,7,8,9,0},E360&amp;"1234567890"))+1),10),".","/")),4))))),(AJ360-A360))</f>
        <v>485</v>
      </c>
      <c r="C360" s="334"/>
      <c r="D360" s="294" t="str">
        <f t="shared" si="48"/>
        <v>FGC-304/304L/2B-001X166,3</v>
      </c>
      <c r="E360" s="294" t="s">
        <v>4504</v>
      </c>
      <c r="F360" s="294" t="s">
        <v>4505</v>
      </c>
      <c r="G360" s="373" t="s">
        <v>4506</v>
      </c>
      <c r="H360" s="294" t="s">
        <v>377</v>
      </c>
      <c r="I360" s="337" t="s">
        <v>116</v>
      </c>
      <c r="J360" s="149">
        <v>1.87</v>
      </c>
      <c r="K360" s="149">
        <v>0.92</v>
      </c>
      <c r="L360" s="149">
        <v>0.92</v>
      </c>
      <c r="M360" s="149">
        <v>0.94</v>
      </c>
      <c r="N360" s="335">
        <v>770</v>
      </c>
      <c r="O360" s="296">
        <f>5.415-4.29</f>
        <v>1.125</v>
      </c>
      <c r="P360" s="345"/>
      <c r="Q360" s="138">
        <f>78.1+88.2</f>
        <v>166.3</v>
      </c>
      <c r="R360" s="138"/>
      <c r="S360" s="339"/>
      <c r="T360" s="282"/>
      <c r="U360" s="282" t="s">
        <v>117</v>
      </c>
      <c r="V360" s="282" t="s">
        <v>4507</v>
      </c>
      <c r="W360" s="138" t="s">
        <v>116</v>
      </c>
      <c r="X360" s="340" t="s">
        <v>4508</v>
      </c>
      <c r="Y360" s="340" t="s">
        <v>4509</v>
      </c>
      <c r="Z360" s="340" t="s">
        <v>4510</v>
      </c>
      <c r="AA360" s="340">
        <v>44431</v>
      </c>
      <c r="AB360" s="340"/>
      <c r="AC360" s="341"/>
      <c r="AD360" s="342" t="s">
        <v>64</v>
      </c>
      <c r="AE360" s="342" t="s">
        <v>154</v>
      </c>
      <c r="AF360" s="284" t="s">
        <v>868</v>
      </c>
      <c r="AG360" s="284"/>
      <c r="AH360" s="284">
        <v>44388</v>
      </c>
      <c r="AI360" s="284"/>
      <c r="AJ360" s="334">
        <f ca="1">TODAY()</f>
        <v>44963</v>
      </c>
      <c r="AK360" s="342">
        <f t="shared" ca="1" si="50"/>
        <v>575</v>
      </c>
      <c r="AL360" s="342"/>
      <c r="AM360" s="284"/>
      <c r="AN360" s="284" t="s">
        <v>4511</v>
      </c>
      <c r="AO360" s="343">
        <v>11.92</v>
      </c>
      <c r="AP360" s="343">
        <v>11.93</v>
      </c>
      <c r="AQ360" s="343">
        <v>11.954999999999998</v>
      </c>
      <c r="AR360" s="343">
        <v>11.959999999999999</v>
      </c>
      <c r="AS360" s="331">
        <f t="shared" ca="1" si="57"/>
        <v>727</v>
      </c>
      <c r="AV360" s="331" t="s">
        <v>136</v>
      </c>
      <c r="BI360" s="347" t="s">
        <v>3786</v>
      </c>
    </row>
    <row r="361" spans="1:61" s="331" customFormat="1" ht="18" customHeight="1" x14ac:dyDescent="0.35">
      <c r="A361" s="334">
        <v>44055</v>
      </c>
      <c r="B361" s="335">
        <f ca="1">IF(A361="",(IF(ISNUMBER(SUBSTITUTE(LEFT(RIGHT(E361,LEN(E361)-MIN(SEARCH({1,2,3,4,5,6,7,8,9,0},E361&amp;"1234567890"))+1),10),".","/"))=TRUE,AJ361-(SUBSTITUTE(LEFT(RIGHT(E361,LEN(E361)-MIN(SEARCH({1,2,3,4,5,6,7,8,9,0},E361&amp;"1234567890"))+1),10),".","/")),IF((SUBSTITUTE(LEFT(RIGHT(E361,LEN(E361)-MIN(SEARCH({1,2,3,4,5,6,7,8,9,0},E361&amp;"1234567890"))+1),10),".","/"))="","",(AJ361)-(MID(RIGHT((SUBSTITUTE(LEFT(RIGHT(E361,LEN(E361)-MIN(SEARCH({1,2,3,4,5,6,7,8,9,0},E361&amp;"1234567890"))+1),10),".","/")),10),4,2)&amp;"/"&amp;LEFT((RIGHT((SUBSTITUTE(LEFT(RIGHT(E361,LEN(E361)-MIN(SEARCH({1,2,3,4,5,6,7,8,9,0},E361&amp;"1234567890"))+1),10),".","/")),10)),2)&amp;"/"&amp;RIGHT((SUBSTITUTE(LEFT(RIGHT(E361,LEN(E361)-MIN(SEARCH({1,2,3,4,5,6,7,8,9,0},E361&amp;"1234567890"))+1),10),".","/")),4))))),(AJ361-A361))</f>
        <v>908</v>
      </c>
      <c r="C361" s="334"/>
      <c r="D361" s="294" t="str">
        <f t="shared" si="48"/>
        <v>FGM-J3/2B-000X630</v>
      </c>
      <c r="E361" s="294" t="s">
        <v>4512</v>
      </c>
      <c r="F361" s="294" t="s">
        <v>4513</v>
      </c>
      <c r="G361" s="294" t="s">
        <v>4514</v>
      </c>
      <c r="H361" s="294" t="s">
        <v>29</v>
      </c>
      <c r="I361" s="337" t="s">
        <v>116</v>
      </c>
      <c r="J361" s="149">
        <v>0.5</v>
      </c>
      <c r="K361" s="149">
        <v>0.28000000000000003</v>
      </c>
      <c r="L361" s="149">
        <v>0.28000000000000003</v>
      </c>
      <c r="M361" s="149">
        <v>0.28999999999999998</v>
      </c>
      <c r="N361" s="335">
        <v>630</v>
      </c>
      <c r="O361" s="296">
        <f>2.135</f>
        <v>2.1349999999999998</v>
      </c>
      <c r="P361" s="345">
        <v>2.1749999999999998</v>
      </c>
      <c r="Q361" s="138" t="s">
        <v>3598</v>
      </c>
      <c r="R361" s="366">
        <v>614.5</v>
      </c>
      <c r="S361" s="339"/>
      <c r="T361" s="299"/>
      <c r="U361" s="282" t="s">
        <v>117</v>
      </c>
      <c r="V361" s="282" t="s">
        <v>4515</v>
      </c>
      <c r="W361" s="282" t="s">
        <v>4516</v>
      </c>
      <c r="X361" s="340" t="s">
        <v>4517</v>
      </c>
      <c r="Y361" s="340" t="s">
        <v>4518</v>
      </c>
      <c r="Z361" s="340" t="s">
        <v>4519</v>
      </c>
      <c r="AA361" s="340">
        <v>43947</v>
      </c>
      <c r="AB361" s="340"/>
      <c r="AC361" s="341"/>
      <c r="AD361" s="342" t="s">
        <v>64</v>
      </c>
      <c r="AE361" s="342" t="s">
        <v>203</v>
      </c>
      <c r="AF361" s="284" t="s">
        <v>4520</v>
      </c>
      <c r="AG361" s="284"/>
      <c r="AH361" s="284">
        <v>43946</v>
      </c>
      <c r="AI361" s="284"/>
      <c r="AJ361" s="334">
        <f t="shared" ref="AJ361:AJ379" ca="1" si="58">TODAY()</f>
        <v>44963</v>
      </c>
      <c r="AK361" s="342">
        <f t="shared" ca="1" si="50"/>
        <v>1017</v>
      </c>
      <c r="AL361" s="342">
        <f t="shared" ref="AL361:AL384" ca="1" si="59">IF(ISNUMBER(Z361)=TRUE,AJ361-Z361,IF(Z361="","",(AJ361)-(MID(RIGHT(Z361,10),4,2)&amp;"/"&amp;LEFT((RIGHT(Z361,10)),2)&amp;"/"&amp;RIGHT(Z361,4))))</f>
        <v>820</v>
      </c>
      <c r="AM361" s="284"/>
      <c r="AN361" s="284" t="s">
        <v>4521</v>
      </c>
      <c r="AO361" s="343">
        <v>10.465</v>
      </c>
      <c r="AP361" s="343">
        <v>10.475</v>
      </c>
      <c r="AQ361" s="343">
        <v>10.514999999999999</v>
      </c>
      <c r="AR361" s="343">
        <v>10.52</v>
      </c>
      <c r="AS361" s="331">
        <f t="shared" ca="1" si="57"/>
        <v>943</v>
      </c>
      <c r="AV361" s="331" t="s">
        <v>136</v>
      </c>
      <c r="BI361" s="347" t="s">
        <v>174</v>
      </c>
    </row>
    <row r="362" spans="1:61" s="331" customFormat="1" ht="18" customHeight="1" x14ac:dyDescent="0.35">
      <c r="A362" s="334">
        <v>44511</v>
      </c>
      <c r="B362" s="335">
        <f ca="1">IF(A362="",(IF(ISNUMBER(SUBSTITUTE(LEFT(RIGHT(E362,LEN(E362)-MIN(SEARCH({1,2,3,4,5,6,7,8,9,0},E362&amp;"1234567890"))+1),10),".","/"))=TRUE,AJ362-(SUBSTITUTE(LEFT(RIGHT(E362,LEN(E362)-MIN(SEARCH({1,2,3,4,5,6,7,8,9,0},E362&amp;"1234567890"))+1),10),".","/")),IF((SUBSTITUTE(LEFT(RIGHT(E362,LEN(E362)-MIN(SEARCH({1,2,3,4,5,6,7,8,9,0},E362&amp;"1234567890"))+1),10),".","/"))="","",(AJ362)-(MID(RIGHT((SUBSTITUTE(LEFT(RIGHT(E362,LEN(E362)-MIN(SEARCH({1,2,3,4,5,6,7,8,9,0},E362&amp;"1234567890"))+1),10),".","/")),10),4,2)&amp;"/"&amp;LEFT((RIGHT((SUBSTITUTE(LEFT(RIGHT(E362,LEN(E362)-MIN(SEARCH({1,2,3,4,5,6,7,8,9,0},E362&amp;"1234567890"))+1),10),".","/")),10)),2)&amp;"/"&amp;RIGHT((SUBSTITUTE(LEFT(RIGHT(E362,LEN(E362)-MIN(SEARCH({1,2,3,4,5,6,7,8,9,0},E362&amp;"1234567890"))+1),10),".","/")),4))))),(AJ362-A362))</f>
        <v>452</v>
      </c>
      <c r="C362" s="334"/>
      <c r="D362" s="294" t="str">
        <f t="shared" si="48"/>
        <v>FGC-304L/2B-000X760</v>
      </c>
      <c r="E362" s="294" t="s">
        <v>4522</v>
      </c>
      <c r="F362" s="294" t="s">
        <v>1176</v>
      </c>
      <c r="G362" s="294" t="s">
        <v>4523</v>
      </c>
      <c r="H362" s="294" t="s">
        <v>230</v>
      </c>
      <c r="I362" s="337" t="s">
        <v>116</v>
      </c>
      <c r="J362" s="149">
        <v>0.78</v>
      </c>
      <c r="K362" s="149">
        <v>0.4</v>
      </c>
      <c r="L362" s="149">
        <v>0.4</v>
      </c>
      <c r="M362" s="149">
        <v>0.42</v>
      </c>
      <c r="N362" s="335">
        <v>760</v>
      </c>
      <c r="O362" s="296">
        <v>2.61</v>
      </c>
      <c r="P362" s="345"/>
      <c r="Q362" s="138">
        <v>760</v>
      </c>
      <c r="R362" s="138"/>
      <c r="S362" s="339"/>
      <c r="T362" s="299"/>
      <c r="U362" s="282" t="s">
        <v>117</v>
      </c>
      <c r="V362" s="282" t="s">
        <v>1178</v>
      </c>
      <c r="W362" s="138" t="s">
        <v>116</v>
      </c>
      <c r="X362" s="340" t="s">
        <v>1180</v>
      </c>
      <c r="Y362" s="340" t="s">
        <v>1180</v>
      </c>
      <c r="Z362" s="340" t="s">
        <v>1181</v>
      </c>
      <c r="AA362" s="340">
        <v>44496</v>
      </c>
      <c r="AB362" s="340"/>
      <c r="AC362" s="341"/>
      <c r="AD362" s="342" t="s">
        <v>64</v>
      </c>
      <c r="AE362" s="342" t="s">
        <v>154</v>
      </c>
      <c r="AF362" s="284" t="s">
        <v>1183</v>
      </c>
      <c r="AG362" s="284"/>
      <c r="AH362" s="284">
        <v>44466</v>
      </c>
      <c r="AI362" s="284"/>
      <c r="AJ362" s="334">
        <f t="shared" ca="1" si="58"/>
        <v>44963</v>
      </c>
      <c r="AK362" s="342">
        <f t="shared" ca="1" si="50"/>
        <v>497</v>
      </c>
      <c r="AL362" s="342">
        <f t="shared" ca="1" si="59"/>
        <v>483</v>
      </c>
      <c r="AM362" s="284"/>
      <c r="AN362" s="284" t="s">
        <v>1184</v>
      </c>
      <c r="AO362" s="343">
        <v>12.154999999999999</v>
      </c>
      <c r="AP362" s="343">
        <v>12.164999999999999</v>
      </c>
      <c r="AQ362" s="343">
        <v>12.189999999999998</v>
      </c>
      <c r="AR362" s="343">
        <v>12.194999999999999</v>
      </c>
      <c r="AS362" s="331">
        <f t="shared" ca="1" si="57"/>
        <v>725</v>
      </c>
      <c r="AV362" s="331" t="s">
        <v>136</v>
      </c>
      <c r="BI362" s="347" t="s">
        <v>4524</v>
      </c>
    </row>
    <row r="363" spans="1:61" s="331" customFormat="1" ht="18" customHeight="1" x14ac:dyDescent="0.35">
      <c r="A363" s="334">
        <v>44537</v>
      </c>
      <c r="B363" s="335">
        <f ca="1">IF(A363="",(IF(ISNUMBER(SUBSTITUTE(LEFT(RIGHT(E363,LEN(E363)-MIN(SEARCH({1,2,3,4,5,6,7,8,9,0},E363&amp;"1234567890"))+1),10),".","/"))=TRUE,AJ363-(SUBSTITUTE(LEFT(RIGHT(E363,LEN(E363)-MIN(SEARCH({1,2,3,4,5,6,7,8,9,0},E363&amp;"1234567890"))+1),10),".","/")),IF((SUBSTITUTE(LEFT(RIGHT(E363,LEN(E363)-MIN(SEARCH({1,2,3,4,5,6,7,8,9,0},E363&amp;"1234567890"))+1),10),".","/"))="","",(AJ363)-(MID(RIGHT((SUBSTITUTE(LEFT(RIGHT(E363,LEN(E363)-MIN(SEARCH({1,2,3,4,5,6,7,8,9,0},E363&amp;"1234567890"))+1),10),".","/")),10),4,2)&amp;"/"&amp;LEFT((RIGHT((SUBSTITUTE(LEFT(RIGHT(E363,LEN(E363)-MIN(SEARCH({1,2,3,4,5,6,7,8,9,0},E363&amp;"1234567890"))+1),10),".","/")),10)),2)&amp;"/"&amp;RIGHT((SUBSTITUTE(LEFT(RIGHT(E363,LEN(E363)-MIN(SEARCH({1,2,3,4,5,6,7,8,9,0},E363&amp;"1234567890"))+1),10),".","/")),4))))),(AJ363-A363))</f>
        <v>426</v>
      </c>
      <c r="C363" s="334"/>
      <c r="D363" s="294" t="str">
        <f t="shared" si="48"/>
        <v>FGC-316L/2B-001X30</v>
      </c>
      <c r="E363" s="294" t="s">
        <v>4525</v>
      </c>
      <c r="F363" s="294" t="s">
        <v>4526</v>
      </c>
      <c r="G363" s="294" t="s">
        <v>4527</v>
      </c>
      <c r="H363" s="294" t="s">
        <v>148</v>
      </c>
      <c r="I363" s="337" t="s">
        <v>116</v>
      </c>
      <c r="J363" s="149">
        <v>3.79</v>
      </c>
      <c r="K363" s="149">
        <v>1</v>
      </c>
      <c r="L363" s="149">
        <v>0.98</v>
      </c>
      <c r="M363" s="149">
        <v>1.02</v>
      </c>
      <c r="N363" s="335">
        <v>770</v>
      </c>
      <c r="O363" s="296">
        <f>10.43-10.015</f>
        <v>0.41499999999999915</v>
      </c>
      <c r="P363" s="839"/>
      <c r="Q363" s="138">
        <v>30</v>
      </c>
      <c r="R363" s="138"/>
      <c r="S363" s="339"/>
      <c r="T363" s="299"/>
      <c r="U363" s="282" t="s">
        <v>117</v>
      </c>
      <c r="V363" s="282" t="s">
        <v>4528</v>
      </c>
      <c r="W363" s="138" t="s">
        <v>116</v>
      </c>
      <c r="X363" s="340">
        <v>44531</v>
      </c>
      <c r="Y363" s="340">
        <v>44531</v>
      </c>
      <c r="Z363" s="340">
        <v>44535</v>
      </c>
      <c r="AA363" s="340"/>
      <c r="AB363" s="340"/>
      <c r="AC363" s="341"/>
      <c r="AD363" s="342" t="s">
        <v>64</v>
      </c>
      <c r="AE363" s="342" t="s">
        <v>154</v>
      </c>
      <c r="AF363" s="284" t="s">
        <v>1296</v>
      </c>
      <c r="AG363" s="284"/>
      <c r="AH363" s="284">
        <v>44516</v>
      </c>
      <c r="AI363" s="284"/>
      <c r="AJ363" s="334">
        <f t="shared" ca="1" si="58"/>
        <v>44963</v>
      </c>
      <c r="AK363" s="342">
        <f t="shared" ca="1" si="50"/>
        <v>447</v>
      </c>
      <c r="AL363" s="342">
        <f t="shared" ca="1" si="59"/>
        <v>428</v>
      </c>
      <c r="AM363" s="284"/>
      <c r="AN363" s="284" t="s">
        <v>4529</v>
      </c>
      <c r="AO363" s="343">
        <v>10.585000000000001</v>
      </c>
      <c r="AP363" s="343">
        <v>10.595000000000001</v>
      </c>
      <c r="AQ363" s="343">
        <v>10.62</v>
      </c>
      <c r="AR363" s="343">
        <v>10.625</v>
      </c>
      <c r="AS363" s="331">
        <f t="shared" ca="1" si="57"/>
        <v>432</v>
      </c>
      <c r="AV363" s="331" t="s">
        <v>136</v>
      </c>
      <c r="BI363" s="347"/>
    </row>
    <row r="364" spans="1:61" s="331" customFormat="1" ht="18" customHeight="1" x14ac:dyDescent="0.35">
      <c r="A364" s="334">
        <v>44537</v>
      </c>
      <c r="B364" s="335">
        <f ca="1">IF(A364="",(IF(ISNUMBER(SUBSTITUTE(LEFT(RIGHT(E364,LEN(E364)-MIN(SEARCH({1,2,3,4,5,6,7,8,9,0},E364&amp;"1234567890"))+1),10),".","/"))=TRUE,AJ364-(SUBSTITUTE(LEFT(RIGHT(E364,LEN(E364)-MIN(SEARCH({1,2,3,4,5,6,7,8,9,0},E364&amp;"1234567890"))+1),10),".","/")),IF((SUBSTITUTE(LEFT(RIGHT(E364,LEN(E364)-MIN(SEARCH({1,2,3,4,5,6,7,8,9,0},E364&amp;"1234567890"))+1),10),".","/"))="","",(AJ364)-(MID(RIGHT((SUBSTITUTE(LEFT(RIGHT(E364,LEN(E364)-MIN(SEARCH({1,2,3,4,5,6,7,8,9,0},E364&amp;"1234567890"))+1),10),".","/")),10),4,2)&amp;"/"&amp;LEFT((RIGHT((SUBSTITUTE(LEFT(RIGHT(E364,LEN(E364)-MIN(SEARCH({1,2,3,4,5,6,7,8,9,0},E364&amp;"1234567890"))+1),10),".","/")),10)),2)&amp;"/"&amp;RIGHT((SUBSTITUTE(LEFT(RIGHT(E364,LEN(E364)-MIN(SEARCH({1,2,3,4,5,6,7,8,9,0},E364&amp;"1234567890"))+1),10),".","/")),4))))),(AJ364-A364))</f>
        <v>426</v>
      </c>
      <c r="C364" s="334"/>
      <c r="D364" s="294" t="str">
        <f t="shared" si="48"/>
        <v>FGC-316L/2B-001X30</v>
      </c>
      <c r="E364" s="294" t="s">
        <v>4525</v>
      </c>
      <c r="F364" s="294" t="s">
        <v>4530</v>
      </c>
      <c r="G364" s="294" t="s">
        <v>4531</v>
      </c>
      <c r="H364" s="294" t="s">
        <v>148</v>
      </c>
      <c r="I364" s="337" t="s">
        <v>116</v>
      </c>
      <c r="J364" s="149">
        <v>3.51</v>
      </c>
      <c r="K364" s="149">
        <v>1</v>
      </c>
      <c r="L364" s="149">
        <v>0.98</v>
      </c>
      <c r="M364" s="149">
        <v>1</v>
      </c>
      <c r="N364" s="335">
        <v>770</v>
      </c>
      <c r="O364" s="296">
        <f>10.465-10.04</f>
        <v>0.42500000000000071</v>
      </c>
      <c r="P364" s="841"/>
      <c r="Q364" s="138">
        <v>30</v>
      </c>
      <c r="R364" s="138"/>
      <c r="S364" s="339"/>
      <c r="T364" s="299"/>
      <c r="U364" s="282" t="s">
        <v>117</v>
      </c>
      <c r="V364" s="282" t="s">
        <v>4528</v>
      </c>
      <c r="W364" s="138" t="s">
        <v>116</v>
      </c>
      <c r="X364" s="340">
        <v>44531</v>
      </c>
      <c r="Y364" s="340">
        <v>44531</v>
      </c>
      <c r="Z364" s="340">
        <v>44535</v>
      </c>
      <c r="AA364" s="340"/>
      <c r="AB364" s="340"/>
      <c r="AC364" s="341"/>
      <c r="AD364" s="342" t="s">
        <v>64</v>
      </c>
      <c r="AE364" s="342" t="s">
        <v>154</v>
      </c>
      <c r="AF364" s="284" t="s">
        <v>1190</v>
      </c>
      <c r="AG364" s="284"/>
      <c r="AH364" s="284">
        <v>44496</v>
      </c>
      <c r="AI364" s="284"/>
      <c r="AJ364" s="334">
        <f t="shared" ca="1" si="58"/>
        <v>44963</v>
      </c>
      <c r="AK364" s="342">
        <f t="shared" ca="1" si="50"/>
        <v>467</v>
      </c>
      <c r="AL364" s="342">
        <f t="shared" ca="1" si="59"/>
        <v>428</v>
      </c>
      <c r="AM364" s="284"/>
      <c r="AN364" s="284" t="s">
        <v>4532</v>
      </c>
      <c r="AO364" s="343">
        <v>10.615</v>
      </c>
      <c r="AP364" s="343">
        <v>10.625</v>
      </c>
      <c r="AQ364" s="343">
        <v>10.649999999999999</v>
      </c>
      <c r="AR364" s="343">
        <v>10.654999999999999</v>
      </c>
      <c r="AS364" s="331">
        <f t="shared" ca="1" si="57"/>
        <v>432</v>
      </c>
      <c r="AV364" s="331" t="s">
        <v>136</v>
      </c>
      <c r="BI364" s="347"/>
    </row>
    <row r="365" spans="1:61" s="331" customFormat="1" ht="18" customHeight="1" x14ac:dyDescent="0.35">
      <c r="A365" s="334">
        <v>44537</v>
      </c>
      <c r="B365" s="335">
        <f ca="1">IF(A365="",(IF(ISNUMBER(SUBSTITUTE(LEFT(RIGHT(E365,LEN(E365)-MIN(SEARCH({1,2,3,4,5,6,7,8,9,0},E365&amp;"1234567890"))+1),10),".","/"))=TRUE,AJ365-(SUBSTITUTE(LEFT(RIGHT(E365,LEN(E365)-MIN(SEARCH({1,2,3,4,5,6,7,8,9,0},E365&amp;"1234567890"))+1),10),".","/")),IF((SUBSTITUTE(LEFT(RIGHT(E365,LEN(E365)-MIN(SEARCH({1,2,3,4,5,6,7,8,9,0},E365&amp;"1234567890"))+1),10),".","/"))="","",(AJ365)-(MID(RIGHT((SUBSTITUTE(LEFT(RIGHT(E365,LEN(E365)-MIN(SEARCH({1,2,3,4,5,6,7,8,9,0},E365&amp;"1234567890"))+1),10),".","/")),10),4,2)&amp;"/"&amp;LEFT((RIGHT((SUBSTITUTE(LEFT(RIGHT(E365,LEN(E365)-MIN(SEARCH({1,2,3,4,5,6,7,8,9,0},E365&amp;"1234567890"))+1),10),".","/")),10)),2)&amp;"/"&amp;RIGHT((SUBSTITUTE(LEFT(RIGHT(E365,LEN(E365)-MIN(SEARCH({1,2,3,4,5,6,7,8,9,0},E365&amp;"1234567890"))+1),10),".","/")),4))))),(AJ365-A365))</f>
        <v>426</v>
      </c>
      <c r="C365" s="334"/>
      <c r="D365" s="294" t="str">
        <f t="shared" si="48"/>
        <v>FGC-316L/2B-001X30</v>
      </c>
      <c r="E365" s="294" t="s">
        <v>4525</v>
      </c>
      <c r="F365" s="294" t="s">
        <v>4533</v>
      </c>
      <c r="G365" s="294" t="s">
        <v>4534</v>
      </c>
      <c r="H365" s="294" t="s">
        <v>148</v>
      </c>
      <c r="I365" s="337" t="s">
        <v>116</v>
      </c>
      <c r="J365" s="149">
        <v>3.48</v>
      </c>
      <c r="K365" s="149">
        <v>1</v>
      </c>
      <c r="L365" s="149">
        <v>0.98</v>
      </c>
      <c r="M365" s="149">
        <v>1.01</v>
      </c>
      <c r="N365" s="335">
        <v>770</v>
      </c>
      <c r="O365" s="296">
        <f>10.435-10.005</f>
        <v>0.42999999999999972</v>
      </c>
      <c r="P365" s="841"/>
      <c r="Q365" s="138">
        <v>30</v>
      </c>
      <c r="R365" s="138"/>
      <c r="S365" s="339"/>
      <c r="T365" s="299"/>
      <c r="U365" s="282" t="s">
        <v>117</v>
      </c>
      <c r="V365" s="282" t="s">
        <v>4528</v>
      </c>
      <c r="W365" s="138" t="s">
        <v>116</v>
      </c>
      <c r="X365" s="340">
        <v>44531</v>
      </c>
      <c r="Y365" s="340">
        <v>44531</v>
      </c>
      <c r="Z365" s="340">
        <v>44535</v>
      </c>
      <c r="AA365" s="340"/>
      <c r="AB365" s="340"/>
      <c r="AC365" s="341"/>
      <c r="AD365" s="342" t="s">
        <v>64</v>
      </c>
      <c r="AE365" s="342" t="s">
        <v>154</v>
      </c>
      <c r="AF365" s="284" t="s">
        <v>1190</v>
      </c>
      <c r="AG365" s="284"/>
      <c r="AH365" s="284">
        <v>44496</v>
      </c>
      <c r="AI365" s="284"/>
      <c r="AJ365" s="334">
        <f t="shared" ca="1" si="58"/>
        <v>44963</v>
      </c>
      <c r="AK365" s="342">
        <f t="shared" ca="1" si="50"/>
        <v>467</v>
      </c>
      <c r="AL365" s="342">
        <f t="shared" ca="1" si="59"/>
        <v>428</v>
      </c>
      <c r="AM365" s="284"/>
      <c r="AN365" s="284" t="s">
        <v>4535</v>
      </c>
      <c r="AO365" s="343">
        <v>10.56</v>
      </c>
      <c r="AP365" s="343">
        <v>10.57</v>
      </c>
      <c r="AQ365" s="343">
        <v>10.594999999999999</v>
      </c>
      <c r="AR365" s="343">
        <v>10.6</v>
      </c>
      <c r="AS365" s="331">
        <f t="shared" ca="1" si="57"/>
        <v>432</v>
      </c>
      <c r="AV365" s="331" t="s">
        <v>136</v>
      </c>
      <c r="BI365" s="347"/>
    </row>
    <row r="366" spans="1:61" s="331" customFormat="1" ht="18" customHeight="1" x14ac:dyDescent="0.35">
      <c r="A366" s="334">
        <v>44537</v>
      </c>
      <c r="B366" s="335">
        <f ca="1">IF(A366="",(IF(ISNUMBER(SUBSTITUTE(LEFT(RIGHT(E366,LEN(E366)-MIN(SEARCH({1,2,3,4,5,6,7,8,9,0},E366&amp;"1234567890"))+1),10),".","/"))=TRUE,AJ366-(SUBSTITUTE(LEFT(RIGHT(E366,LEN(E366)-MIN(SEARCH({1,2,3,4,5,6,7,8,9,0},E366&amp;"1234567890"))+1),10),".","/")),IF((SUBSTITUTE(LEFT(RIGHT(E366,LEN(E366)-MIN(SEARCH({1,2,3,4,5,6,7,8,9,0},E366&amp;"1234567890"))+1),10),".","/"))="","",(AJ366)-(MID(RIGHT((SUBSTITUTE(LEFT(RIGHT(E366,LEN(E366)-MIN(SEARCH({1,2,3,4,5,6,7,8,9,0},E366&amp;"1234567890"))+1),10),".","/")),10),4,2)&amp;"/"&amp;LEFT((RIGHT((SUBSTITUTE(LEFT(RIGHT(E366,LEN(E366)-MIN(SEARCH({1,2,3,4,5,6,7,8,9,0},E366&amp;"1234567890"))+1),10),".","/")),10)),2)&amp;"/"&amp;RIGHT((SUBSTITUTE(LEFT(RIGHT(E366,LEN(E366)-MIN(SEARCH({1,2,3,4,5,6,7,8,9,0},E366&amp;"1234567890"))+1),10),".","/")),4))))),(AJ366-A366))</f>
        <v>426</v>
      </c>
      <c r="C366" s="334"/>
      <c r="D366" s="294" t="str">
        <f t="shared" si="48"/>
        <v>FGC-316L/2B-001X30</v>
      </c>
      <c r="E366" s="294" t="s">
        <v>4525</v>
      </c>
      <c r="F366" s="294" t="s">
        <v>4536</v>
      </c>
      <c r="G366" s="294" t="s">
        <v>4537</v>
      </c>
      <c r="H366" s="294" t="s">
        <v>148</v>
      </c>
      <c r="I366" s="337" t="s">
        <v>116</v>
      </c>
      <c r="J366" s="149">
        <v>3.49</v>
      </c>
      <c r="K366" s="149">
        <v>1</v>
      </c>
      <c r="L366" s="149">
        <v>0.98</v>
      </c>
      <c r="M366" s="149">
        <v>1.01</v>
      </c>
      <c r="N366" s="335">
        <v>770</v>
      </c>
      <c r="O366" s="296">
        <f>10.195-9.79</f>
        <v>0.40500000000000114</v>
      </c>
      <c r="P366" s="841"/>
      <c r="Q366" s="138">
        <v>30</v>
      </c>
      <c r="R366" s="138"/>
      <c r="S366" s="339"/>
      <c r="T366" s="299"/>
      <c r="U366" s="282" t="s">
        <v>117</v>
      </c>
      <c r="V366" s="282" t="s">
        <v>4528</v>
      </c>
      <c r="W366" s="138" t="s">
        <v>116</v>
      </c>
      <c r="X366" s="340">
        <v>44531</v>
      </c>
      <c r="Y366" s="340">
        <v>44531</v>
      </c>
      <c r="Z366" s="340">
        <v>44535</v>
      </c>
      <c r="AA366" s="340"/>
      <c r="AB366" s="340"/>
      <c r="AC366" s="341"/>
      <c r="AD366" s="342" t="s">
        <v>64</v>
      </c>
      <c r="AE366" s="342" t="s">
        <v>154</v>
      </c>
      <c r="AF366" s="284" t="s">
        <v>1296</v>
      </c>
      <c r="AG366" s="284"/>
      <c r="AH366" s="284">
        <v>44516</v>
      </c>
      <c r="AI366" s="284"/>
      <c r="AJ366" s="334">
        <f t="shared" ca="1" si="58"/>
        <v>44963</v>
      </c>
      <c r="AK366" s="342">
        <f t="shared" ca="1" si="50"/>
        <v>447</v>
      </c>
      <c r="AL366" s="342">
        <f t="shared" ca="1" si="59"/>
        <v>428</v>
      </c>
      <c r="AM366" s="284"/>
      <c r="AN366" s="284" t="s">
        <v>4538</v>
      </c>
      <c r="AO366" s="343">
        <v>10.26</v>
      </c>
      <c r="AP366" s="343">
        <v>10.27</v>
      </c>
      <c r="AQ366" s="343">
        <v>10.294999999999998</v>
      </c>
      <c r="AR366" s="343">
        <v>10.299999999999999</v>
      </c>
      <c r="AS366" s="331">
        <f t="shared" ca="1" si="57"/>
        <v>432</v>
      </c>
      <c r="AV366" s="331" t="s">
        <v>136</v>
      </c>
      <c r="BI366" s="347"/>
    </row>
    <row r="367" spans="1:61" s="331" customFormat="1" ht="18" customHeight="1" x14ac:dyDescent="0.35">
      <c r="A367" s="334">
        <v>44537</v>
      </c>
      <c r="B367" s="335">
        <f ca="1">IF(A367="",(IF(ISNUMBER(SUBSTITUTE(LEFT(RIGHT(E367,LEN(E367)-MIN(SEARCH({1,2,3,4,5,6,7,8,9,0},E367&amp;"1234567890"))+1),10),".","/"))=TRUE,AJ367-(SUBSTITUTE(LEFT(RIGHT(E367,LEN(E367)-MIN(SEARCH({1,2,3,4,5,6,7,8,9,0},E367&amp;"1234567890"))+1),10),".","/")),IF((SUBSTITUTE(LEFT(RIGHT(E367,LEN(E367)-MIN(SEARCH({1,2,3,4,5,6,7,8,9,0},E367&amp;"1234567890"))+1),10),".","/"))="","",(AJ367)-(MID(RIGHT((SUBSTITUTE(LEFT(RIGHT(E367,LEN(E367)-MIN(SEARCH({1,2,3,4,5,6,7,8,9,0},E367&amp;"1234567890"))+1),10),".","/")),10),4,2)&amp;"/"&amp;LEFT((RIGHT((SUBSTITUTE(LEFT(RIGHT(E367,LEN(E367)-MIN(SEARCH({1,2,3,4,5,6,7,8,9,0},E367&amp;"1234567890"))+1),10),".","/")),10)),2)&amp;"/"&amp;RIGHT((SUBSTITUTE(LEFT(RIGHT(E367,LEN(E367)-MIN(SEARCH({1,2,3,4,5,6,7,8,9,0},E367&amp;"1234567890"))+1),10),".","/")),4))))),(AJ367-A367))</f>
        <v>426</v>
      </c>
      <c r="C367" s="334"/>
      <c r="D367" s="294" t="str">
        <f t="shared" si="48"/>
        <v>FGC-316L/2B-001X30</v>
      </c>
      <c r="E367" s="294" t="s">
        <v>4525</v>
      </c>
      <c r="F367" s="294" t="s">
        <v>4539</v>
      </c>
      <c r="G367" s="294" t="s">
        <v>4540</v>
      </c>
      <c r="H367" s="294" t="s">
        <v>148</v>
      </c>
      <c r="I367" s="337" t="s">
        <v>116</v>
      </c>
      <c r="J367" s="149">
        <v>3.48</v>
      </c>
      <c r="K367" s="149">
        <v>1</v>
      </c>
      <c r="L367" s="149">
        <v>0.97</v>
      </c>
      <c r="M367" s="149">
        <v>1</v>
      </c>
      <c r="N367" s="335">
        <v>771</v>
      </c>
      <c r="O367" s="296">
        <f>10.47-10.035</f>
        <v>0.4350000000000005</v>
      </c>
      <c r="P367" s="841"/>
      <c r="Q367" s="138">
        <v>30</v>
      </c>
      <c r="R367" s="138"/>
      <c r="S367" s="339"/>
      <c r="T367" s="299"/>
      <c r="U367" s="282" t="s">
        <v>117</v>
      </c>
      <c r="V367" s="282" t="s">
        <v>4528</v>
      </c>
      <c r="W367" s="138" t="s">
        <v>116</v>
      </c>
      <c r="X367" s="340">
        <v>44531</v>
      </c>
      <c r="Y367" s="340">
        <v>44531</v>
      </c>
      <c r="Z367" s="340">
        <v>44535</v>
      </c>
      <c r="AA367" s="340"/>
      <c r="AB367" s="340"/>
      <c r="AC367" s="341"/>
      <c r="AD367" s="342" t="s">
        <v>64</v>
      </c>
      <c r="AE367" s="342" t="s">
        <v>154</v>
      </c>
      <c r="AF367" s="284" t="s">
        <v>1296</v>
      </c>
      <c r="AG367" s="284"/>
      <c r="AH367" s="284">
        <v>44516</v>
      </c>
      <c r="AI367" s="284"/>
      <c r="AJ367" s="334">
        <f t="shared" ca="1" si="58"/>
        <v>44963</v>
      </c>
      <c r="AK367" s="342">
        <f t="shared" ca="1" si="50"/>
        <v>447</v>
      </c>
      <c r="AL367" s="342">
        <f t="shared" ca="1" si="59"/>
        <v>428</v>
      </c>
      <c r="AM367" s="284"/>
      <c r="AN367" s="284" t="s">
        <v>1362</v>
      </c>
      <c r="AO367" s="343">
        <v>10.574999999999999</v>
      </c>
      <c r="AP367" s="343">
        <v>10.585000000000001</v>
      </c>
      <c r="AQ367" s="343">
        <v>10.61</v>
      </c>
      <c r="AR367" s="343">
        <v>10.615</v>
      </c>
      <c r="AS367" s="331">
        <f t="shared" ca="1" si="57"/>
        <v>432</v>
      </c>
      <c r="AV367" s="331" t="s">
        <v>136</v>
      </c>
      <c r="BI367" s="347"/>
    </row>
    <row r="368" spans="1:61" s="331" customFormat="1" ht="18" customHeight="1" x14ac:dyDescent="0.35">
      <c r="A368" s="334">
        <v>44537</v>
      </c>
      <c r="B368" s="335">
        <f ca="1">IF(A368="",(IF(ISNUMBER(SUBSTITUTE(LEFT(RIGHT(E368,LEN(E368)-MIN(SEARCH({1,2,3,4,5,6,7,8,9,0},E368&amp;"1234567890"))+1),10),".","/"))=TRUE,AJ368-(SUBSTITUTE(LEFT(RIGHT(E368,LEN(E368)-MIN(SEARCH({1,2,3,4,5,6,7,8,9,0},E368&amp;"1234567890"))+1),10),".","/")),IF((SUBSTITUTE(LEFT(RIGHT(E368,LEN(E368)-MIN(SEARCH({1,2,3,4,5,6,7,8,9,0},E368&amp;"1234567890"))+1),10),".","/"))="","",(AJ368)-(MID(RIGHT((SUBSTITUTE(LEFT(RIGHT(E368,LEN(E368)-MIN(SEARCH({1,2,3,4,5,6,7,8,9,0},E368&amp;"1234567890"))+1),10),".","/")),10),4,2)&amp;"/"&amp;LEFT((RIGHT((SUBSTITUTE(LEFT(RIGHT(E368,LEN(E368)-MIN(SEARCH({1,2,3,4,5,6,7,8,9,0},E368&amp;"1234567890"))+1),10),".","/")),10)),2)&amp;"/"&amp;RIGHT((SUBSTITUTE(LEFT(RIGHT(E368,LEN(E368)-MIN(SEARCH({1,2,3,4,5,6,7,8,9,0},E368&amp;"1234567890"))+1),10),".","/")),4))))),(AJ368-A368))</f>
        <v>426</v>
      </c>
      <c r="C368" s="334"/>
      <c r="D368" s="294" t="str">
        <f t="shared" si="48"/>
        <v>FGC-316L/2B-001X30</v>
      </c>
      <c r="E368" s="294" t="s">
        <v>4541</v>
      </c>
      <c r="F368" s="294" t="s">
        <v>4542</v>
      </c>
      <c r="G368" s="294" t="s">
        <v>4543</v>
      </c>
      <c r="H368" s="294" t="s">
        <v>148</v>
      </c>
      <c r="I368" s="337" t="s">
        <v>116</v>
      </c>
      <c r="J368" s="149">
        <v>3.78</v>
      </c>
      <c r="K368" s="149">
        <v>1</v>
      </c>
      <c r="L368" s="149">
        <v>0.98</v>
      </c>
      <c r="M368" s="149">
        <v>1</v>
      </c>
      <c r="N368" s="335">
        <v>772</v>
      </c>
      <c r="O368" s="296">
        <f>10.51-10.05</f>
        <v>0.45999999999999908</v>
      </c>
      <c r="P368" s="841"/>
      <c r="Q368" s="138">
        <v>30</v>
      </c>
      <c r="R368" s="138"/>
      <c r="S368" s="339"/>
      <c r="T368" s="299"/>
      <c r="U368" s="282" t="s">
        <v>117</v>
      </c>
      <c r="V368" s="282" t="s">
        <v>4528</v>
      </c>
      <c r="W368" s="138" t="s">
        <v>116</v>
      </c>
      <c r="X368" s="340">
        <v>44530</v>
      </c>
      <c r="Y368" s="340">
        <v>44531</v>
      </c>
      <c r="Z368" s="340">
        <v>44535</v>
      </c>
      <c r="AA368" s="340"/>
      <c r="AB368" s="340"/>
      <c r="AC368" s="341"/>
      <c r="AD368" s="342" t="s">
        <v>64</v>
      </c>
      <c r="AE368" s="342" t="s">
        <v>154</v>
      </c>
      <c r="AF368" s="284" t="s">
        <v>1296</v>
      </c>
      <c r="AG368" s="284"/>
      <c r="AH368" s="284">
        <v>44516</v>
      </c>
      <c r="AI368" s="284"/>
      <c r="AJ368" s="334">
        <f t="shared" ca="1" si="58"/>
        <v>44963</v>
      </c>
      <c r="AK368" s="342">
        <f t="shared" ca="1" si="50"/>
        <v>447</v>
      </c>
      <c r="AL368" s="342">
        <f t="shared" ca="1" si="59"/>
        <v>428</v>
      </c>
      <c r="AM368" s="284"/>
      <c r="AN368" s="284" t="s">
        <v>4529</v>
      </c>
      <c r="AO368" s="343">
        <v>10.605</v>
      </c>
      <c r="AP368" s="343">
        <v>10.615</v>
      </c>
      <c r="AQ368" s="343">
        <v>10.639999999999999</v>
      </c>
      <c r="AR368" s="343">
        <v>10.645</v>
      </c>
      <c r="AS368" s="331">
        <f t="shared" ca="1" si="57"/>
        <v>432</v>
      </c>
      <c r="AV368" s="331" t="s">
        <v>136</v>
      </c>
      <c r="BI368" s="347"/>
    </row>
    <row r="369" spans="1:61" s="331" customFormat="1" ht="18" customHeight="1" x14ac:dyDescent="0.35">
      <c r="A369" s="334">
        <v>44537</v>
      </c>
      <c r="B369" s="335">
        <f ca="1">IF(A369="",(IF(ISNUMBER(SUBSTITUTE(LEFT(RIGHT(E369,LEN(E369)-MIN(SEARCH({1,2,3,4,5,6,7,8,9,0},E369&amp;"1234567890"))+1),10),".","/"))=TRUE,AJ369-(SUBSTITUTE(LEFT(RIGHT(E369,LEN(E369)-MIN(SEARCH({1,2,3,4,5,6,7,8,9,0},E369&amp;"1234567890"))+1),10),".","/")),IF((SUBSTITUTE(LEFT(RIGHT(E369,LEN(E369)-MIN(SEARCH({1,2,3,4,5,6,7,8,9,0},E369&amp;"1234567890"))+1),10),".","/"))="","",(AJ369)-(MID(RIGHT((SUBSTITUTE(LEFT(RIGHT(E369,LEN(E369)-MIN(SEARCH({1,2,3,4,5,6,7,8,9,0},E369&amp;"1234567890"))+1),10),".","/")),10),4,2)&amp;"/"&amp;LEFT((RIGHT((SUBSTITUTE(LEFT(RIGHT(E369,LEN(E369)-MIN(SEARCH({1,2,3,4,5,6,7,8,9,0},E369&amp;"1234567890"))+1),10),".","/")),10)),2)&amp;"/"&amp;RIGHT((SUBSTITUTE(LEFT(RIGHT(E369,LEN(E369)-MIN(SEARCH({1,2,3,4,5,6,7,8,9,0},E369&amp;"1234567890"))+1),10),".","/")),4))))),(AJ369-A369))</f>
        <v>426</v>
      </c>
      <c r="C369" s="334"/>
      <c r="D369" s="294" t="str">
        <f t="shared" si="48"/>
        <v>FGC-316L/2B-001X30</v>
      </c>
      <c r="E369" s="294" t="s">
        <v>4541</v>
      </c>
      <c r="F369" s="294" t="s">
        <v>4544</v>
      </c>
      <c r="G369" s="294" t="s">
        <v>4545</v>
      </c>
      <c r="H369" s="294" t="s">
        <v>148</v>
      </c>
      <c r="I369" s="337" t="s">
        <v>116</v>
      </c>
      <c r="J369" s="149">
        <v>3.78</v>
      </c>
      <c r="K369" s="149">
        <v>1</v>
      </c>
      <c r="L369" s="149">
        <v>0.97</v>
      </c>
      <c r="M369" s="149">
        <v>0.99</v>
      </c>
      <c r="N369" s="335">
        <v>770</v>
      </c>
      <c r="O369" s="296">
        <f>10.38-9.945</f>
        <v>0.4350000000000005</v>
      </c>
      <c r="P369" s="841"/>
      <c r="Q369" s="138">
        <v>30</v>
      </c>
      <c r="R369" s="138"/>
      <c r="S369" s="339"/>
      <c r="T369" s="299"/>
      <c r="U369" s="282" t="s">
        <v>117</v>
      </c>
      <c r="V369" s="282" t="s">
        <v>4528</v>
      </c>
      <c r="W369" s="138" t="s">
        <v>116</v>
      </c>
      <c r="X369" s="340">
        <v>44531</v>
      </c>
      <c r="Y369" s="340">
        <v>44531</v>
      </c>
      <c r="Z369" s="340">
        <v>44535</v>
      </c>
      <c r="AA369" s="340"/>
      <c r="AB369" s="340"/>
      <c r="AC369" s="341"/>
      <c r="AD369" s="342" t="s">
        <v>64</v>
      </c>
      <c r="AE369" s="342" t="s">
        <v>154</v>
      </c>
      <c r="AF369" s="284" t="s">
        <v>1296</v>
      </c>
      <c r="AG369" s="284"/>
      <c r="AH369" s="284">
        <v>44516</v>
      </c>
      <c r="AI369" s="284"/>
      <c r="AJ369" s="334">
        <f t="shared" ca="1" si="58"/>
        <v>44963</v>
      </c>
      <c r="AK369" s="342">
        <f t="shared" ca="1" si="50"/>
        <v>447</v>
      </c>
      <c r="AL369" s="342">
        <f t="shared" ca="1" si="59"/>
        <v>428</v>
      </c>
      <c r="AM369" s="284"/>
      <c r="AN369" s="284" t="s">
        <v>4546</v>
      </c>
      <c r="AO369" s="343">
        <v>10.5</v>
      </c>
      <c r="AP369" s="343">
        <v>10.51</v>
      </c>
      <c r="AQ369" s="343">
        <v>10.534999999999998</v>
      </c>
      <c r="AR369" s="343">
        <v>10.54</v>
      </c>
      <c r="AS369" s="331">
        <f t="shared" ca="1" si="57"/>
        <v>432</v>
      </c>
      <c r="AV369" s="331" t="s">
        <v>136</v>
      </c>
      <c r="BI369" s="347"/>
    </row>
    <row r="370" spans="1:61" s="331" customFormat="1" ht="18" customHeight="1" x14ac:dyDescent="0.35">
      <c r="A370" s="334">
        <v>44537</v>
      </c>
      <c r="B370" s="335">
        <f ca="1">IF(A370="",(IF(ISNUMBER(SUBSTITUTE(LEFT(RIGHT(E370,LEN(E370)-MIN(SEARCH({1,2,3,4,5,6,7,8,9,0},E370&amp;"1234567890"))+1),10),".","/"))=TRUE,AJ370-(SUBSTITUTE(LEFT(RIGHT(E370,LEN(E370)-MIN(SEARCH({1,2,3,4,5,6,7,8,9,0},E370&amp;"1234567890"))+1),10),".","/")),IF((SUBSTITUTE(LEFT(RIGHT(E370,LEN(E370)-MIN(SEARCH({1,2,3,4,5,6,7,8,9,0},E370&amp;"1234567890"))+1),10),".","/"))="","",(AJ370)-(MID(RIGHT((SUBSTITUTE(LEFT(RIGHT(E370,LEN(E370)-MIN(SEARCH({1,2,3,4,5,6,7,8,9,0},E370&amp;"1234567890"))+1),10),".","/")),10),4,2)&amp;"/"&amp;LEFT((RIGHT((SUBSTITUTE(LEFT(RIGHT(E370,LEN(E370)-MIN(SEARCH({1,2,3,4,5,6,7,8,9,0},E370&amp;"1234567890"))+1),10),".","/")),10)),2)&amp;"/"&amp;RIGHT((SUBSTITUTE(LEFT(RIGHT(E370,LEN(E370)-MIN(SEARCH({1,2,3,4,5,6,7,8,9,0},E370&amp;"1234567890"))+1),10),".","/")),4))))),(AJ370-A370))</f>
        <v>426</v>
      </c>
      <c r="C370" s="334"/>
      <c r="D370" s="294" t="str">
        <f t="shared" si="48"/>
        <v>FGC-316L/2B-001X30</v>
      </c>
      <c r="E370" s="294" t="s">
        <v>4541</v>
      </c>
      <c r="F370" s="294" t="s">
        <v>4547</v>
      </c>
      <c r="G370" s="294" t="s">
        <v>4548</v>
      </c>
      <c r="H370" s="294" t="s">
        <v>148</v>
      </c>
      <c r="I370" s="337" t="s">
        <v>116</v>
      </c>
      <c r="J370" s="149">
        <v>3.49</v>
      </c>
      <c r="K370" s="149">
        <v>1</v>
      </c>
      <c r="L370" s="149">
        <v>0.99</v>
      </c>
      <c r="M370" s="149">
        <v>1</v>
      </c>
      <c r="N370" s="335">
        <v>770</v>
      </c>
      <c r="O370" s="296">
        <f>10.525-10.095</f>
        <v>0.42999999999999972</v>
      </c>
      <c r="P370" s="841"/>
      <c r="Q370" s="138">
        <v>30</v>
      </c>
      <c r="R370" s="138"/>
      <c r="S370" s="339"/>
      <c r="T370" s="299"/>
      <c r="U370" s="282" t="s">
        <v>117</v>
      </c>
      <c r="V370" s="282" t="s">
        <v>4528</v>
      </c>
      <c r="W370" s="138" t="s">
        <v>116</v>
      </c>
      <c r="X370" s="340">
        <v>44530</v>
      </c>
      <c r="Y370" s="340">
        <v>44530</v>
      </c>
      <c r="Z370" s="340">
        <v>44535</v>
      </c>
      <c r="AA370" s="340"/>
      <c r="AB370" s="340"/>
      <c r="AC370" s="341"/>
      <c r="AD370" s="342" t="s">
        <v>64</v>
      </c>
      <c r="AE370" s="342" t="s">
        <v>154</v>
      </c>
      <c r="AF370" s="284" t="s">
        <v>1190</v>
      </c>
      <c r="AG370" s="284"/>
      <c r="AH370" s="284">
        <v>44496</v>
      </c>
      <c r="AI370" s="284"/>
      <c r="AJ370" s="334">
        <f t="shared" ca="1" si="58"/>
        <v>44963</v>
      </c>
      <c r="AK370" s="342">
        <f t="shared" ca="1" si="50"/>
        <v>467</v>
      </c>
      <c r="AL370" s="342">
        <f t="shared" ca="1" si="59"/>
        <v>428</v>
      </c>
      <c r="AM370" s="284"/>
      <c r="AN370" s="284" t="s">
        <v>4549</v>
      </c>
      <c r="AO370" s="343">
        <v>10.625</v>
      </c>
      <c r="AP370" s="343">
        <v>10.635</v>
      </c>
      <c r="AQ370" s="343">
        <v>10.659999999999998</v>
      </c>
      <c r="AR370" s="343">
        <v>10.664999999999999</v>
      </c>
      <c r="AS370" s="331">
        <f t="shared" ca="1" si="57"/>
        <v>433</v>
      </c>
      <c r="AV370" s="331" t="s">
        <v>136</v>
      </c>
      <c r="BI370" s="347"/>
    </row>
    <row r="371" spans="1:61" s="331" customFormat="1" ht="18" customHeight="1" x14ac:dyDescent="0.35">
      <c r="A371" s="334">
        <v>44537</v>
      </c>
      <c r="B371" s="335">
        <f ca="1">IF(A371="",(IF(ISNUMBER(SUBSTITUTE(LEFT(RIGHT(E371,LEN(E371)-MIN(SEARCH({1,2,3,4,5,6,7,8,9,0},E371&amp;"1234567890"))+1),10),".","/"))=TRUE,AJ371-(SUBSTITUTE(LEFT(RIGHT(E371,LEN(E371)-MIN(SEARCH({1,2,3,4,5,6,7,8,9,0},E371&amp;"1234567890"))+1),10),".","/")),IF((SUBSTITUTE(LEFT(RIGHT(E371,LEN(E371)-MIN(SEARCH({1,2,3,4,5,6,7,8,9,0},E371&amp;"1234567890"))+1),10),".","/"))="","",(AJ371)-(MID(RIGHT((SUBSTITUTE(LEFT(RIGHT(E371,LEN(E371)-MIN(SEARCH({1,2,3,4,5,6,7,8,9,0},E371&amp;"1234567890"))+1),10),".","/")),10),4,2)&amp;"/"&amp;LEFT((RIGHT((SUBSTITUTE(LEFT(RIGHT(E371,LEN(E371)-MIN(SEARCH({1,2,3,4,5,6,7,8,9,0},E371&amp;"1234567890"))+1),10),".","/")),10)),2)&amp;"/"&amp;RIGHT((SUBSTITUTE(LEFT(RIGHT(E371,LEN(E371)-MIN(SEARCH({1,2,3,4,5,6,7,8,9,0},E371&amp;"1234567890"))+1),10),".","/")),4))))),(AJ371-A371))</f>
        <v>426</v>
      </c>
      <c r="C371" s="334"/>
      <c r="D371" s="294" t="str">
        <f t="shared" ref="D371:D384" si="60">IF(Q371="MULTI","FGM","FGC")&amp;"-"&amp;H371&amp;"/"&amp;I371&amp;"-"&amp;TEXT(K371,"0.00")&amp;"X"&amp;IF(Q371="MULTI",N371,Q371)</f>
        <v>FGC-316L/2B-001X30</v>
      </c>
      <c r="E371" s="294" t="s">
        <v>4541</v>
      </c>
      <c r="F371" s="294" t="s">
        <v>4550</v>
      </c>
      <c r="G371" s="294" t="s">
        <v>4551</v>
      </c>
      <c r="H371" s="294" t="s">
        <v>148</v>
      </c>
      <c r="I371" s="337" t="s">
        <v>116</v>
      </c>
      <c r="J371" s="149">
        <v>3.48</v>
      </c>
      <c r="K371" s="149">
        <v>1</v>
      </c>
      <c r="L371" s="149">
        <v>0.98</v>
      </c>
      <c r="M371" s="149">
        <v>1.01</v>
      </c>
      <c r="N371" s="335">
        <v>770</v>
      </c>
      <c r="O371" s="296">
        <f>10.435-10.015</f>
        <v>0.41999999999999993</v>
      </c>
      <c r="P371" s="841"/>
      <c r="Q371" s="138">
        <v>30</v>
      </c>
      <c r="R371" s="138"/>
      <c r="S371" s="339"/>
      <c r="T371" s="299"/>
      <c r="U371" s="282" t="s">
        <v>117</v>
      </c>
      <c r="V371" s="282" t="s">
        <v>4528</v>
      </c>
      <c r="W371" s="138" t="s">
        <v>116</v>
      </c>
      <c r="X371" s="340">
        <v>44530</v>
      </c>
      <c r="Y371" s="340">
        <v>44530</v>
      </c>
      <c r="Z371" s="340">
        <v>44536</v>
      </c>
      <c r="AA371" s="340"/>
      <c r="AB371" s="340"/>
      <c r="AC371" s="341"/>
      <c r="AD371" s="342" t="s">
        <v>64</v>
      </c>
      <c r="AE371" s="342" t="s">
        <v>154</v>
      </c>
      <c r="AF371" s="284" t="s">
        <v>1190</v>
      </c>
      <c r="AG371" s="284"/>
      <c r="AH371" s="284">
        <v>44496</v>
      </c>
      <c r="AI371" s="284"/>
      <c r="AJ371" s="334">
        <f t="shared" ca="1" si="58"/>
        <v>44963</v>
      </c>
      <c r="AK371" s="342">
        <f t="shared" ca="1" si="50"/>
        <v>467</v>
      </c>
      <c r="AL371" s="342">
        <f t="shared" ca="1" si="59"/>
        <v>427</v>
      </c>
      <c r="AM371" s="284"/>
      <c r="AN371" s="284" t="s">
        <v>4535</v>
      </c>
      <c r="AO371" s="343">
        <v>10.54</v>
      </c>
      <c r="AP371" s="343">
        <v>10.55</v>
      </c>
      <c r="AQ371" s="343">
        <v>10.574999999999999</v>
      </c>
      <c r="AR371" s="343">
        <v>10.58</v>
      </c>
      <c r="AS371" s="331">
        <f t="shared" ca="1" si="57"/>
        <v>433</v>
      </c>
      <c r="AV371" s="331" t="s">
        <v>136</v>
      </c>
      <c r="BI371" s="347"/>
    </row>
    <row r="372" spans="1:61" s="331" customFormat="1" ht="18" customHeight="1" x14ac:dyDescent="0.35">
      <c r="A372" s="334">
        <v>44537</v>
      </c>
      <c r="B372" s="335">
        <f ca="1">IF(A372="",(IF(ISNUMBER(SUBSTITUTE(LEFT(RIGHT(E372,LEN(E372)-MIN(SEARCH({1,2,3,4,5,6,7,8,9,0},E372&amp;"1234567890"))+1),10),".","/"))=TRUE,AJ372-(SUBSTITUTE(LEFT(RIGHT(E372,LEN(E372)-MIN(SEARCH({1,2,3,4,5,6,7,8,9,0},E372&amp;"1234567890"))+1),10),".","/")),IF((SUBSTITUTE(LEFT(RIGHT(E372,LEN(E372)-MIN(SEARCH({1,2,3,4,5,6,7,8,9,0},E372&amp;"1234567890"))+1),10),".","/"))="","",(AJ372)-(MID(RIGHT((SUBSTITUTE(LEFT(RIGHT(E372,LEN(E372)-MIN(SEARCH({1,2,3,4,5,6,7,8,9,0},E372&amp;"1234567890"))+1),10),".","/")),10),4,2)&amp;"/"&amp;LEFT((RIGHT((SUBSTITUTE(LEFT(RIGHT(E372,LEN(E372)-MIN(SEARCH({1,2,3,4,5,6,7,8,9,0},E372&amp;"1234567890"))+1),10),".","/")),10)),2)&amp;"/"&amp;RIGHT((SUBSTITUTE(LEFT(RIGHT(E372,LEN(E372)-MIN(SEARCH({1,2,3,4,5,6,7,8,9,0},E372&amp;"1234567890"))+1),10),".","/")),4))))),(AJ372-A372))</f>
        <v>426</v>
      </c>
      <c r="C372" s="334"/>
      <c r="D372" s="294" t="str">
        <f t="shared" si="60"/>
        <v>FGC-316L/2B-001X30</v>
      </c>
      <c r="E372" s="294" t="s">
        <v>4541</v>
      </c>
      <c r="F372" s="294" t="s">
        <v>4552</v>
      </c>
      <c r="G372" s="294" t="s">
        <v>4553</v>
      </c>
      <c r="H372" s="294" t="s">
        <v>148</v>
      </c>
      <c r="I372" s="337" t="s">
        <v>116</v>
      </c>
      <c r="J372" s="149">
        <v>3.8</v>
      </c>
      <c r="K372" s="149">
        <v>1</v>
      </c>
      <c r="L372" s="149">
        <v>0.98</v>
      </c>
      <c r="M372" s="149">
        <v>1.01</v>
      </c>
      <c r="N372" s="335">
        <v>770</v>
      </c>
      <c r="O372" s="296">
        <f>10.485-10.06</f>
        <v>0.42499999999999893</v>
      </c>
      <c r="P372" s="840"/>
      <c r="Q372" s="138">
        <v>30</v>
      </c>
      <c r="R372" s="138"/>
      <c r="S372" s="339"/>
      <c r="T372" s="299"/>
      <c r="U372" s="282" t="s">
        <v>117</v>
      </c>
      <c r="V372" s="282" t="s">
        <v>4528</v>
      </c>
      <c r="W372" s="138" t="s">
        <v>116</v>
      </c>
      <c r="X372" s="340">
        <v>44530</v>
      </c>
      <c r="Y372" s="340">
        <v>44531</v>
      </c>
      <c r="Z372" s="340">
        <v>44536</v>
      </c>
      <c r="AA372" s="340"/>
      <c r="AB372" s="340"/>
      <c r="AC372" s="341"/>
      <c r="AD372" s="342" t="s">
        <v>64</v>
      </c>
      <c r="AE372" s="342" t="s">
        <v>154</v>
      </c>
      <c r="AF372" s="284" t="s">
        <v>1190</v>
      </c>
      <c r="AG372" s="284"/>
      <c r="AH372" s="284">
        <v>44496</v>
      </c>
      <c r="AI372" s="284"/>
      <c r="AJ372" s="334">
        <f t="shared" ca="1" si="58"/>
        <v>44963</v>
      </c>
      <c r="AK372" s="342">
        <f t="shared" ca="1" si="50"/>
        <v>467</v>
      </c>
      <c r="AL372" s="342">
        <f t="shared" ca="1" si="59"/>
        <v>427</v>
      </c>
      <c r="AM372" s="284"/>
      <c r="AN372" s="284" t="s">
        <v>1278</v>
      </c>
      <c r="AO372" s="343">
        <v>10.61</v>
      </c>
      <c r="AP372" s="343">
        <v>10.62</v>
      </c>
      <c r="AQ372" s="343">
        <v>10.644999999999998</v>
      </c>
      <c r="AR372" s="343">
        <v>10.649999999999999</v>
      </c>
      <c r="AS372" s="331">
        <f t="shared" ca="1" si="57"/>
        <v>432</v>
      </c>
      <c r="AV372" s="331" t="s">
        <v>136</v>
      </c>
      <c r="BI372" s="347"/>
    </row>
    <row r="373" spans="1:61" s="331" customFormat="1" ht="18" customHeight="1" x14ac:dyDescent="0.35">
      <c r="A373" s="334">
        <v>44549</v>
      </c>
      <c r="B373" s="335">
        <f ca="1">IF(A373="",(IF(ISNUMBER(SUBSTITUTE(LEFT(RIGHT(E373,LEN(E373)-MIN(SEARCH({1,2,3,4,5,6,7,8,9,0},E373&amp;"1234567890"))+1),10),".","/"))=TRUE,AJ373-(SUBSTITUTE(LEFT(RIGHT(E373,LEN(E373)-MIN(SEARCH({1,2,3,4,5,6,7,8,9,0},E373&amp;"1234567890"))+1),10),".","/")),IF((SUBSTITUTE(LEFT(RIGHT(E373,LEN(E373)-MIN(SEARCH({1,2,3,4,5,6,7,8,9,0},E373&amp;"1234567890"))+1),10),".","/"))="","",(AJ373)-(MID(RIGHT((SUBSTITUTE(LEFT(RIGHT(E373,LEN(E373)-MIN(SEARCH({1,2,3,4,5,6,7,8,9,0},E373&amp;"1234567890"))+1),10),".","/")),10),4,2)&amp;"/"&amp;LEFT((RIGHT((SUBSTITUTE(LEFT(RIGHT(E373,LEN(E373)-MIN(SEARCH({1,2,3,4,5,6,7,8,9,0},E373&amp;"1234567890"))+1),10),".","/")),10)),2)&amp;"/"&amp;RIGHT((SUBSTITUTE(LEFT(RIGHT(E373,LEN(E373)-MIN(SEARCH({1,2,3,4,5,6,7,8,9,0},E373&amp;"1234567890"))+1),10),".","/")),4))))),(AJ373-A373))</f>
        <v>414</v>
      </c>
      <c r="C373" s="334"/>
      <c r="D373" s="294" t="str">
        <f t="shared" si="60"/>
        <v>FGC-J3/2B-000X580</v>
      </c>
      <c r="E373" s="294" t="s">
        <v>4554</v>
      </c>
      <c r="F373" s="294" t="s">
        <v>4555</v>
      </c>
      <c r="G373" s="294" t="s">
        <v>4556</v>
      </c>
      <c r="H373" s="294" t="s">
        <v>29</v>
      </c>
      <c r="I373" s="337" t="s">
        <v>116</v>
      </c>
      <c r="J373" s="149">
        <v>0.5</v>
      </c>
      <c r="K373" s="149">
        <v>0.28000000000000003</v>
      </c>
      <c r="L373" s="149">
        <v>0.27</v>
      </c>
      <c r="M373" s="149">
        <v>0.28000000000000003</v>
      </c>
      <c r="N373" s="335">
        <v>587</v>
      </c>
      <c r="O373" s="296">
        <v>1.585</v>
      </c>
      <c r="P373" s="345">
        <v>1.61</v>
      </c>
      <c r="Q373" s="138">
        <v>580</v>
      </c>
      <c r="R373" s="138"/>
      <c r="S373" s="339"/>
      <c r="T373" s="299"/>
      <c r="U373" s="282" t="s">
        <v>304</v>
      </c>
      <c r="V373" s="282" t="s">
        <v>446</v>
      </c>
      <c r="W373" s="138" t="s">
        <v>116</v>
      </c>
      <c r="X373" s="340" t="s">
        <v>4557</v>
      </c>
      <c r="Y373" s="340" t="s">
        <v>4558</v>
      </c>
      <c r="Z373" s="340" t="s">
        <v>423</v>
      </c>
      <c r="AA373" s="340">
        <v>44494</v>
      </c>
      <c r="AB373" s="340"/>
      <c r="AC373" s="341"/>
      <c r="AD373" s="342" t="s">
        <v>64</v>
      </c>
      <c r="AE373" s="342" t="s">
        <v>322</v>
      </c>
      <c r="AF373" s="284"/>
      <c r="AG373" s="284"/>
      <c r="AH373" s="284">
        <v>44301</v>
      </c>
      <c r="AI373" s="284"/>
      <c r="AJ373" s="334">
        <f t="shared" ca="1" si="58"/>
        <v>44963</v>
      </c>
      <c r="AK373" s="342">
        <f t="shared" ca="1" si="50"/>
        <v>662</v>
      </c>
      <c r="AL373" s="342" t="e">
        <f t="shared" ca="1" si="59"/>
        <v>#VALUE!</v>
      </c>
      <c r="AM373" s="284" t="s">
        <v>425</v>
      </c>
      <c r="AN373" s="284" t="s">
        <v>4559</v>
      </c>
      <c r="AO373" s="343">
        <v>8.1660000000000004</v>
      </c>
      <c r="AP373" s="343">
        <v>8.2059999999999995</v>
      </c>
      <c r="AQ373" s="343">
        <v>8.2309999999999981</v>
      </c>
      <c r="AR373" s="343">
        <v>8.2359999999999989</v>
      </c>
      <c r="AS373" s="331" t="e">
        <f t="shared" ca="1" si="57"/>
        <v>#VALUE!</v>
      </c>
      <c r="AV373" s="331" t="s">
        <v>136</v>
      </c>
      <c r="BI373" s="347"/>
    </row>
    <row r="374" spans="1:61" s="331" customFormat="1" ht="18" customHeight="1" x14ac:dyDescent="0.35">
      <c r="A374" s="334"/>
      <c r="B374" s="335">
        <f ca="1">IF(A374="",(IF(ISNUMBER(SUBSTITUTE(LEFT(RIGHT(E374,LEN(E374)-MIN(SEARCH({1,2,3,4,5,6,7,8,9,0},E374&amp;"1234567890"))+1),10),".","/"))=TRUE,AJ374-(SUBSTITUTE(LEFT(RIGHT(E374,LEN(E374)-MIN(SEARCH({1,2,3,4,5,6,7,8,9,0},E374&amp;"1234567890"))+1),10),".","/")),IF((SUBSTITUTE(LEFT(RIGHT(E374,LEN(E374)-MIN(SEARCH({1,2,3,4,5,6,7,8,9,0},E374&amp;"1234567890"))+1),10),".","/"))="","",(AJ374)-(MID(RIGHT((SUBSTITUTE(LEFT(RIGHT(E374,LEN(E374)-MIN(SEARCH({1,2,3,4,5,6,7,8,9,0},E374&amp;"1234567890"))+1),10),".","/")),10),4,2)&amp;"/"&amp;LEFT((RIGHT((SUBSTITUTE(LEFT(RIGHT(E374,LEN(E374)-MIN(SEARCH({1,2,3,4,5,6,7,8,9,0},E374&amp;"1234567890"))+1),10),".","/")),10)),2)&amp;"/"&amp;RIGHT((SUBSTITUTE(LEFT(RIGHT(E374,LEN(E374)-MIN(SEARCH({1,2,3,4,5,6,7,8,9,0},E374&amp;"1234567890"))+1),10),".","/")),4))))),(AJ374-A374))</f>
        <v>342</v>
      </c>
      <c r="C374" s="334"/>
      <c r="D374" s="294" t="str">
        <f t="shared" si="60"/>
        <v>FGC-316L/2B-001X36</v>
      </c>
      <c r="E374" s="294" t="s">
        <v>4560</v>
      </c>
      <c r="F374" s="294" t="s">
        <v>4561</v>
      </c>
      <c r="G374" s="294" t="s">
        <v>4562</v>
      </c>
      <c r="H374" s="294" t="s">
        <v>148</v>
      </c>
      <c r="I374" s="337" t="s">
        <v>116</v>
      </c>
      <c r="J374" s="149">
        <v>3.48</v>
      </c>
      <c r="K374" s="149">
        <v>1</v>
      </c>
      <c r="L374" s="149">
        <v>0.99</v>
      </c>
      <c r="M374" s="149">
        <v>1.01</v>
      </c>
      <c r="N374" s="335">
        <v>772</v>
      </c>
      <c r="O374" s="296">
        <f>10.215-9.775</f>
        <v>0.4399999999999995</v>
      </c>
      <c r="P374" s="345"/>
      <c r="Q374" s="138">
        <v>36</v>
      </c>
      <c r="R374" s="339"/>
      <c r="S374" s="339"/>
      <c r="T374" s="299"/>
      <c r="U374" s="282" t="s">
        <v>117</v>
      </c>
      <c r="V374" s="282" t="s">
        <v>4563</v>
      </c>
      <c r="W374" s="138" t="s">
        <v>116</v>
      </c>
      <c r="X374" s="340">
        <v>44545</v>
      </c>
      <c r="Y374" s="340">
        <v>44545</v>
      </c>
      <c r="Z374" s="340">
        <v>44562</v>
      </c>
      <c r="AA374" s="340"/>
      <c r="AB374" s="340"/>
      <c r="AC374" s="341"/>
      <c r="AD374" s="342" t="s">
        <v>64</v>
      </c>
      <c r="AE374" s="342" t="s">
        <v>154</v>
      </c>
      <c r="AF374" s="284" t="s">
        <v>1296</v>
      </c>
      <c r="AG374" s="284"/>
      <c r="AH374" s="284">
        <v>44516</v>
      </c>
      <c r="AI374" s="284"/>
      <c r="AJ374" s="334">
        <f t="shared" ca="1" si="58"/>
        <v>44963</v>
      </c>
      <c r="AK374" s="342">
        <f t="shared" ca="1" si="50"/>
        <v>447</v>
      </c>
      <c r="AL374" s="342">
        <f t="shared" ca="1" si="59"/>
        <v>401</v>
      </c>
      <c r="AM374" s="284"/>
      <c r="AN374" s="284" t="s">
        <v>4538</v>
      </c>
      <c r="AO374" s="343">
        <v>10.285</v>
      </c>
      <c r="AP374" s="343">
        <v>10.295</v>
      </c>
      <c r="AQ374" s="343">
        <v>10.319999999999999</v>
      </c>
      <c r="AR374" s="343">
        <v>10.324999999999999</v>
      </c>
      <c r="AS374" s="331">
        <f t="shared" ca="1" si="57"/>
        <v>418</v>
      </c>
      <c r="AV374" s="331" t="s">
        <v>136</v>
      </c>
      <c r="BI374" s="347"/>
    </row>
    <row r="375" spans="1:61" s="331" customFormat="1" ht="18" customHeight="1" x14ac:dyDescent="0.35">
      <c r="A375" s="334"/>
      <c r="B375" s="335">
        <f ca="1">IF(A375="",(IF(ISNUMBER(SUBSTITUTE(LEFT(RIGHT(E375,LEN(E375)-MIN(SEARCH({1,2,3,4,5,6,7,8,9,0},E375&amp;"1234567890"))+1),10),".","/"))=TRUE,AJ375-(SUBSTITUTE(LEFT(RIGHT(E375,LEN(E375)-MIN(SEARCH({1,2,3,4,5,6,7,8,9,0},E375&amp;"1234567890"))+1),10),".","/")),IF((SUBSTITUTE(LEFT(RIGHT(E375,LEN(E375)-MIN(SEARCH({1,2,3,4,5,6,7,8,9,0},E375&amp;"1234567890"))+1),10),".","/"))="","",(AJ375)-(MID(RIGHT((SUBSTITUTE(LEFT(RIGHT(E375,LEN(E375)-MIN(SEARCH({1,2,3,4,5,6,7,8,9,0},E375&amp;"1234567890"))+1),10),".","/")),10),4,2)&amp;"/"&amp;LEFT((RIGHT((SUBSTITUTE(LEFT(RIGHT(E375,LEN(E375)-MIN(SEARCH({1,2,3,4,5,6,7,8,9,0},E375&amp;"1234567890"))+1),10),".","/")),10)),2)&amp;"/"&amp;RIGHT((SUBSTITUTE(LEFT(RIGHT(E375,LEN(E375)-MIN(SEARCH({1,2,3,4,5,6,7,8,9,0},E375&amp;"1234567890"))+1),10),".","/")),4))))),(AJ375-A375))</f>
        <v>342</v>
      </c>
      <c r="C375" s="334"/>
      <c r="D375" s="294" t="str">
        <f t="shared" si="60"/>
        <v>FGC-316L/2B-001X36</v>
      </c>
      <c r="E375" s="294" t="s">
        <v>4560</v>
      </c>
      <c r="F375" s="294" t="s">
        <v>4564</v>
      </c>
      <c r="G375" s="294" t="s">
        <v>4565</v>
      </c>
      <c r="H375" s="294" t="s">
        <v>148</v>
      </c>
      <c r="I375" s="337" t="s">
        <v>116</v>
      </c>
      <c r="J375" s="149">
        <v>3.82</v>
      </c>
      <c r="K375" s="149">
        <v>1</v>
      </c>
      <c r="L375" s="149">
        <v>0.97</v>
      </c>
      <c r="M375" s="149">
        <v>1</v>
      </c>
      <c r="N375" s="335">
        <v>777</v>
      </c>
      <c r="O375" s="296">
        <f>10.425-9.91</f>
        <v>0.51500000000000057</v>
      </c>
      <c r="P375" s="345"/>
      <c r="Q375" s="138">
        <v>36</v>
      </c>
      <c r="R375" s="339"/>
      <c r="S375" s="339"/>
      <c r="T375" s="299"/>
      <c r="U375" s="282" t="s">
        <v>117</v>
      </c>
      <c r="V375" s="282" t="s">
        <v>4563</v>
      </c>
      <c r="W375" s="138" t="s">
        <v>116</v>
      </c>
      <c r="X375" s="340">
        <v>44545</v>
      </c>
      <c r="Y375" s="340">
        <v>44545</v>
      </c>
      <c r="Z375" s="340">
        <v>44562</v>
      </c>
      <c r="AA375" s="340"/>
      <c r="AB375" s="340"/>
      <c r="AC375" s="341"/>
      <c r="AD375" s="342" t="s">
        <v>64</v>
      </c>
      <c r="AE375" s="342" t="s">
        <v>154</v>
      </c>
      <c r="AF375" s="284" t="s">
        <v>1296</v>
      </c>
      <c r="AG375" s="284"/>
      <c r="AH375" s="284">
        <v>44516</v>
      </c>
      <c r="AI375" s="284"/>
      <c r="AJ375" s="334">
        <f t="shared" ca="1" si="58"/>
        <v>44963</v>
      </c>
      <c r="AK375" s="342">
        <f t="shared" ca="1" si="50"/>
        <v>447</v>
      </c>
      <c r="AL375" s="342">
        <f t="shared" ca="1" si="59"/>
        <v>401</v>
      </c>
      <c r="AM375" s="284"/>
      <c r="AN375" s="284" t="s">
        <v>4566</v>
      </c>
      <c r="AO375" s="343">
        <v>10.505000000000001</v>
      </c>
      <c r="AP375" s="343">
        <v>10.515000000000001</v>
      </c>
      <c r="AQ375" s="343">
        <v>10.54</v>
      </c>
      <c r="AR375" s="343">
        <v>10.545</v>
      </c>
      <c r="AS375" s="331">
        <f t="shared" ca="1" si="57"/>
        <v>418</v>
      </c>
      <c r="AV375" s="331" t="s">
        <v>136</v>
      </c>
      <c r="BI375" s="347"/>
    </row>
    <row r="376" spans="1:61" s="331" customFormat="1" ht="18" customHeight="1" x14ac:dyDescent="0.35">
      <c r="A376" s="334"/>
      <c r="B376" s="335">
        <f ca="1">IF(A376="",(IF(ISNUMBER(SUBSTITUTE(LEFT(RIGHT(E376,LEN(E376)-MIN(SEARCH({1,2,3,4,5,6,7,8,9,0},E376&amp;"1234567890"))+1),10),".","/"))=TRUE,AJ376-(SUBSTITUTE(LEFT(RIGHT(E376,LEN(E376)-MIN(SEARCH({1,2,3,4,5,6,7,8,9,0},E376&amp;"1234567890"))+1),10),".","/")),IF((SUBSTITUTE(LEFT(RIGHT(E376,LEN(E376)-MIN(SEARCH({1,2,3,4,5,6,7,8,9,0},E376&amp;"1234567890"))+1),10),".","/"))="","",(AJ376)-(MID(RIGHT((SUBSTITUTE(LEFT(RIGHT(E376,LEN(E376)-MIN(SEARCH({1,2,3,4,5,6,7,8,9,0},E376&amp;"1234567890"))+1),10),".","/")),10),4,2)&amp;"/"&amp;LEFT((RIGHT((SUBSTITUTE(LEFT(RIGHT(E376,LEN(E376)-MIN(SEARCH({1,2,3,4,5,6,7,8,9,0},E376&amp;"1234567890"))+1),10),".","/")),10)),2)&amp;"/"&amp;RIGHT((SUBSTITUTE(LEFT(RIGHT(E376,LEN(E376)-MIN(SEARCH({1,2,3,4,5,6,7,8,9,0},E376&amp;"1234567890"))+1),10),".","/")),4))))),(AJ376-A376))</f>
        <v>342</v>
      </c>
      <c r="C376" s="334"/>
      <c r="D376" s="294" t="str">
        <f t="shared" si="60"/>
        <v>FGC-316L/2B-001X36</v>
      </c>
      <c r="E376" s="294" t="s">
        <v>4560</v>
      </c>
      <c r="F376" s="294" t="s">
        <v>4567</v>
      </c>
      <c r="G376" s="294" t="s">
        <v>4568</v>
      </c>
      <c r="H376" s="294" t="s">
        <v>148</v>
      </c>
      <c r="I376" s="337" t="s">
        <v>116</v>
      </c>
      <c r="J376" s="149">
        <v>3.48</v>
      </c>
      <c r="K376" s="149">
        <v>1</v>
      </c>
      <c r="L376" s="149">
        <v>0.99</v>
      </c>
      <c r="M376" s="149">
        <v>1.01</v>
      </c>
      <c r="N376" s="335">
        <v>770</v>
      </c>
      <c r="O376" s="296">
        <f>10.415-9.99</f>
        <v>0.42499999999999893</v>
      </c>
      <c r="P376" s="345"/>
      <c r="Q376" s="138">
        <v>36</v>
      </c>
      <c r="R376" s="339"/>
      <c r="S376" s="339"/>
      <c r="T376" s="299"/>
      <c r="U376" s="282" t="s">
        <v>117</v>
      </c>
      <c r="V376" s="282" t="s">
        <v>4563</v>
      </c>
      <c r="W376" s="138" t="s">
        <v>116</v>
      </c>
      <c r="X376" s="340">
        <v>44544</v>
      </c>
      <c r="Y376" s="340">
        <v>44545</v>
      </c>
      <c r="Z376" s="340">
        <v>44562</v>
      </c>
      <c r="AA376" s="340"/>
      <c r="AB376" s="340"/>
      <c r="AC376" s="341"/>
      <c r="AD376" s="342" t="s">
        <v>64</v>
      </c>
      <c r="AE376" s="342" t="s">
        <v>154</v>
      </c>
      <c r="AF376" s="284" t="s">
        <v>1296</v>
      </c>
      <c r="AG376" s="284"/>
      <c r="AH376" s="284">
        <v>44516</v>
      </c>
      <c r="AI376" s="284"/>
      <c r="AJ376" s="334">
        <f t="shared" ca="1" si="58"/>
        <v>44963</v>
      </c>
      <c r="AK376" s="342">
        <f t="shared" ref="AK376:AK384" ca="1" si="61">IF(AH376&lt;&gt;0,AJ376-AH376,0)</f>
        <v>447</v>
      </c>
      <c r="AL376" s="342">
        <f t="shared" ca="1" si="59"/>
        <v>401</v>
      </c>
      <c r="AM376" s="284"/>
      <c r="AN376" s="284" t="s">
        <v>4569</v>
      </c>
      <c r="AO376" s="343">
        <v>10.47</v>
      </c>
      <c r="AP376" s="343">
        <v>10.48</v>
      </c>
      <c r="AQ376" s="343">
        <v>10.504999999999999</v>
      </c>
      <c r="AR376" s="343">
        <v>10.51</v>
      </c>
      <c r="AS376" s="331">
        <f t="shared" ca="1" si="57"/>
        <v>418</v>
      </c>
      <c r="AV376" s="331" t="s">
        <v>136</v>
      </c>
      <c r="BI376" s="347"/>
    </row>
    <row r="377" spans="1:61" s="331" customFormat="1" ht="18" customHeight="1" x14ac:dyDescent="0.35">
      <c r="A377" s="334"/>
      <c r="B377" s="335">
        <f ca="1">IF(A377="",(IF(ISNUMBER(SUBSTITUTE(LEFT(RIGHT(E377,LEN(E377)-MIN(SEARCH({1,2,3,4,5,6,7,8,9,0},E377&amp;"1234567890"))+1),10),".","/"))=TRUE,AJ377-(SUBSTITUTE(LEFT(RIGHT(E377,LEN(E377)-MIN(SEARCH({1,2,3,4,5,6,7,8,9,0},E377&amp;"1234567890"))+1),10),".","/")),IF((SUBSTITUTE(LEFT(RIGHT(E377,LEN(E377)-MIN(SEARCH({1,2,3,4,5,6,7,8,9,0},E377&amp;"1234567890"))+1),10),".","/"))="","",(AJ377)-(MID(RIGHT((SUBSTITUTE(LEFT(RIGHT(E377,LEN(E377)-MIN(SEARCH({1,2,3,4,5,6,7,8,9,0},E377&amp;"1234567890"))+1),10),".","/")),10),4,2)&amp;"/"&amp;LEFT((RIGHT((SUBSTITUTE(LEFT(RIGHT(E377,LEN(E377)-MIN(SEARCH({1,2,3,4,5,6,7,8,9,0},E377&amp;"1234567890"))+1),10),".","/")),10)),2)&amp;"/"&amp;RIGHT((SUBSTITUTE(LEFT(RIGHT(E377,LEN(E377)-MIN(SEARCH({1,2,3,4,5,6,7,8,9,0},E377&amp;"1234567890"))+1),10),".","/")),4))))),(AJ377-A377))</f>
        <v>342</v>
      </c>
      <c r="C377" s="334"/>
      <c r="D377" s="294" t="str">
        <f t="shared" si="60"/>
        <v>FGC-316L/2B-001X36</v>
      </c>
      <c r="E377" s="294" t="s">
        <v>4560</v>
      </c>
      <c r="F377" s="294" t="s">
        <v>4570</v>
      </c>
      <c r="G377" s="294" t="s">
        <v>4571</v>
      </c>
      <c r="H377" s="294" t="s">
        <v>148</v>
      </c>
      <c r="I377" s="337" t="s">
        <v>116</v>
      </c>
      <c r="J377" s="149">
        <v>3.78</v>
      </c>
      <c r="K377" s="149">
        <v>1</v>
      </c>
      <c r="L377" s="149">
        <v>0.98</v>
      </c>
      <c r="M377" s="149">
        <v>1.01</v>
      </c>
      <c r="N377" s="335">
        <v>772</v>
      </c>
      <c r="O377" s="296">
        <f>10.475-10.015</f>
        <v>0.45999999999999908</v>
      </c>
      <c r="P377" s="345"/>
      <c r="Q377" s="138">
        <v>36</v>
      </c>
      <c r="R377" s="339"/>
      <c r="S377" s="339"/>
      <c r="T377" s="299"/>
      <c r="U377" s="282" t="s">
        <v>117</v>
      </c>
      <c r="V377" s="282" t="s">
        <v>4563</v>
      </c>
      <c r="W377" s="138" t="s">
        <v>116</v>
      </c>
      <c r="X377" s="340">
        <v>44545</v>
      </c>
      <c r="Y377" s="340">
        <v>44545</v>
      </c>
      <c r="Z377" s="340">
        <v>44562</v>
      </c>
      <c r="AA377" s="340"/>
      <c r="AB377" s="340"/>
      <c r="AC377" s="341"/>
      <c r="AD377" s="342" t="s">
        <v>64</v>
      </c>
      <c r="AE377" s="342" t="s">
        <v>154</v>
      </c>
      <c r="AF377" s="284" t="s">
        <v>1296</v>
      </c>
      <c r="AG377" s="284"/>
      <c r="AH377" s="284">
        <v>44516</v>
      </c>
      <c r="AI377" s="284"/>
      <c r="AJ377" s="334">
        <f t="shared" ca="1" si="58"/>
        <v>44963</v>
      </c>
      <c r="AK377" s="342">
        <f t="shared" ca="1" si="61"/>
        <v>447</v>
      </c>
      <c r="AL377" s="342">
        <f t="shared" ca="1" si="59"/>
        <v>401</v>
      </c>
      <c r="AM377" s="284"/>
      <c r="AN377" s="284" t="s">
        <v>4546</v>
      </c>
      <c r="AO377" s="343">
        <v>10.54</v>
      </c>
      <c r="AP377" s="343">
        <v>10.55</v>
      </c>
      <c r="AQ377" s="343">
        <v>10.574999999999999</v>
      </c>
      <c r="AR377" s="343">
        <v>10.58</v>
      </c>
      <c r="AS377" s="331">
        <f t="shared" ca="1" si="57"/>
        <v>418</v>
      </c>
      <c r="AV377" s="331" t="s">
        <v>136</v>
      </c>
      <c r="BI377" s="347"/>
    </row>
    <row r="378" spans="1:61" s="331" customFormat="1" ht="18" customHeight="1" x14ac:dyDescent="0.35">
      <c r="A378" s="334"/>
      <c r="B378" s="335">
        <f ca="1">IF(A378="",(IF(ISNUMBER(SUBSTITUTE(LEFT(RIGHT(E378,LEN(E378)-MIN(SEARCH({1,2,3,4,5,6,7,8,9,0},E378&amp;"1234567890"))+1),10),".","/"))=TRUE,AJ378-(SUBSTITUTE(LEFT(RIGHT(E378,LEN(E378)-MIN(SEARCH({1,2,3,4,5,6,7,8,9,0},E378&amp;"1234567890"))+1),10),".","/")),IF((SUBSTITUTE(LEFT(RIGHT(E378,LEN(E378)-MIN(SEARCH({1,2,3,4,5,6,7,8,9,0},E378&amp;"1234567890"))+1),10),".","/"))="","",(AJ378)-(MID(RIGHT((SUBSTITUTE(LEFT(RIGHT(E378,LEN(E378)-MIN(SEARCH({1,2,3,4,5,6,7,8,9,0},E378&amp;"1234567890"))+1),10),".","/")),10),4,2)&amp;"/"&amp;LEFT((RIGHT((SUBSTITUTE(LEFT(RIGHT(E378,LEN(E378)-MIN(SEARCH({1,2,3,4,5,6,7,8,9,0},E378&amp;"1234567890"))+1),10),".","/")),10)),2)&amp;"/"&amp;RIGHT((SUBSTITUTE(LEFT(RIGHT(E378,LEN(E378)-MIN(SEARCH({1,2,3,4,5,6,7,8,9,0},E378&amp;"1234567890"))+1),10),".","/")),4))))),(AJ378-A378))</f>
        <v>311</v>
      </c>
      <c r="C378" s="334"/>
      <c r="D378" s="294" t="str">
        <f t="shared" si="60"/>
        <v>FGC-316L/2B-001X36</v>
      </c>
      <c r="E378" s="294" t="s">
        <v>4572</v>
      </c>
      <c r="F378" s="294" t="s">
        <v>4573</v>
      </c>
      <c r="G378" s="294" t="s">
        <v>4574</v>
      </c>
      <c r="H378" s="294" t="s">
        <v>148</v>
      </c>
      <c r="I378" s="337" t="s">
        <v>116</v>
      </c>
      <c r="J378" s="149">
        <v>3.5</v>
      </c>
      <c r="K378" s="149">
        <v>1</v>
      </c>
      <c r="L378" s="149">
        <v>0.99</v>
      </c>
      <c r="M378" s="149">
        <v>1.01</v>
      </c>
      <c r="N378" s="335">
        <v>770</v>
      </c>
      <c r="O378" s="296">
        <f>10.55-10.13</f>
        <v>0.41999999999999993</v>
      </c>
      <c r="P378" s="345"/>
      <c r="Q378" s="138">
        <v>36</v>
      </c>
      <c r="R378" s="339"/>
      <c r="S378" s="339"/>
      <c r="T378" s="299"/>
      <c r="U378" s="282" t="s">
        <v>117</v>
      </c>
      <c r="V378" s="282" t="s">
        <v>4563</v>
      </c>
      <c r="W378" s="138" t="s">
        <v>116</v>
      </c>
      <c r="X378" s="340">
        <v>44546</v>
      </c>
      <c r="Y378" s="340">
        <v>44546</v>
      </c>
      <c r="Z378" s="340">
        <v>44562</v>
      </c>
      <c r="AA378" s="340"/>
      <c r="AB378" s="340"/>
      <c r="AC378" s="341"/>
      <c r="AD378" s="342" t="s">
        <v>64</v>
      </c>
      <c r="AE378" s="342" t="s">
        <v>154</v>
      </c>
      <c r="AF378" s="284" t="s">
        <v>1190</v>
      </c>
      <c r="AG378" s="284"/>
      <c r="AH378" s="284">
        <v>44496</v>
      </c>
      <c r="AI378" s="284"/>
      <c r="AJ378" s="334">
        <f t="shared" ca="1" si="58"/>
        <v>44963</v>
      </c>
      <c r="AK378" s="342">
        <f t="shared" ca="1" si="61"/>
        <v>467</v>
      </c>
      <c r="AL378" s="342">
        <f t="shared" ca="1" si="59"/>
        <v>401</v>
      </c>
      <c r="AM378" s="284"/>
      <c r="AN378" s="284" t="s">
        <v>4549</v>
      </c>
      <c r="AO378" s="343">
        <v>10.62</v>
      </c>
      <c r="AP378" s="343">
        <v>10.63</v>
      </c>
      <c r="AQ378" s="343">
        <v>10.654999999999999</v>
      </c>
      <c r="AR378" s="343">
        <v>10.66</v>
      </c>
      <c r="AS378" s="331">
        <f t="shared" ca="1" si="57"/>
        <v>417</v>
      </c>
      <c r="AV378" s="331" t="s">
        <v>136</v>
      </c>
      <c r="BI378" s="347"/>
    </row>
    <row r="379" spans="1:61" s="331" customFormat="1" ht="18" customHeight="1" x14ac:dyDescent="0.35">
      <c r="A379" s="334"/>
      <c r="B379" s="335">
        <f ca="1">IF(A379="",(IF(ISNUMBER(SUBSTITUTE(LEFT(RIGHT(E379,LEN(E379)-MIN(SEARCH({1,2,3,4,5,6,7,8,9,0},E379&amp;"1234567890"))+1),10),".","/"))=TRUE,AJ379-(SUBSTITUTE(LEFT(RIGHT(E379,LEN(E379)-MIN(SEARCH({1,2,3,4,5,6,7,8,9,0},E379&amp;"1234567890"))+1),10),".","/")),IF((SUBSTITUTE(LEFT(RIGHT(E379,LEN(E379)-MIN(SEARCH({1,2,3,4,5,6,7,8,9,0},E379&amp;"1234567890"))+1),10),".","/"))="","",(AJ379)-(MID(RIGHT((SUBSTITUTE(LEFT(RIGHT(E379,LEN(E379)-MIN(SEARCH({1,2,3,4,5,6,7,8,9,0},E379&amp;"1234567890"))+1),10),".","/")),10),4,2)&amp;"/"&amp;LEFT((RIGHT((SUBSTITUTE(LEFT(RIGHT(E379,LEN(E379)-MIN(SEARCH({1,2,3,4,5,6,7,8,9,0},E379&amp;"1234567890"))+1),10),".","/")),10)),2)&amp;"/"&amp;RIGHT((SUBSTITUTE(LEFT(RIGHT(E379,LEN(E379)-MIN(SEARCH({1,2,3,4,5,6,7,8,9,0},E379&amp;"1234567890"))+1),10),".","/")),4))))),(AJ379-A379))</f>
        <v>311</v>
      </c>
      <c r="C379" s="334"/>
      <c r="D379" s="294" t="str">
        <f t="shared" si="60"/>
        <v>FGC-316L/2B-001X36</v>
      </c>
      <c r="E379" s="294" t="s">
        <v>4572</v>
      </c>
      <c r="F379" s="294" t="s">
        <v>4575</v>
      </c>
      <c r="G379" s="294" t="s">
        <v>4576</v>
      </c>
      <c r="H379" s="294" t="s">
        <v>148</v>
      </c>
      <c r="I379" s="337" t="s">
        <v>116</v>
      </c>
      <c r="J379" s="149">
        <v>3.8</v>
      </c>
      <c r="K379" s="149">
        <v>1</v>
      </c>
      <c r="L379" s="149">
        <v>0.98</v>
      </c>
      <c r="M379" s="149">
        <v>1.02</v>
      </c>
      <c r="N379" s="335">
        <v>777</v>
      </c>
      <c r="O379" s="296">
        <f>10.37-9.855</f>
        <v>0.51499999999999879</v>
      </c>
      <c r="P379" s="345"/>
      <c r="Q379" s="138">
        <v>36</v>
      </c>
      <c r="R379" s="339"/>
      <c r="S379" s="339"/>
      <c r="T379" s="299"/>
      <c r="U379" s="282" t="s">
        <v>117</v>
      </c>
      <c r="V379" s="282" t="s">
        <v>4563</v>
      </c>
      <c r="W379" s="138" t="s">
        <v>116</v>
      </c>
      <c r="X379" s="340">
        <v>44544</v>
      </c>
      <c r="Y379" s="340">
        <v>44545</v>
      </c>
      <c r="Z379" s="340">
        <v>44563</v>
      </c>
      <c r="AA379" s="340"/>
      <c r="AB379" s="340"/>
      <c r="AC379" s="341"/>
      <c r="AD379" s="342" t="s">
        <v>64</v>
      </c>
      <c r="AE379" s="342" t="s">
        <v>154</v>
      </c>
      <c r="AF379" s="284" t="s">
        <v>1296</v>
      </c>
      <c r="AG379" s="284"/>
      <c r="AH379" s="284">
        <v>44516</v>
      </c>
      <c r="AI379" s="284"/>
      <c r="AJ379" s="334">
        <f t="shared" ca="1" si="58"/>
        <v>44963</v>
      </c>
      <c r="AK379" s="342">
        <f t="shared" ca="1" si="61"/>
        <v>447</v>
      </c>
      <c r="AL379" s="342">
        <f t="shared" ca="1" si="59"/>
        <v>400</v>
      </c>
      <c r="AM379" s="284"/>
      <c r="AN379" s="284" t="s">
        <v>1359</v>
      </c>
      <c r="AO379" s="343">
        <v>10.525</v>
      </c>
      <c r="AP379" s="343">
        <v>10.535</v>
      </c>
      <c r="AQ379" s="343">
        <v>10.559999999999999</v>
      </c>
      <c r="AR379" s="343">
        <v>10.565</v>
      </c>
      <c r="AS379" s="331">
        <f t="shared" ca="1" si="57"/>
        <v>418</v>
      </c>
      <c r="AV379" s="331" t="s">
        <v>136</v>
      </c>
      <c r="BI379" s="347"/>
    </row>
    <row r="380" spans="1:61" s="331" customFormat="1" ht="18" customHeight="1" x14ac:dyDescent="0.35">
      <c r="A380" s="334"/>
      <c r="B380" s="335">
        <f ca="1">IF(A380="",(IF(ISNUMBER(SUBSTITUTE(LEFT(RIGHT(E380,LEN(E380)-MIN(SEARCH({1,2,3,4,5,6,7,8,9,0},E380&amp;"1234567890"))+1),10),".","/"))=TRUE,AJ380-(SUBSTITUTE(LEFT(RIGHT(E380,LEN(E380)-MIN(SEARCH({1,2,3,4,5,6,7,8,9,0},E380&amp;"1234567890"))+1),10),".","/")),IF((SUBSTITUTE(LEFT(RIGHT(E380,LEN(E380)-MIN(SEARCH({1,2,3,4,5,6,7,8,9,0},E380&amp;"1234567890"))+1),10),".","/"))="","",(AJ380)-(MID(RIGHT((SUBSTITUTE(LEFT(RIGHT(E380,LEN(E380)-MIN(SEARCH({1,2,3,4,5,6,7,8,9,0},E380&amp;"1234567890"))+1),10),".","/")),10),4,2)&amp;"/"&amp;LEFT((RIGHT((SUBSTITUTE(LEFT(RIGHT(E380,LEN(E380)-MIN(SEARCH({1,2,3,4,5,6,7,8,9,0},E380&amp;"1234567890"))+1),10),".","/")),10)),2)&amp;"/"&amp;RIGHT((SUBSTITUTE(LEFT(RIGHT(E380,LEN(E380)-MIN(SEARCH({1,2,3,4,5,6,7,8,9,0},E380&amp;"1234567890"))+1),10),".","/")),4))))),(AJ380-A380))</f>
        <v>342</v>
      </c>
      <c r="C380" s="334"/>
      <c r="D380" s="294" t="str">
        <f t="shared" si="60"/>
        <v>FGC-316L/2B-001X36</v>
      </c>
      <c r="E380" s="294" t="s">
        <v>4560</v>
      </c>
      <c r="F380" s="294" t="s">
        <v>4577</v>
      </c>
      <c r="G380" s="294" t="s">
        <v>4578</v>
      </c>
      <c r="H380" s="294" t="s">
        <v>148</v>
      </c>
      <c r="I380" s="337" t="s">
        <v>116</v>
      </c>
      <c r="J380" s="149">
        <v>3.48</v>
      </c>
      <c r="K380" s="149">
        <v>1</v>
      </c>
      <c r="L380" s="149">
        <v>0.98</v>
      </c>
      <c r="M380" s="149">
        <v>1</v>
      </c>
      <c r="N380" s="335">
        <v>771</v>
      </c>
      <c r="O380" s="296">
        <f>10.405-9.99</f>
        <v>0.41499999999999915</v>
      </c>
      <c r="P380" s="345"/>
      <c r="Q380" s="138">
        <v>36</v>
      </c>
      <c r="R380" s="339"/>
      <c r="S380" s="339"/>
      <c r="T380" s="299"/>
      <c r="U380" s="282" t="s">
        <v>117</v>
      </c>
      <c r="V380" s="282" t="s">
        <v>4563</v>
      </c>
      <c r="W380" s="138" t="s">
        <v>116</v>
      </c>
      <c r="X380" s="340">
        <v>44545</v>
      </c>
      <c r="Y380" s="340">
        <v>44545</v>
      </c>
      <c r="Z380" s="340">
        <v>44563</v>
      </c>
      <c r="AA380" s="340"/>
      <c r="AB380" s="340"/>
      <c r="AC380" s="341"/>
      <c r="AD380" s="342" t="s">
        <v>64</v>
      </c>
      <c r="AE380" s="342" t="s">
        <v>154</v>
      </c>
      <c r="AF380" s="284" t="s">
        <v>1296</v>
      </c>
      <c r="AG380" s="284"/>
      <c r="AH380" s="284">
        <v>44516</v>
      </c>
      <c r="AI380" s="284"/>
      <c r="AJ380" s="334">
        <f ca="1">TODAY()</f>
        <v>44963</v>
      </c>
      <c r="AK380" s="342">
        <f t="shared" ca="1" si="61"/>
        <v>447</v>
      </c>
      <c r="AL380" s="342">
        <f t="shared" ca="1" si="59"/>
        <v>400</v>
      </c>
      <c r="AM380" s="284"/>
      <c r="AN380" s="284" t="s">
        <v>4569</v>
      </c>
      <c r="AO380" s="343">
        <v>10.49</v>
      </c>
      <c r="AP380" s="343">
        <v>10.5</v>
      </c>
      <c r="AQ380" s="343">
        <v>10.524999999999999</v>
      </c>
      <c r="AR380" s="343">
        <v>10.53</v>
      </c>
      <c r="AS380" s="331">
        <f t="shared" ca="1" si="57"/>
        <v>418</v>
      </c>
      <c r="AV380" s="331" t="s">
        <v>136</v>
      </c>
      <c r="BI380" s="347"/>
    </row>
    <row r="381" spans="1:61" s="331" customFormat="1" ht="18" customHeight="1" x14ac:dyDescent="0.35">
      <c r="A381" s="334"/>
      <c r="B381" s="335">
        <f ca="1">IF(A381="",(IF(ISNUMBER(SUBSTITUTE(LEFT(RIGHT(E381,LEN(E381)-MIN(SEARCH({1,2,3,4,5,6,7,8,9,0},E381&amp;"1234567890"))+1),10),".","/"))=TRUE,AJ381-(SUBSTITUTE(LEFT(RIGHT(E381,LEN(E381)-MIN(SEARCH({1,2,3,4,5,6,7,8,9,0},E381&amp;"1234567890"))+1),10),".","/")),IF((SUBSTITUTE(LEFT(RIGHT(E381,LEN(E381)-MIN(SEARCH({1,2,3,4,5,6,7,8,9,0},E381&amp;"1234567890"))+1),10),".","/"))="","",(AJ381)-(MID(RIGHT((SUBSTITUTE(LEFT(RIGHT(E381,LEN(E381)-MIN(SEARCH({1,2,3,4,5,6,7,8,9,0},E381&amp;"1234567890"))+1),10),".","/")),10),4,2)&amp;"/"&amp;LEFT((RIGHT((SUBSTITUTE(LEFT(RIGHT(E381,LEN(E381)-MIN(SEARCH({1,2,3,4,5,6,7,8,9,0},E381&amp;"1234567890"))+1),10),".","/")),10)),2)&amp;"/"&amp;RIGHT((SUBSTITUTE(LEFT(RIGHT(E381,LEN(E381)-MIN(SEARCH({1,2,3,4,5,6,7,8,9,0},E381&amp;"1234567890"))+1),10),".","/")),4))))),(AJ381-A381))</f>
        <v>342</v>
      </c>
      <c r="C381" s="334"/>
      <c r="D381" s="294" t="str">
        <f t="shared" si="60"/>
        <v>FGC-316L/2B-001X36</v>
      </c>
      <c r="E381" s="294" t="s">
        <v>4560</v>
      </c>
      <c r="F381" s="294" t="s">
        <v>4579</v>
      </c>
      <c r="G381" s="294" t="s">
        <v>4580</v>
      </c>
      <c r="H381" s="294" t="s">
        <v>148</v>
      </c>
      <c r="I381" s="337" t="s">
        <v>116</v>
      </c>
      <c r="J381" s="149">
        <v>3.79</v>
      </c>
      <c r="K381" s="149">
        <v>1</v>
      </c>
      <c r="L381" s="149">
        <v>0.98</v>
      </c>
      <c r="M381" s="149">
        <v>1.02</v>
      </c>
      <c r="N381" s="335">
        <v>770</v>
      </c>
      <c r="O381" s="296">
        <f>10.465-10.06</f>
        <v>0.40499999999999936</v>
      </c>
      <c r="P381" s="345"/>
      <c r="Q381" s="138">
        <v>36</v>
      </c>
      <c r="R381" s="339"/>
      <c r="S381" s="339"/>
      <c r="T381" s="299"/>
      <c r="U381" s="282" t="s">
        <v>117</v>
      </c>
      <c r="V381" s="282" t="s">
        <v>4563</v>
      </c>
      <c r="W381" s="138" t="s">
        <v>116</v>
      </c>
      <c r="X381" s="340">
        <v>44545</v>
      </c>
      <c r="Y381" s="340">
        <v>44545</v>
      </c>
      <c r="Z381" s="340">
        <v>44562</v>
      </c>
      <c r="AA381" s="340"/>
      <c r="AB381" s="340"/>
      <c r="AC381" s="341"/>
      <c r="AD381" s="342" t="s">
        <v>64</v>
      </c>
      <c r="AE381" s="342" t="s">
        <v>154</v>
      </c>
      <c r="AF381" s="284" t="s">
        <v>1296</v>
      </c>
      <c r="AG381" s="284"/>
      <c r="AH381" s="284">
        <v>44516</v>
      </c>
      <c r="AI381" s="284"/>
      <c r="AJ381" s="334">
        <f ca="1">TODAY()</f>
        <v>44963</v>
      </c>
      <c r="AK381" s="342">
        <f t="shared" ca="1" si="61"/>
        <v>447</v>
      </c>
      <c r="AL381" s="342">
        <f t="shared" ca="1" si="59"/>
        <v>401</v>
      </c>
      <c r="AM381" s="284"/>
      <c r="AN381" s="284" t="s">
        <v>4581</v>
      </c>
      <c r="AO381" s="343">
        <v>10.555</v>
      </c>
      <c r="AP381" s="343">
        <v>10.565</v>
      </c>
      <c r="AQ381" s="343">
        <v>10.589999999999998</v>
      </c>
      <c r="AR381" s="343">
        <v>10.594999999999999</v>
      </c>
      <c r="AS381" s="331">
        <f t="shared" ca="1" si="57"/>
        <v>418</v>
      </c>
      <c r="AV381" s="331" t="s">
        <v>136</v>
      </c>
      <c r="BI381" s="347"/>
    </row>
    <row r="382" spans="1:61" s="331" customFormat="1" ht="18" customHeight="1" x14ac:dyDescent="0.35">
      <c r="A382" s="334"/>
      <c r="B382" s="335">
        <f ca="1">IF(A382="",(IF(ISNUMBER(SUBSTITUTE(LEFT(RIGHT(E382,LEN(E382)-MIN(SEARCH({1,2,3,4,5,6,7,8,9,0},E382&amp;"1234567890"))+1),10),".","/"))=TRUE,AJ382-(SUBSTITUTE(LEFT(RIGHT(E382,LEN(E382)-MIN(SEARCH({1,2,3,4,5,6,7,8,9,0},E382&amp;"1234567890"))+1),10),".","/")),IF((SUBSTITUTE(LEFT(RIGHT(E382,LEN(E382)-MIN(SEARCH({1,2,3,4,5,6,7,8,9,0},E382&amp;"1234567890"))+1),10),".","/"))="","",(AJ382)-(MID(RIGHT((SUBSTITUTE(LEFT(RIGHT(E382,LEN(E382)-MIN(SEARCH({1,2,3,4,5,6,7,8,9,0},E382&amp;"1234567890"))+1),10),".","/")),10),4,2)&amp;"/"&amp;LEFT((RIGHT((SUBSTITUTE(LEFT(RIGHT(E382,LEN(E382)-MIN(SEARCH({1,2,3,4,5,6,7,8,9,0},E382&amp;"1234567890"))+1),10),".","/")),10)),2)&amp;"/"&amp;RIGHT((SUBSTITUTE(LEFT(RIGHT(E382,LEN(E382)-MIN(SEARCH({1,2,3,4,5,6,7,8,9,0},E382&amp;"1234567890"))+1),10),".","/")),4))))),(AJ382-A382))</f>
        <v>311</v>
      </c>
      <c r="C382" s="334"/>
      <c r="D382" s="294" t="str">
        <f t="shared" si="60"/>
        <v>FGC-316L/2B-001X36</v>
      </c>
      <c r="E382" s="294" t="s">
        <v>4572</v>
      </c>
      <c r="F382" s="294" t="s">
        <v>4582</v>
      </c>
      <c r="G382" s="294" t="s">
        <v>4583</v>
      </c>
      <c r="H382" s="294" t="s">
        <v>148</v>
      </c>
      <c r="I382" s="337" t="s">
        <v>116</v>
      </c>
      <c r="J382" s="149">
        <v>3.81</v>
      </c>
      <c r="K382" s="149">
        <v>1</v>
      </c>
      <c r="L382" s="149">
        <v>1</v>
      </c>
      <c r="M382" s="149">
        <v>1.02</v>
      </c>
      <c r="N382" s="335">
        <v>777</v>
      </c>
      <c r="O382" s="296">
        <f>10.385-9.91</f>
        <v>0.47499999999999964</v>
      </c>
      <c r="P382" s="345"/>
      <c r="Q382" s="138">
        <v>36</v>
      </c>
      <c r="R382" s="339"/>
      <c r="S382" s="339"/>
      <c r="T382" s="299"/>
      <c r="U382" s="282" t="s">
        <v>117</v>
      </c>
      <c r="V382" s="282" t="s">
        <v>4563</v>
      </c>
      <c r="W382" s="138" t="s">
        <v>116</v>
      </c>
      <c r="X382" s="340">
        <v>44545</v>
      </c>
      <c r="Y382" s="340">
        <v>44546</v>
      </c>
      <c r="Z382" s="340">
        <v>44562</v>
      </c>
      <c r="AA382" s="340"/>
      <c r="AB382" s="340"/>
      <c r="AC382" s="341"/>
      <c r="AD382" s="342" t="s">
        <v>64</v>
      </c>
      <c r="AE382" s="342" t="s">
        <v>154</v>
      </c>
      <c r="AF382" s="284" t="s">
        <v>1296</v>
      </c>
      <c r="AG382" s="284"/>
      <c r="AH382" s="284">
        <v>44516</v>
      </c>
      <c r="AI382" s="284"/>
      <c r="AJ382" s="334">
        <f ca="1">TODAY()</f>
        <v>44963</v>
      </c>
      <c r="AK382" s="342">
        <f t="shared" ca="1" si="61"/>
        <v>447</v>
      </c>
      <c r="AL382" s="342">
        <f t="shared" ca="1" si="59"/>
        <v>401</v>
      </c>
      <c r="AM382" s="284"/>
      <c r="AN382" s="284" t="s">
        <v>4566</v>
      </c>
      <c r="AO382" s="343">
        <v>10.46</v>
      </c>
      <c r="AP382" s="343">
        <v>10.47</v>
      </c>
      <c r="AQ382" s="343">
        <v>10.494999999999999</v>
      </c>
      <c r="AR382" s="343">
        <v>10.5</v>
      </c>
      <c r="AS382" s="331">
        <f t="shared" ca="1" si="57"/>
        <v>417</v>
      </c>
      <c r="AV382" s="331" t="s">
        <v>136</v>
      </c>
      <c r="BI382" s="347"/>
    </row>
    <row r="383" spans="1:61" s="331" customFormat="1" ht="18" customHeight="1" x14ac:dyDescent="0.35">
      <c r="A383" s="334"/>
      <c r="B383" s="335">
        <f ca="1">IF(A383="",(IF(ISNUMBER(SUBSTITUTE(LEFT(RIGHT(E383,LEN(E383)-MIN(SEARCH({1,2,3,4,5,6,7,8,9,0},E383&amp;"1234567890"))+1),10),".","/"))=TRUE,AJ383-(SUBSTITUTE(LEFT(RIGHT(E383,LEN(E383)-MIN(SEARCH({1,2,3,4,5,6,7,8,9,0},E383&amp;"1234567890"))+1),10),".","/")),IF((SUBSTITUTE(LEFT(RIGHT(E383,LEN(E383)-MIN(SEARCH({1,2,3,4,5,6,7,8,9,0},E383&amp;"1234567890"))+1),10),".","/"))="","",(AJ383)-(MID(RIGHT((SUBSTITUTE(LEFT(RIGHT(E383,LEN(E383)-MIN(SEARCH({1,2,3,4,5,6,7,8,9,0},E383&amp;"1234567890"))+1),10),".","/")),10),4,2)&amp;"/"&amp;LEFT((RIGHT((SUBSTITUTE(LEFT(RIGHT(E383,LEN(E383)-MIN(SEARCH({1,2,3,4,5,6,7,8,9,0},E383&amp;"1234567890"))+1),10),".","/")),10)),2)&amp;"/"&amp;RIGHT((SUBSTITUTE(LEFT(RIGHT(E383,LEN(E383)-MIN(SEARCH({1,2,3,4,5,6,7,8,9,0},E383&amp;"1234567890"))+1),10),".","/")),4))))),(AJ383-A383))</f>
        <v>311</v>
      </c>
      <c r="C383" s="334"/>
      <c r="D383" s="294" t="str">
        <f t="shared" si="60"/>
        <v>FGC-316L/2B-001X36</v>
      </c>
      <c r="E383" s="294" t="s">
        <v>4572</v>
      </c>
      <c r="F383" s="294" t="s">
        <v>4584</v>
      </c>
      <c r="G383" s="294" t="s">
        <v>4585</v>
      </c>
      <c r="H383" s="294" t="s">
        <v>148</v>
      </c>
      <c r="I383" s="337" t="s">
        <v>116</v>
      </c>
      <c r="J383" s="149">
        <v>3.79</v>
      </c>
      <c r="K383" s="149">
        <v>1</v>
      </c>
      <c r="L383" s="149">
        <v>0.98</v>
      </c>
      <c r="M383" s="149">
        <v>1</v>
      </c>
      <c r="N383" s="335">
        <v>771</v>
      </c>
      <c r="O383" s="296">
        <f>10.465-10.035</f>
        <v>0.42999999999999972</v>
      </c>
      <c r="P383" s="345"/>
      <c r="Q383" s="138">
        <v>36</v>
      </c>
      <c r="R383" s="339"/>
      <c r="S383" s="339"/>
      <c r="T383" s="299"/>
      <c r="U383" s="282" t="s">
        <v>117</v>
      </c>
      <c r="V383" s="282" t="s">
        <v>4563</v>
      </c>
      <c r="W383" s="138" t="s">
        <v>116</v>
      </c>
      <c r="X383" s="340">
        <v>44544</v>
      </c>
      <c r="Y383" s="340">
        <v>44545</v>
      </c>
      <c r="Z383" s="340">
        <v>44562</v>
      </c>
      <c r="AA383" s="340"/>
      <c r="AB383" s="340"/>
      <c r="AC383" s="341"/>
      <c r="AD383" s="342" t="s">
        <v>64</v>
      </c>
      <c r="AE383" s="342" t="s">
        <v>154</v>
      </c>
      <c r="AF383" s="284" t="s">
        <v>1296</v>
      </c>
      <c r="AG383" s="284"/>
      <c r="AH383" s="284">
        <v>44516</v>
      </c>
      <c r="AI383" s="284"/>
      <c r="AJ383" s="334">
        <f ca="1">TODAY()</f>
        <v>44963</v>
      </c>
      <c r="AK383" s="342">
        <f t="shared" ca="1" si="61"/>
        <v>447</v>
      </c>
      <c r="AL383" s="342">
        <f t="shared" ca="1" si="59"/>
        <v>401</v>
      </c>
      <c r="AM383" s="284"/>
      <c r="AN383" s="284" t="s">
        <v>4581</v>
      </c>
      <c r="AO383" s="343">
        <v>10.565</v>
      </c>
      <c r="AP383" s="343">
        <v>10.574999999999999</v>
      </c>
      <c r="AQ383" s="343">
        <v>10.599999999999998</v>
      </c>
      <c r="AR383" s="343">
        <v>10.604999999999999</v>
      </c>
      <c r="AS383" s="331">
        <f t="shared" ca="1" si="57"/>
        <v>418</v>
      </c>
      <c r="AV383" s="331" t="s">
        <v>136</v>
      </c>
      <c r="BI383" s="347"/>
    </row>
    <row r="384" spans="1:61" s="331" customFormat="1" ht="18" customHeight="1" x14ac:dyDescent="0.35">
      <c r="A384" s="334">
        <v>44572</v>
      </c>
      <c r="B384" s="335">
        <f ca="1">IF(A384="",(IF(ISNUMBER(SUBSTITUTE(LEFT(RIGHT(E384,LEN(E384)-MIN(SEARCH({1,2,3,4,5,6,7,8,9,0},E384&amp;"1234567890"))+1),10),".","/"))=TRUE,AJ384-(SUBSTITUTE(LEFT(RIGHT(E384,LEN(E384)-MIN(SEARCH({1,2,3,4,5,6,7,8,9,0},E384&amp;"1234567890"))+1),10),".","/")),IF((SUBSTITUTE(LEFT(RIGHT(E384,LEN(E384)-MIN(SEARCH({1,2,3,4,5,6,7,8,9,0},E384&amp;"1234567890"))+1),10),".","/"))="","",(AJ384)-(MID(RIGHT((SUBSTITUTE(LEFT(RIGHT(E384,LEN(E384)-MIN(SEARCH({1,2,3,4,5,6,7,8,9,0},E384&amp;"1234567890"))+1),10),".","/")),10),4,2)&amp;"/"&amp;LEFT((RIGHT((SUBSTITUTE(LEFT(RIGHT(E384,LEN(E384)-MIN(SEARCH({1,2,3,4,5,6,7,8,9,0},E384&amp;"1234567890"))+1),10),".","/")),10)),2)&amp;"/"&amp;RIGHT((SUBSTITUTE(LEFT(RIGHT(E384,LEN(E384)-MIN(SEARCH({1,2,3,4,5,6,7,8,9,0},E384&amp;"1234567890"))+1),10),".","/")),4))))),(AJ384-A384))</f>
        <v>391</v>
      </c>
      <c r="C384" s="334"/>
      <c r="D384" s="294" t="str">
        <f t="shared" si="60"/>
        <v>FGC-304L/2B-001X760</v>
      </c>
      <c r="E384" s="294" t="s">
        <v>3775</v>
      </c>
      <c r="F384" s="294" t="s">
        <v>4586</v>
      </c>
      <c r="G384" s="294" t="s">
        <v>4587</v>
      </c>
      <c r="H384" s="294" t="s">
        <v>230</v>
      </c>
      <c r="I384" s="337" t="s">
        <v>116</v>
      </c>
      <c r="J384" s="149">
        <v>0.95</v>
      </c>
      <c r="K384" s="149">
        <v>0.5</v>
      </c>
      <c r="L384" s="149">
        <v>0.49</v>
      </c>
      <c r="M384" s="149">
        <v>0.5</v>
      </c>
      <c r="N384" s="335">
        <v>762</v>
      </c>
      <c r="O384" s="296">
        <f>2.19</f>
        <v>2.19</v>
      </c>
      <c r="P384" s="345">
        <v>2.21</v>
      </c>
      <c r="Q384" s="138">
        <v>760</v>
      </c>
      <c r="R384" s="339"/>
      <c r="S384" s="339"/>
      <c r="T384" s="299"/>
      <c r="U384" s="282" t="s">
        <v>117</v>
      </c>
      <c r="V384" s="282" t="s">
        <v>4588</v>
      </c>
      <c r="W384" s="138" t="s">
        <v>116</v>
      </c>
      <c r="X384" s="340" t="s">
        <v>4589</v>
      </c>
      <c r="Y384" s="340" t="s">
        <v>4589</v>
      </c>
      <c r="Z384" s="340" t="s">
        <v>4590</v>
      </c>
      <c r="AA384" s="340">
        <v>44547</v>
      </c>
      <c r="AB384" s="340"/>
      <c r="AC384" s="341"/>
      <c r="AD384" s="342" t="s">
        <v>64</v>
      </c>
      <c r="AE384" s="342" t="s">
        <v>154</v>
      </c>
      <c r="AF384" s="284" t="s">
        <v>1330</v>
      </c>
      <c r="AG384" s="284"/>
      <c r="AH384" s="284">
        <v>44516</v>
      </c>
      <c r="AI384" s="284"/>
      <c r="AJ384" s="334">
        <f ca="1">TODAY()</f>
        <v>44963</v>
      </c>
      <c r="AK384" s="342">
        <f t="shared" ca="1" si="61"/>
        <v>447</v>
      </c>
      <c r="AL384" s="342" t="e">
        <f t="shared" ca="1" si="59"/>
        <v>#VALUE!</v>
      </c>
      <c r="AM384" s="284"/>
      <c r="AN384" s="284" t="s">
        <v>4591</v>
      </c>
      <c r="AO384" s="343">
        <v>10.24</v>
      </c>
      <c r="AP384" s="343">
        <v>10.25</v>
      </c>
      <c r="AQ384" s="343">
        <v>10.274999999999999</v>
      </c>
      <c r="AR384" s="343">
        <v>10.28</v>
      </c>
      <c r="AS384" s="331" t="e">
        <f t="shared" ca="1" si="57"/>
        <v>#VALUE!</v>
      </c>
      <c r="AV384" s="331" t="s">
        <v>136</v>
      </c>
      <c r="BI384" s="347"/>
    </row>
    <row r="385" spans="1:61" s="302" customFormat="1" ht="18" customHeight="1" x14ac:dyDescent="0.35">
      <c r="E385" s="380"/>
      <c r="G385" s="381"/>
      <c r="J385" s="321"/>
      <c r="K385" s="321"/>
      <c r="L385" s="321"/>
      <c r="M385" s="321"/>
      <c r="N385" s="319"/>
      <c r="O385" s="382">
        <f>SUM(O243:O384)</f>
        <v>72.472000000000037</v>
      </c>
      <c r="P385" s="305"/>
      <c r="Q385" s="323"/>
      <c r="R385" s="323"/>
      <c r="S385" s="323"/>
      <c r="T385" s="327"/>
      <c r="U385" s="154"/>
      <c r="V385" s="383"/>
      <c r="W385" s="384"/>
      <c r="X385" s="385"/>
      <c r="Y385" s="385"/>
      <c r="Z385" s="385"/>
      <c r="AA385" s="385"/>
      <c r="AB385" s="385"/>
      <c r="AD385" s="386"/>
      <c r="AG385" s="320"/>
      <c r="AH385" s="320"/>
      <c r="AI385" s="380"/>
      <c r="AJ385" s="387"/>
      <c r="AK385" s="387"/>
      <c r="AL385" s="387"/>
      <c r="AO385" s="305"/>
      <c r="AP385" s="305"/>
      <c r="AQ385" s="305"/>
      <c r="AR385" s="321"/>
      <c r="AS385" s="319"/>
      <c r="AT385" s="319"/>
      <c r="AU385" s="319"/>
      <c r="AV385" s="321"/>
    </row>
    <row r="386" spans="1:61" ht="16.5" customHeight="1" x14ac:dyDescent="0.35">
      <c r="G386" s="280"/>
      <c r="O386" s="388"/>
    </row>
    <row r="387" spans="1:61" s="274" customFormat="1" x14ac:dyDescent="0.35">
      <c r="A387" s="260"/>
      <c r="B387" s="260"/>
      <c r="C387" s="260"/>
      <c r="D387" s="260"/>
      <c r="E387" s="260"/>
      <c r="F387" s="260"/>
      <c r="G387" s="280"/>
      <c r="H387" s="260"/>
      <c r="I387" s="260"/>
      <c r="K387" s="304"/>
      <c r="L387" s="304"/>
      <c r="M387" s="304"/>
      <c r="N387" s="275"/>
      <c r="O387" s="388"/>
      <c r="P387" s="276"/>
      <c r="Q387" s="276"/>
      <c r="R387" s="276"/>
      <c r="S387" s="276"/>
      <c r="T387" s="304"/>
      <c r="AE387" s="260"/>
      <c r="AF387" s="260"/>
      <c r="AG387" s="260"/>
      <c r="AH387" s="260"/>
      <c r="AI387" s="260"/>
      <c r="AJ387" s="260"/>
      <c r="AK387" s="260"/>
      <c r="AL387" s="260"/>
      <c r="AM387" s="260"/>
      <c r="AN387" s="260"/>
      <c r="AO387" s="305"/>
      <c r="AP387" s="305"/>
      <c r="AQ387" s="305"/>
      <c r="AT387" s="260"/>
      <c r="AU387" s="260"/>
      <c r="AV387" s="260"/>
      <c r="AW387" s="260"/>
      <c r="AX387" s="260"/>
      <c r="AY387" s="260"/>
      <c r="AZ387" s="260"/>
      <c r="BA387" s="260"/>
      <c r="BB387" s="260"/>
      <c r="BC387" s="260"/>
      <c r="BD387" s="260"/>
      <c r="BE387" s="260"/>
      <c r="BF387" s="260"/>
      <c r="BG387" s="260"/>
      <c r="BH387" s="260"/>
      <c r="BI387" s="260"/>
    </row>
    <row r="388" spans="1:61" s="302" customFormat="1" ht="16.5" customHeight="1" x14ac:dyDescent="0.35">
      <c r="D388" s="260"/>
      <c r="G388" s="280" t="s">
        <v>2522</v>
      </c>
      <c r="J388" s="321"/>
      <c r="K388" s="321"/>
      <c r="L388" s="321"/>
      <c r="M388" s="321"/>
      <c r="N388" s="319"/>
      <c r="O388" s="382">
        <f>SUBTOTAL(9,O6:O385)</f>
        <v>1502.8843799999991</v>
      </c>
      <c r="P388" s="323"/>
      <c r="Q388" s="327"/>
      <c r="R388" s="327"/>
      <c r="S388" s="326"/>
      <c r="T388" s="327"/>
      <c r="U388" s="389"/>
      <c r="W388" s="389"/>
      <c r="X388" s="385"/>
      <c r="Y388" s="385"/>
      <c r="Z388" s="385"/>
      <c r="AA388" s="385"/>
      <c r="AB388" s="385"/>
      <c r="AC388" s="390"/>
      <c r="AG388" s="320"/>
      <c r="AH388" s="320"/>
      <c r="AI388" s="320"/>
      <c r="AJ388" s="320"/>
      <c r="AK388" s="320"/>
      <c r="AL388" s="320"/>
      <c r="AO388" s="305"/>
      <c r="AP388" s="305"/>
      <c r="AQ388" s="305"/>
      <c r="AR388" s="305"/>
    </row>
    <row r="389" spans="1:61" s="302" customFormat="1" ht="16.5" customHeight="1" x14ac:dyDescent="0.35">
      <c r="G389" s="280" t="s">
        <v>18</v>
      </c>
      <c r="J389" s="321"/>
      <c r="K389" s="321"/>
      <c r="L389" s="321"/>
      <c r="M389" s="321"/>
      <c r="N389" s="319"/>
      <c r="O389" s="382">
        <f>O385+O122+O134+O54+O180+O77+O210+O220+O234+O206+O141+O150+O238</f>
        <v>751.44218999999998</v>
      </c>
      <c r="P389" s="323"/>
      <c r="Q389" s="327"/>
      <c r="R389" s="327"/>
      <c r="S389" s="326"/>
      <c r="T389" s="327"/>
      <c r="W389" s="389"/>
      <c r="X389" s="385"/>
      <c r="Y389" s="385"/>
      <c r="Z389" s="385"/>
      <c r="AA389" s="385"/>
      <c r="AB389" s="385"/>
      <c r="AC389" s="390"/>
      <c r="AG389" s="320"/>
      <c r="AH389" s="320"/>
      <c r="AI389" s="320"/>
      <c r="AJ389" s="320"/>
      <c r="AK389" s="320"/>
      <c r="AL389" s="320"/>
      <c r="AO389" s="305"/>
      <c r="AP389" s="305"/>
      <c r="AQ389" s="305"/>
      <c r="AR389" s="305"/>
    </row>
    <row r="391" spans="1:61" x14ac:dyDescent="0.35">
      <c r="R391" s="274"/>
    </row>
    <row r="392" spans="1:61" x14ac:dyDescent="0.35">
      <c r="U392" s="260"/>
    </row>
    <row r="393" spans="1:61" s="302" customFormat="1" ht="16.5" customHeight="1" x14ac:dyDescent="0.35">
      <c r="G393" s="280"/>
      <c r="J393" s="321"/>
      <c r="K393" s="321"/>
      <c r="L393" s="321"/>
      <c r="M393" s="321"/>
      <c r="N393" s="319"/>
      <c r="O393" s="382"/>
      <c r="P393" s="323"/>
      <c r="Q393" s="327"/>
      <c r="R393" s="327"/>
      <c r="S393" s="326"/>
      <c r="T393" s="327"/>
      <c r="W393" s="389"/>
      <c r="X393" s="385"/>
      <c r="Y393" s="385"/>
      <c r="Z393" s="385"/>
      <c r="AA393" s="385"/>
      <c r="AB393" s="385"/>
      <c r="AC393" s="390"/>
      <c r="AG393" s="320"/>
      <c r="AH393" s="320"/>
      <c r="AI393" s="320"/>
      <c r="AJ393" s="320"/>
      <c r="AK393" s="320"/>
      <c r="AL393" s="320"/>
      <c r="AO393" s="305"/>
      <c r="AP393" s="305"/>
      <c r="AQ393" s="305"/>
      <c r="AR393" s="305"/>
    </row>
    <row r="394" spans="1:61" x14ac:dyDescent="0.35">
      <c r="U394" s="260"/>
    </row>
    <row r="395" spans="1:61" x14ac:dyDescent="0.35">
      <c r="U395" s="260"/>
    </row>
    <row r="396" spans="1:61" x14ac:dyDescent="0.35">
      <c r="Q396" s="305"/>
      <c r="U396" s="260"/>
    </row>
    <row r="397" spans="1:61" x14ac:dyDescent="0.35">
      <c r="Q397" s="305"/>
      <c r="U397" s="260"/>
    </row>
    <row r="398" spans="1:61" x14ac:dyDescent="0.35">
      <c r="Q398" s="305"/>
      <c r="U398" s="260"/>
    </row>
    <row r="399" spans="1:61" s="302" customFormat="1" ht="16.5" customHeight="1" x14ac:dyDescent="0.35">
      <c r="H399" s="280"/>
      <c r="K399" s="321"/>
      <c r="L399" s="321"/>
      <c r="M399" s="321"/>
      <c r="N399" s="321"/>
      <c r="O399" s="382"/>
      <c r="P399" s="323"/>
      <c r="Q399" s="327"/>
      <c r="R399" s="327"/>
      <c r="S399" s="326"/>
      <c r="V399" s="385"/>
      <c r="W399" s="385"/>
      <c r="X399" s="385"/>
      <c r="Y399" s="385"/>
      <c r="Z399" s="385"/>
      <c r="AA399" s="390"/>
      <c r="AE399" s="320"/>
      <c r="AF399" s="320"/>
      <c r="AG399" s="320"/>
      <c r="AH399" s="320"/>
      <c r="AI399" s="320"/>
      <c r="AJ399" s="320"/>
      <c r="AM399" s="305"/>
      <c r="AN399" s="305"/>
      <c r="AO399" s="305"/>
      <c r="AP399" s="305"/>
    </row>
    <row r="400" spans="1:61" x14ac:dyDescent="0.35">
      <c r="U400" s="260"/>
    </row>
    <row r="401" spans="1:45" x14ac:dyDescent="0.35">
      <c r="U401" s="260"/>
      <c r="V401" s="260"/>
    </row>
    <row r="402" spans="1:45" x14ac:dyDescent="0.35">
      <c r="U402" s="260"/>
    </row>
    <row r="403" spans="1:45" x14ac:dyDescent="0.35">
      <c r="U403" s="260"/>
    </row>
    <row r="404" spans="1:45" x14ac:dyDescent="0.35">
      <c r="U404" s="260"/>
    </row>
    <row r="405" spans="1:45" x14ac:dyDescent="0.35">
      <c r="U405" s="260"/>
    </row>
    <row r="406" spans="1:45" x14ac:dyDescent="0.35">
      <c r="U406" s="260"/>
    </row>
    <row r="407" spans="1:45" x14ac:dyDescent="0.35">
      <c r="U407" s="260"/>
    </row>
    <row r="408" spans="1:45" x14ac:dyDescent="0.35">
      <c r="U408" s="260"/>
    </row>
    <row r="409" spans="1:45" x14ac:dyDescent="0.35">
      <c r="U409" s="260"/>
    </row>
    <row r="410" spans="1:45" x14ac:dyDescent="0.35">
      <c r="U410" s="260"/>
    </row>
    <row r="411" spans="1:45" x14ac:dyDescent="0.35">
      <c r="U411" s="260"/>
    </row>
    <row r="412" spans="1:45" x14ac:dyDescent="0.35">
      <c r="U412" s="260"/>
    </row>
    <row r="413" spans="1:45" s="331" customFormat="1" ht="18" customHeight="1" x14ac:dyDescent="0.35">
      <c r="A413" s="320"/>
      <c r="B413" s="319"/>
      <c r="C413" s="320"/>
      <c r="D413" s="302"/>
      <c r="E413" s="302"/>
      <c r="F413" s="302"/>
      <c r="G413" s="302"/>
      <c r="H413" s="302"/>
      <c r="I413" s="260"/>
      <c r="J413" s="321"/>
      <c r="K413" s="321"/>
      <c r="L413" s="321"/>
      <c r="M413" s="321"/>
      <c r="N413" s="319"/>
      <c r="O413" s="276"/>
      <c r="P413" s="323"/>
      <c r="Q413" s="301"/>
      <c r="R413" s="301"/>
      <c r="S413" s="326"/>
      <c r="T413" s="327"/>
      <c r="V413" s="328"/>
      <c r="W413" s="301"/>
      <c r="X413" s="329"/>
      <c r="Y413" s="329"/>
      <c r="Z413" s="329"/>
      <c r="AA413" s="329"/>
      <c r="AB413" s="329"/>
      <c r="AC413" s="330"/>
      <c r="AF413" s="332"/>
      <c r="AG413" s="332"/>
      <c r="AH413" s="332"/>
      <c r="AI413" s="332"/>
      <c r="AJ413" s="320"/>
      <c r="AM413" s="332"/>
      <c r="AN413" s="332"/>
      <c r="AO413" s="333"/>
      <c r="AP413" s="333"/>
      <c r="AQ413" s="333"/>
      <c r="AR413" s="333"/>
    </row>
    <row r="415" spans="1:45" x14ac:dyDescent="0.35">
      <c r="J415" s="260"/>
      <c r="K415" s="274"/>
      <c r="N415" s="304"/>
      <c r="Q415" s="260"/>
      <c r="T415" s="274"/>
      <c r="U415" s="260"/>
      <c r="V415" s="260"/>
      <c r="AC415" s="260"/>
      <c r="AD415" s="260"/>
      <c r="AM415" s="305"/>
      <c r="AN415" s="305"/>
      <c r="AP415" s="274"/>
      <c r="AQ415" s="274"/>
      <c r="AR415" s="260"/>
      <c r="AS415" s="260"/>
    </row>
    <row r="416" spans="1:45" x14ac:dyDescent="0.35">
      <c r="T416" s="260"/>
      <c r="U416" s="260"/>
    </row>
    <row r="419" spans="20:21" x14ac:dyDescent="0.35">
      <c r="T419" s="260"/>
    </row>
    <row r="420" spans="20:21" x14ac:dyDescent="0.35">
      <c r="T420" s="260"/>
    </row>
    <row r="421" spans="20:21" x14ac:dyDescent="0.35">
      <c r="T421" s="260"/>
    </row>
    <row r="422" spans="20:21" x14ac:dyDescent="0.35">
      <c r="T422" s="260"/>
      <c r="U422" s="260"/>
    </row>
    <row r="423" spans="20:21" x14ac:dyDescent="0.35">
      <c r="T423" s="260"/>
      <c r="U423" s="260"/>
    </row>
    <row r="424" spans="20:21" x14ac:dyDescent="0.35">
      <c r="T424" s="260"/>
      <c r="U424" s="260"/>
    </row>
    <row r="425" spans="20:21" x14ac:dyDescent="0.35">
      <c r="T425" s="260"/>
      <c r="U425" s="260"/>
    </row>
    <row r="426" spans="20:21" x14ac:dyDescent="0.35">
      <c r="T426" s="260"/>
      <c r="U426" s="260"/>
    </row>
    <row r="427" spans="20:21" x14ac:dyDescent="0.35">
      <c r="T427" s="260"/>
      <c r="U427" s="260"/>
    </row>
    <row r="428" spans="20:21" x14ac:dyDescent="0.35">
      <c r="U428" s="260"/>
    </row>
    <row r="429" spans="20:21" x14ac:dyDescent="0.35">
      <c r="U429" s="260"/>
    </row>
    <row r="430" spans="20:21" x14ac:dyDescent="0.35">
      <c r="U430" s="260"/>
    </row>
    <row r="431" spans="20:21" x14ac:dyDescent="0.35">
      <c r="U431" s="260"/>
    </row>
    <row r="432" spans="20:21" x14ac:dyDescent="0.35">
      <c r="U432" s="260"/>
    </row>
    <row r="433" spans="2:46" x14ac:dyDescent="0.35">
      <c r="U433" s="260"/>
    </row>
    <row r="434" spans="2:46" x14ac:dyDescent="0.35">
      <c r="U434" s="260"/>
    </row>
    <row r="435" spans="2:46" x14ac:dyDescent="0.35">
      <c r="U435" s="260"/>
    </row>
    <row r="436" spans="2:46" x14ac:dyDescent="0.35">
      <c r="U436" s="260"/>
    </row>
    <row r="437" spans="2:46" x14ac:dyDescent="0.35">
      <c r="U437" s="260"/>
    </row>
    <row r="438" spans="2:46" x14ac:dyDescent="0.35">
      <c r="U438" s="260"/>
    </row>
    <row r="442" spans="2:46" ht="15.75" customHeight="1" x14ac:dyDescent="0.35">
      <c r="R442" s="305"/>
      <c r="U442" s="260"/>
    </row>
    <row r="443" spans="2:46" s="99" customFormat="1" ht="21.75" customHeight="1" x14ac:dyDescent="0.35">
      <c r="B443" s="302"/>
      <c r="C443" s="302"/>
      <c r="F443" s="302"/>
      <c r="I443" s="140"/>
      <c r="J443" s="140"/>
      <c r="K443" s="140"/>
      <c r="L443" s="140"/>
      <c r="M443" s="391"/>
      <c r="N443" s="106"/>
      <c r="O443" s="305"/>
      <c r="P443" s="305"/>
      <c r="Q443" s="106"/>
      <c r="R443" s="106"/>
      <c r="S443" s="392"/>
      <c r="T443" s="301"/>
      <c r="V443" s="327"/>
      <c r="W443" s="328"/>
      <c r="X443" s="328"/>
      <c r="Y443" s="155"/>
      <c r="Z443" s="156"/>
      <c r="AA443" s="156"/>
      <c r="AB443" s="156"/>
      <c r="AC443" s="156"/>
      <c r="AD443" s="156"/>
      <c r="AE443" s="157"/>
      <c r="AH443" s="158"/>
      <c r="AI443" s="158"/>
      <c r="AJ443" s="158"/>
      <c r="AK443" s="158"/>
      <c r="AL443" s="158"/>
      <c r="AN443" s="158"/>
      <c r="AO443" s="106"/>
      <c r="AP443" s="106"/>
      <c r="AQ443" s="106"/>
      <c r="AR443" s="106"/>
      <c r="AS443" s="106"/>
      <c r="AT443" s="106"/>
    </row>
    <row r="444" spans="2:46" x14ac:dyDescent="0.35">
      <c r="U444" s="260"/>
    </row>
    <row r="445" spans="2:46" x14ac:dyDescent="0.35">
      <c r="U445" s="260"/>
    </row>
    <row r="446" spans="2:46" x14ac:dyDescent="0.35">
      <c r="U446" s="260"/>
    </row>
    <row r="447" spans="2:46" x14ac:dyDescent="0.35">
      <c r="U447" s="260"/>
    </row>
    <row r="448" spans="2:46" x14ac:dyDescent="0.35">
      <c r="U448" s="260"/>
    </row>
    <row r="449" spans="7:44" x14ac:dyDescent="0.35">
      <c r="U449" s="260"/>
    </row>
    <row r="450" spans="7:44" s="302" customFormat="1" ht="16.5" customHeight="1" x14ac:dyDescent="0.35">
      <c r="G450" s="280"/>
      <c r="J450" s="321"/>
      <c r="K450" s="321"/>
      <c r="L450" s="321"/>
      <c r="M450" s="321"/>
      <c r="N450" s="319"/>
      <c r="O450" s="382"/>
      <c r="P450" s="323"/>
      <c r="Q450" s="327"/>
      <c r="R450" s="327"/>
      <c r="S450" s="326"/>
      <c r="T450" s="304"/>
      <c r="V450" s="389"/>
      <c r="W450" s="389"/>
      <c r="X450" s="385"/>
      <c r="Y450" s="385"/>
      <c r="Z450" s="385"/>
      <c r="AA450" s="385"/>
      <c r="AB450" s="385"/>
      <c r="AC450" s="390"/>
      <c r="AG450" s="320"/>
      <c r="AH450" s="320"/>
      <c r="AI450" s="320"/>
      <c r="AJ450" s="320"/>
      <c r="AK450" s="320"/>
      <c r="AL450" s="320"/>
      <c r="AO450" s="305"/>
      <c r="AP450" s="305"/>
      <c r="AQ450" s="305"/>
      <c r="AR450" s="305"/>
    </row>
    <row r="451" spans="7:44" s="302" customFormat="1" ht="16.5" customHeight="1" x14ac:dyDescent="0.35">
      <c r="G451" s="280"/>
      <c r="J451" s="321"/>
      <c r="K451" s="321"/>
      <c r="L451" s="321"/>
      <c r="M451" s="321"/>
      <c r="N451" s="319"/>
      <c r="O451" s="382"/>
      <c r="P451" s="323"/>
      <c r="Q451" s="327"/>
      <c r="R451" s="327"/>
      <c r="S451" s="326"/>
      <c r="T451" s="304"/>
      <c r="V451" s="389"/>
      <c r="W451" s="389"/>
      <c r="X451" s="385"/>
      <c r="Y451" s="385"/>
      <c r="Z451" s="385"/>
      <c r="AA451" s="385"/>
      <c r="AB451" s="385"/>
      <c r="AC451" s="390"/>
      <c r="AG451" s="320"/>
      <c r="AH451" s="320"/>
      <c r="AI451" s="320"/>
      <c r="AJ451" s="320"/>
      <c r="AK451" s="320"/>
      <c r="AL451" s="320"/>
      <c r="AO451" s="305"/>
      <c r="AP451" s="305"/>
      <c r="AQ451" s="305"/>
      <c r="AR451" s="305"/>
    </row>
    <row r="452" spans="7:44" s="302" customFormat="1" ht="16.5" customHeight="1" x14ac:dyDescent="0.35">
      <c r="G452" s="388"/>
      <c r="J452" s="321"/>
      <c r="K452" s="321"/>
      <c r="L452" s="321"/>
      <c r="M452" s="321"/>
      <c r="N452" s="319"/>
      <c r="O452" s="382"/>
      <c r="P452" s="323"/>
      <c r="Q452" s="327"/>
      <c r="R452" s="327"/>
      <c r="S452" s="326"/>
      <c r="T452" s="304"/>
      <c r="V452" s="389"/>
      <c r="W452" s="389"/>
      <c r="X452" s="385"/>
      <c r="Y452" s="385"/>
      <c r="Z452" s="385"/>
      <c r="AA452" s="385"/>
      <c r="AB452" s="385"/>
      <c r="AC452" s="390"/>
      <c r="AG452" s="320"/>
      <c r="AH452" s="320"/>
      <c r="AI452" s="320"/>
      <c r="AJ452" s="320"/>
      <c r="AK452" s="320"/>
      <c r="AL452" s="320"/>
      <c r="AO452" s="305"/>
      <c r="AP452" s="305"/>
      <c r="AQ452" s="305"/>
      <c r="AR452" s="305"/>
    </row>
    <row r="453" spans="7:44" s="302" customFormat="1" ht="16.5" customHeight="1" x14ac:dyDescent="0.35">
      <c r="G453" s="280"/>
      <c r="J453" s="321"/>
      <c r="K453" s="321"/>
      <c r="L453" s="321"/>
      <c r="M453" s="321"/>
      <c r="N453" s="319"/>
      <c r="O453" s="382"/>
      <c r="P453" s="323"/>
      <c r="Q453" s="327"/>
      <c r="R453" s="327"/>
      <c r="S453" s="326"/>
      <c r="T453" s="304"/>
      <c r="V453" s="389"/>
      <c r="W453" s="389"/>
      <c r="X453" s="385"/>
      <c r="Y453" s="385"/>
      <c r="Z453" s="385"/>
      <c r="AA453" s="385"/>
      <c r="AB453" s="385"/>
      <c r="AC453" s="390"/>
      <c r="AG453" s="320"/>
      <c r="AH453" s="320"/>
      <c r="AI453" s="320"/>
      <c r="AJ453" s="320"/>
      <c r="AK453" s="320"/>
      <c r="AL453" s="320"/>
      <c r="AO453" s="305"/>
      <c r="AP453" s="305"/>
      <c r="AQ453" s="305"/>
      <c r="AR453" s="305"/>
    </row>
    <row r="454" spans="7:44" s="302" customFormat="1" ht="16.5" customHeight="1" x14ac:dyDescent="0.35">
      <c r="G454" s="280"/>
      <c r="J454" s="321"/>
      <c r="K454" s="321"/>
      <c r="L454" s="321"/>
      <c r="M454" s="321"/>
      <c r="N454" s="319"/>
      <c r="O454" s="382"/>
      <c r="P454" s="323"/>
      <c r="Q454" s="327"/>
      <c r="R454" s="327"/>
      <c r="S454" s="326"/>
      <c r="T454" s="304"/>
      <c r="V454" s="389"/>
      <c r="W454" s="389"/>
      <c r="X454" s="385"/>
      <c r="Y454" s="385"/>
      <c r="Z454" s="385"/>
      <c r="AA454" s="385"/>
      <c r="AB454" s="385"/>
      <c r="AC454" s="390"/>
      <c r="AG454" s="320"/>
      <c r="AH454" s="320"/>
      <c r="AI454" s="320"/>
      <c r="AJ454" s="320"/>
      <c r="AK454" s="320"/>
      <c r="AL454" s="320"/>
      <c r="AO454" s="305"/>
      <c r="AP454" s="305"/>
      <c r="AQ454" s="305"/>
      <c r="AR454" s="305"/>
    </row>
    <row r="455" spans="7:44" s="302" customFormat="1" ht="16.5" customHeight="1" x14ac:dyDescent="0.35">
      <c r="G455" s="280"/>
      <c r="J455" s="321"/>
      <c r="K455" s="321"/>
      <c r="L455" s="321"/>
      <c r="M455" s="321"/>
      <c r="N455" s="319"/>
      <c r="O455" s="382"/>
      <c r="P455" s="323"/>
      <c r="Q455" s="327"/>
      <c r="R455" s="327"/>
      <c r="S455" s="326"/>
      <c r="T455" s="304"/>
      <c r="V455" s="389"/>
      <c r="W455" s="389"/>
      <c r="X455" s="385"/>
      <c r="Y455" s="385"/>
      <c r="Z455" s="385"/>
      <c r="AA455" s="385"/>
      <c r="AB455" s="385"/>
      <c r="AC455" s="390"/>
      <c r="AG455" s="320"/>
      <c r="AH455" s="320"/>
      <c r="AI455" s="320"/>
      <c r="AJ455" s="320"/>
      <c r="AK455" s="320"/>
      <c r="AL455" s="320"/>
      <c r="AO455" s="305"/>
      <c r="AP455" s="305"/>
      <c r="AQ455" s="305"/>
      <c r="AR455" s="305"/>
    </row>
    <row r="456" spans="7:44" s="302" customFormat="1" ht="16.5" customHeight="1" x14ac:dyDescent="0.35">
      <c r="G456" s="280"/>
      <c r="J456" s="321"/>
      <c r="K456" s="321"/>
      <c r="L456" s="321"/>
      <c r="M456" s="321"/>
      <c r="N456" s="319"/>
      <c r="O456" s="382"/>
      <c r="P456" s="323"/>
      <c r="Q456" s="327"/>
      <c r="R456" s="327"/>
      <c r="S456" s="326"/>
      <c r="T456" s="304"/>
      <c r="V456" s="389"/>
      <c r="W456" s="389"/>
      <c r="X456" s="385"/>
      <c r="Y456" s="385"/>
      <c r="Z456" s="385"/>
      <c r="AA456" s="385"/>
      <c r="AB456" s="385"/>
      <c r="AC456" s="390"/>
      <c r="AG456" s="320"/>
      <c r="AH456" s="320"/>
      <c r="AI456" s="320"/>
      <c r="AJ456" s="320"/>
      <c r="AK456" s="320"/>
      <c r="AL456" s="320"/>
      <c r="AO456" s="305"/>
      <c r="AP456" s="305"/>
      <c r="AQ456" s="305"/>
      <c r="AR456" s="305"/>
    </row>
    <row r="457" spans="7:44" s="302" customFormat="1" ht="16.5" customHeight="1" x14ac:dyDescent="0.35">
      <c r="G457" s="280"/>
      <c r="J457" s="321"/>
      <c r="K457" s="321"/>
      <c r="L457" s="321"/>
      <c r="M457" s="321"/>
      <c r="N457" s="319"/>
      <c r="O457" s="382"/>
      <c r="P457" s="323"/>
      <c r="Q457" s="327"/>
      <c r="R457" s="327"/>
      <c r="S457" s="326"/>
      <c r="T457" s="304"/>
      <c r="V457" s="389"/>
      <c r="W457" s="389"/>
      <c r="X457" s="385"/>
      <c r="Y457" s="385"/>
      <c r="Z457" s="385"/>
      <c r="AA457" s="385"/>
      <c r="AB457" s="385"/>
      <c r="AC457" s="390"/>
      <c r="AG457" s="320"/>
      <c r="AH457" s="320"/>
      <c r="AI457" s="320"/>
      <c r="AJ457" s="320"/>
      <c r="AK457" s="320"/>
      <c r="AL457" s="320"/>
      <c r="AO457" s="305"/>
      <c r="AP457" s="305"/>
      <c r="AQ457" s="305"/>
      <c r="AR457" s="305"/>
    </row>
    <row r="458" spans="7:44" s="302" customFormat="1" ht="16.5" customHeight="1" x14ac:dyDescent="0.35">
      <c r="G458" s="280"/>
      <c r="J458" s="321"/>
      <c r="K458" s="321"/>
      <c r="L458" s="321"/>
      <c r="M458" s="321"/>
      <c r="N458" s="319"/>
      <c r="O458" s="382"/>
      <c r="P458" s="323"/>
      <c r="Q458" s="327"/>
      <c r="R458" s="327"/>
      <c r="S458" s="326"/>
      <c r="T458" s="304"/>
      <c r="V458" s="389"/>
      <c r="W458" s="389"/>
      <c r="X458" s="385"/>
      <c r="Y458" s="385"/>
      <c r="Z458" s="385"/>
      <c r="AA458" s="385"/>
      <c r="AB458" s="385"/>
      <c r="AC458" s="390"/>
      <c r="AG458" s="320"/>
      <c r="AH458" s="320"/>
      <c r="AI458" s="320"/>
      <c r="AJ458" s="320"/>
      <c r="AK458" s="320"/>
      <c r="AL458" s="320"/>
      <c r="AO458" s="305"/>
      <c r="AP458" s="305"/>
      <c r="AQ458" s="305"/>
      <c r="AR458" s="305"/>
    </row>
    <row r="459" spans="7:44" s="302" customFormat="1" ht="16.5" customHeight="1" x14ac:dyDescent="0.35">
      <c r="G459" s="280"/>
      <c r="J459" s="321"/>
      <c r="K459" s="321"/>
      <c r="L459" s="321"/>
      <c r="M459" s="321"/>
      <c r="N459" s="319"/>
      <c r="O459" s="382"/>
      <c r="P459" s="323"/>
      <c r="Q459" s="327"/>
      <c r="R459" s="327"/>
      <c r="S459" s="326"/>
      <c r="T459" s="304"/>
      <c r="V459" s="389"/>
      <c r="W459" s="389"/>
      <c r="X459" s="385"/>
      <c r="Y459" s="385"/>
      <c r="Z459" s="385"/>
      <c r="AA459" s="385"/>
      <c r="AB459" s="385"/>
      <c r="AC459" s="390"/>
      <c r="AG459" s="320"/>
      <c r="AH459" s="320"/>
      <c r="AI459" s="320"/>
      <c r="AJ459" s="320"/>
      <c r="AK459" s="320"/>
      <c r="AL459" s="320"/>
      <c r="AO459" s="305"/>
      <c r="AP459" s="305"/>
      <c r="AQ459" s="305"/>
      <c r="AR459" s="305"/>
    </row>
    <row r="460" spans="7:44" s="302" customFormat="1" ht="16.5" customHeight="1" x14ac:dyDescent="0.35">
      <c r="G460" s="280"/>
      <c r="J460" s="321"/>
      <c r="K460" s="321"/>
      <c r="L460" s="321"/>
      <c r="M460" s="321"/>
      <c r="N460" s="319"/>
      <c r="O460" s="382"/>
      <c r="P460" s="323"/>
      <c r="Q460" s="327"/>
      <c r="R460" s="327"/>
      <c r="S460" s="326"/>
      <c r="T460" s="304"/>
      <c r="V460" s="389"/>
      <c r="W460" s="389"/>
      <c r="X460" s="385"/>
      <c r="Y460" s="385"/>
      <c r="Z460" s="385"/>
      <c r="AA460" s="385"/>
      <c r="AB460" s="385"/>
      <c r="AC460" s="390"/>
      <c r="AG460" s="320"/>
      <c r="AH460" s="320"/>
      <c r="AI460" s="320"/>
      <c r="AJ460" s="320"/>
      <c r="AK460" s="320"/>
      <c r="AL460" s="320"/>
      <c r="AO460" s="305"/>
      <c r="AP460" s="305"/>
      <c r="AQ460" s="305"/>
      <c r="AR460" s="305"/>
    </row>
    <row r="461" spans="7:44" s="302" customFormat="1" ht="16.5" customHeight="1" x14ac:dyDescent="0.35">
      <c r="G461" s="280"/>
      <c r="J461" s="321"/>
      <c r="K461" s="321"/>
      <c r="L461" s="321"/>
      <c r="M461" s="321"/>
      <c r="N461" s="319"/>
      <c r="O461" s="382"/>
      <c r="P461" s="323"/>
      <c r="Q461" s="327"/>
      <c r="R461" s="327"/>
      <c r="S461" s="326"/>
      <c r="T461" s="304"/>
      <c r="V461" s="389"/>
      <c r="W461" s="389"/>
      <c r="X461" s="385"/>
      <c r="Y461" s="385"/>
      <c r="Z461" s="385"/>
      <c r="AA461" s="385"/>
      <c r="AB461" s="385"/>
      <c r="AC461" s="390"/>
      <c r="AG461" s="320"/>
      <c r="AH461" s="320"/>
      <c r="AI461" s="320"/>
      <c r="AJ461" s="320"/>
      <c r="AK461" s="320"/>
      <c r="AL461" s="320"/>
      <c r="AO461" s="305"/>
      <c r="AP461" s="305"/>
      <c r="AQ461" s="305"/>
      <c r="AR461" s="305"/>
    </row>
    <row r="462" spans="7:44" s="302" customFormat="1" ht="16.5" customHeight="1" x14ac:dyDescent="0.35">
      <c r="G462" s="280"/>
      <c r="J462" s="321"/>
      <c r="K462" s="321"/>
      <c r="L462" s="321"/>
      <c r="M462" s="321"/>
      <c r="N462" s="319"/>
      <c r="O462" s="382"/>
      <c r="P462" s="323"/>
      <c r="Q462" s="327"/>
      <c r="R462" s="327"/>
      <c r="S462" s="326"/>
      <c r="T462" s="304"/>
      <c r="V462" s="389"/>
      <c r="W462" s="389"/>
      <c r="X462" s="385"/>
      <c r="Y462" s="385"/>
      <c r="Z462" s="385"/>
      <c r="AA462" s="385"/>
      <c r="AB462" s="385"/>
      <c r="AC462" s="390"/>
      <c r="AG462" s="320"/>
      <c r="AH462" s="320"/>
      <c r="AI462" s="320"/>
      <c r="AJ462" s="320"/>
      <c r="AK462" s="320"/>
      <c r="AL462" s="320"/>
      <c r="AO462" s="305"/>
      <c r="AP462" s="305"/>
      <c r="AQ462" s="305"/>
      <c r="AR462" s="305"/>
    </row>
    <row r="463" spans="7:44" s="302" customFormat="1" ht="16.5" customHeight="1" x14ac:dyDescent="0.35">
      <c r="G463" s="280"/>
      <c r="J463" s="321"/>
      <c r="K463" s="321"/>
      <c r="L463" s="321"/>
      <c r="M463" s="321"/>
      <c r="N463" s="319"/>
      <c r="O463" s="382"/>
      <c r="P463" s="323"/>
      <c r="Q463" s="327"/>
      <c r="R463" s="327"/>
      <c r="S463" s="326"/>
      <c r="T463" s="304"/>
      <c r="V463" s="389"/>
      <c r="W463" s="389"/>
      <c r="X463" s="385"/>
      <c r="Y463" s="385"/>
      <c r="Z463" s="385"/>
      <c r="AA463" s="385"/>
      <c r="AB463" s="385"/>
      <c r="AC463" s="390"/>
      <c r="AG463" s="320"/>
      <c r="AH463" s="320"/>
      <c r="AI463" s="320"/>
      <c r="AJ463" s="320"/>
      <c r="AK463" s="320"/>
      <c r="AL463" s="320"/>
      <c r="AO463" s="305"/>
      <c r="AP463" s="305"/>
      <c r="AQ463" s="305"/>
      <c r="AR463" s="305"/>
    </row>
    <row r="464" spans="7:44" s="302" customFormat="1" ht="16.5" customHeight="1" x14ac:dyDescent="0.35">
      <c r="G464" s="280"/>
      <c r="J464" s="321"/>
      <c r="K464" s="321"/>
      <c r="L464" s="321"/>
      <c r="M464" s="321"/>
      <c r="N464" s="319"/>
      <c r="O464" s="382"/>
      <c r="P464" s="323"/>
      <c r="Q464" s="327"/>
      <c r="R464" s="327"/>
      <c r="S464" s="326"/>
      <c r="T464" s="304"/>
      <c r="V464" s="389"/>
      <c r="W464" s="389"/>
      <c r="X464" s="385"/>
      <c r="Y464" s="385"/>
      <c r="Z464" s="385"/>
      <c r="AA464" s="385"/>
      <c r="AB464" s="385"/>
      <c r="AC464" s="390"/>
      <c r="AG464" s="320"/>
      <c r="AH464" s="320"/>
      <c r="AI464" s="320"/>
      <c r="AJ464" s="320"/>
      <c r="AK464" s="320"/>
      <c r="AL464" s="320"/>
      <c r="AO464" s="305"/>
      <c r="AP464" s="305"/>
      <c r="AQ464" s="305"/>
      <c r="AR464" s="305"/>
    </row>
    <row r="465" spans="7:44" s="302" customFormat="1" ht="16.5" customHeight="1" x14ac:dyDescent="0.35">
      <c r="G465" s="280"/>
      <c r="J465" s="321"/>
      <c r="K465" s="321"/>
      <c r="L465" s="321"/>
      <c r="M465" s="321"/>
      <c r="N465" s="319"/>
      <c r="O465" s="382"/>
      <c r="P465" s="323"/>
      <c r="Q465" s="327"/>
      <c r="R465" s="327"/>
      <c r="S465" s="326"/>
      <c r="T465" s="304"/>
      <c r="V465" s="389"/>
      <c r="W465" s="389"/>
      <c r="X465" s="385"/>
      <c r="Y465" s="385"/>
      <c r="Z465" s="385"/>
      <c r="AA465" s="385"/>
      <c r="AB465" s="385"/>
      <c r="AC465" s="390"/>
      <c r="AG465" s="320"/>
      <c r="AH465" s="320"/>
      <c r="AI465" s="320"/>
      <c r="AJ465" s="320"/>
      <c r="AK465" s="320"/>
      <c r="AL465" s="320"/>
      <c r="AO465" s="305"/>
      <c r="AP465" s="305"/>
      <c r="AQ465" s="305"/>
      <c r="AR465" s="305"/>
    </row>
    <row r="466" spans="7:44" s="302" customFormat="1" ht="16.5" customHeight="1" x14ac:dyDescent="0.35">
      <c r="G466" s="280"/>
      <c r="J466" s="321"/>
      <c r="K466" s="321"/>
      <c r="L466" s="321"/>
      <c r="M466" s="321"/>
      <c r="N466" s="319"/>
      <c r="O466" s="382"/>
      <c r="P466" s="323"/>
      <c r="Q466" s="327"/>
      <c r="R466" s="327"/>
      <c r="S466" s="326"/>
      <c r="T466" s="304"/>
      <c r="V466" s="389"/>
      <c r="W466" s="389"/>
      <c r="X466" s="385"/>
      <c r="Y466" s="385"/>
      <c r="Z466" s="385"/>
      <c r="AA466" s="385"/>
      <c r="AB466" s="385"/>
      <c r="AC466" s="390"/>
      <c r="AG466" s="320"/>
      <c r="AH466" s="320"/>
      <c r="AI466" s="320"/>
      <c r="AJ466" s="320"/>
      <c r="AK466" s="320"/>
      <c r="AL466" s="320"/>
      <c r="AO466" s="305"/>
      <c r="AP466" s="305"/>
      <c r="AQ466" s="305"/>
      <c r="AR466" s="305"/>
    </row>
    <row r="467" spans="7:44" s="302" customFormat="1" ht="16.5" customHeight="1" x14ac:dyDescent="0.35">
      <c r="G467" s="280"/>
      <c r="J467" s="321"/>
      <c r="K467" s="321"/>
      <c r="L467" s="321"/>
      <c r="M467" s="321"/>
      <c r="N467" s="319"/>
      <c r="O467" s="382"/>
      <c r="P467" s="323"/>
      <c r="Q467" s="327"/>
      <c r="R467" s="327"/>
      <c r="S467" s="326"/>
      <c r="T467" s="304"/>
      <c r="V467" s="389"/>
      <c r="W467" s="389"/>
      <c r="X467" s="385"/>
      <c r="Y467" s="385"/>
      <c r="Z467" s="385"/>
      <c r="AA467" s="385"/>
      <c r="AB467" s="385"/>
      <c r="AC467" s="390"/>
      <c r="AG467" s="320"/>
      <c r="AH467" s="320"/>
      <c r="AI467" s="320"/>
      <c r="AJ467" s="320"/>
      <c r="AK467" s="320"/>
      <c r="AL467" s="320"/>
      <c r="AO467" s="305"/>
      <c r="AP467" s="305"/>
      <c r="AQ467" s="305"/>
      <c r="AR467" s="305"/>
    </row>
    <row r="468" spans="7:44" s="302" customFormat="1" ht="16.5" customHeight="1" x14ac:dyDescent="0.35">
      <c r="G468" s="280"/>
      <c r="J468" s="321"/>
      <c r="K468" s="321"/>
      <c r="L468" s="321"/>
      <c r="M468" s="321"/>
      <c r="N468" s="319"/>
      <c r="O468" s="382"/>
      <c r="P468" s="323"/>
      <c r="Q468" s="327"/>
      <c r="R468" s="327"/>
      <c r="S468" s="326"/>
      <c r="T468" s="304"/>
      <c r="V468" s="389"/>
      <c r="W468" s="389"/>
      <c r="X468" s="385"/>
      <c r="Y468" s="385"/>
      <c r="Z468" s="385"/>
      <c r="AA468" s="385"/>
      <c r="AB468" s="385"/>
      <c r="AC468" s="390"/>
      <c r="AG468" s="320"/>
      <c r="AH468" s="320"/>
      <c r="AI468" s="320"/>
      <c r="AJ468" s="320"/>
      <c r="AK468" s="320"/>
      <c r="AL468" s="320"/>
      <c r="AO468" s="305"/>
      <c r="AP468" s="305"/>
      <c r="AQ468" s="305"/>
      <c r="AR468" s="305"/>
    </row>
    <row r="469" spans="7:44" s="302" customFormat="1" ht="16.5" customHeight="1" x14ac:dyDescent="0.35">
      <c r="G469" s="280"/>
      <c r="J469" s="321"/>
      <c r="K469" s="321"/>
      <c r="L469" s="321"/>
      <c r="M469" s="321"/>
      <c r="N469" s="319"/>
      <c r="O469" s="382"/>
      <c r="P469" s="323"/>
      <c r="Q469" s="327"/>
      <c r="R469" s="327"/>
      <c r="S469" s="326"/>
      <c r="T469" s="304"/>
      <c r="V469" s="389"/>
      <c r="W469" s="389"/>
      <c r="X469" s="385"/>
      <c r="Y469" s="385"/>
      <c r="Z469" s="385"/>
      <c r="AA469" s="385"/>
      <c r="AB469" s="385"/>
      <c r="AC469" s="390"/>
      <c r="AG469" s="320"/>
      <c r="AH469" s="320"/>
      <c r="AI469" s="320"/>
      <c r="AJ469" s="320"/>
      <c r="AK469" s="320"/>
      <c r="AL469" s="320"/>
      <c r="AO469" s="305"/>
      <c r="AP469" s="305"/>
      <c r="AQ469" s="305"/>
      <c r="AR469" s="305"/>
    </row>
    <row r="470" spans="7:44" s="302" customFormat="1" ht="16.5" customHeight="1" x14ac:dyDescent="0.35">
      <c r="G470" s="280"/>
      <c r="J470" s="321"/>
      <c r="K470" s="321"/>
      <c r="L470" s="321"/>
      <c r="M470" s="321"/>
      <c r="N470" s="319"/>
      <c r="O470" s="382"/>
      <c r="P470" s="323"/>
      <c r="Q470" s="327"/>
      <c r="R470" s="327"/>
      <c r="S470" s="326"/>
      <c r="T470" s="304"/>
      <c r="V470" s="389"/>
      <c r="W470" s="389"/>
      <c r="X470" s="385"/>
      <c r="Y470" s="385"/>
      <c r="Z470" s="385"/>
      <c r="AA470" s="385"/>
      <c r="AB470" s="385"/>
      <c r="AC470" s="390"/>
      <c r="AG470" s="320"/>
      <c r="AH470" s="320"/>
      <c r="AI470" s="320"/>
      <c r="AJ470" s="320"/>
      <c r="AK470" s="320"/>
      <c r="AL470" s="320"/>
      <c r="AO470" s="305"/>
      <c r="AP470" s="305"/>
      <c r="AQ470" s="305"/>
      <c r="AR470" s="305"/>
    </row>
    <row r="471" spans="7:44" s="302" customFormat="1" ht="16.5" customHeight="1" x14ac:dyDescent="0.35">
      <c r="G471" s="280"/>
      <c r="J471" s="321"/>
      <c r="K471" s="321"/>
      <c r="L471" s="321"/>
      <c r="M471" s="321"/>
      <c r="N471" s="319"/>
      <c r="O471" s="382"/>
      <c r="P471" s="323"/>
      <c r="Q471" s="327"/>
      <c r="R471" s="327"/>
      <c r="S471" s="326"/>
      <c r="T471" s="304"/>
      <c r="V471" s="389"/>
      <c r="W471" s="389"/>
      <c r="X471" s="385"/>
      <c r="Y471" s="385"/>
      <c r="Z471" s="385"/>
      <c r="AA471" s="385"/>
      <c r="AB471" s="385"/>
      <c r="AC471" s="390"/>
      <c r="AG471" s="320"/>
      <c r="AH471" s="320"/>
      <c r="AI471" s="320"/>
      <c r="AJ471" s="320"/>
      <c r="AK471" s="320"/>
      <c r="AL471" s="320"/>
      <c r="AO471" s="305"/>
      <c r="AP471" s="305"/>
      <c r="AQ471" s="305"/>
      <c r="AR471" s="305"/>
    </row>
    <row r="472" spans="7:44" s="302" customFormat="1" ht="16.5" customHeight="1" x14ac:dyDescent="0.35">
      <c r="G472" s="280"/>
      <c r="J472" s="321"/>
      <c r="K472" s="321"/>
      <c r="L472" s="321"/>
      <c r="M472" s="321"/>
      <c r="N472" s="319"/>
      <c r="O472" s="382"/>
      <c r="P472" s="323"/>
      <c r="Q472" s="327"/>
      <c r="R472" s="327"/>
      <c r="S472" s="326"/>
      <c r="T472" s="304"/>
      <c r="V472" s="389"/>
      <c r="W472" s="389"/>
      <c r="X472" s="385"/>
      <c r="Y472" s="385"/>
      <c r="Z472" s="385"/>
      <c r="AA472" s="385"/>
      <c r="AB472" s="385"/>
      <c r="AC472" s="390"/>
      <c r="AG472" s="320"/>
      <c r="AH472" s="320"/>
      <c r="AI472" s="320"/>
      <c r="AJ472" s="320"/>
      <c r="AK472" s="320"/>
      <c r="AL472" s="320"/>
      <c r="AO472" s="305"/>
      <c r="AP472" s="305"/>
      <c r="AQ472" s="305"/>
      <c r="AR472" s="305"/>
    </row>
    <row r="473" spans="7:44" s="302" customFormat="1" ht="16.5" customHeight="1" x14ac:dyDescent="0.35">
      <c r="G473" s="280"/>
      <c r="J473" s="321"/>
      <c r="K473" s="321"/>
      <c r="L473" s="321"/>
      <c r="M473" s="321"/>
      <c r="N473" s="319"/>
      <c r="O473" s="382"/>
      <c r="P473" s="323"/>
      <c r="Q473" s="327"/>
      <c r="R473" s="327"/>
      <c r="S473" s="326"/>
      <c r="T473" s="304"/>
      <c r="V473" s="389"/>
      <c r="W473" s="389"/>
      <c r="X473" s="385"/>
      <c r="Y473" s="385"/>
      <c r="Z473" s="385"/>
      <c r="AA473" s="385"/>
      <c r="AB473" s="385"/>
      <c r="AC473" s="390"/>
      <c r="AG473" s="320"/>
      <c r="AH473" s="320"/>
      <c r="AI473" s="320"/>
      <c r="AJ473" s="320"/>
      <c r="AK473" s="320"/>
      <c r="AL473" s="320"/>
      <c r="AO473" s="305"/>
      <c r="AP473" s="305"/>
      <c r="AQ473" s="305"/>
      <c r="AR473" s="305"/>
    </row>
    <row r="474" spans="7:44" s="302" customFormat="1" ht="16.5" customHeight="1" x14ac:dyDescent="0.35">
      <c r="G474" s="280"/>
      <c r="J474" s="321"/>
      <c r="K474" s="321"/>
      <c r="L474" s="321"/>
      <c r="M474" s="321"/>
      <c r="N474" s="319"/>
      <c r="O474" s="382"/>
      <c r="P474" s="323"/>
      <c r="Q474" s="327"/>
      <c r="R474" s="327"/>
      <c r="S474" s="326"/>
      <c r="T474" s="304"/>
      <c r="V474" s="389"/>
      <c r="W474" s="389"/>
      <c r="X474" s="385"/>
      <c r="Y474" s="385"/>
      <c r="Z474" s="385"/>
      <c r="AA474" s="385"/>
      <c r="AB474" s="385"/>
      <c r="AC474" s="390"/>
      <c r="AG474" s="320"/>
      <c r="AH474" s="320"/>
      <c r="AI474" s="320"/>
      <c r="AJ474" s="320"/>
      <c r="AK474" s="320"/>
      <c r="AL474" s="320"/>
      <c r="AO474" s="305"/>
      <c r="AP474" s="305"/>
      <c r="AQ474" s="305"/>
      <c r="AR474" s="305"/>
    </row>
    <row r="475" spans="7:44" s="302" customFormat="1" ht="16.5" customHeight="1" x14ac:dyDescent="0.35">
      <c r="G475" s="280"/>
      <c r="J475" s="321"/>
      <c r="K475" s="321"/>
      <c r="L475" s="321"/>
      <c r="M475" s="321"/>
      <c r="N475" s="319"/>
      <c r="O475" s="382"/>
      <c r="P475" s="323"/>
      <c r="Q475" s="327"/>
      <c r="R475" s="327"/>
      <c r="S475" s="326"/>
      <c r="T475" s="304"/>
      <c r="V475" s="389"/>
      <c r="W475" s="389"/>
      <c r="X475" s="385"/>
      <c r="Y475" s="385"/>
      <c r="Z475" s="385"/>
      <c r="AA475" s="385"/>
      <c r="AB475" s="385"/>
      <c r="AC475" s="390"/>
      <c r="AG475" s="320"/>
      <c r="AH475" s="320"/>
      <c r="AI475" s="320"/>
      <c r="AJ475" s="320"/>
      <c r="AK475" s="320"/>
      <c r="AL475" s="320"/>
      <c r="AO475" s="305"/>
      <c r="AP475" s="305"/>
      <c r="AQ475" s="305"/>
      <c r="AR475" s="305"/>
    </row>
    <row r="476" spans="7:44" s="302" customFormat="1" ht="16.5" customHeight="1" x14ac:dyDescent="0.35">
      <c r="G476" s="280"/>
      <c r="J476" s="321"/>
      <c r="K476" s="321"/>
      <c r="L476" s="321"/>
      <c r="M476" s="321"/>
      <c r="N476" s="319"/>
      <c r="O476" s="382"/>
      <c r="P476" s="323"/>
      <c r="Q476" s="327"/>
      <c r="R476" s="327"/>
      <c r="S476" s="326"/>
      <c r="T476" s="304"/>
      <c r="V476" s="389"/>
      <c r="W476" s="389"/>
      <c r="X476" s="385"/>
      <c r="Y476" s="385"/>
      <c r="Z476" s="385"/>
      <c r="AA476" s="385"/>
      <c r="AB476" s="385"/>
      <c r="AC476" s="390"/>
      <c r="AG476" s="320"/>
      <c r="AH476" s="320"/>
      <c r="AI476" s="320"/>
      <c r="AJ476" s="320"/>
      <c r="AK476" s="320"/>
      <c r="AL476" s="320"/>
      <c r="AO476" s="305"/>
      <c r="AP476" s="305"/>
      <c r="AQ476" s="305"/>
      <c r="AR476" s="305"/>
    </row>
    <row r="477" spans="7:44" s="302" customFormat="1" ht="16.5" customHeight="1" x14ac:dyDescent="0.35">
      <c r="G477" s="280"/>
      <c r="J477" s="321"/>
      <c r="K477" s="321"/>
      <c r="L477" s="321"/>
      <c r="M477" s="321"/>
      <c r="N477" s="319"/>
      <c r="O477" s="382"/>
      <c r="P477" s="323"/>
      <c r="Q477" s="327"/>
      <c r="R477" s="327"/>
      <c r="S477" s="326"/>
      <c r="T477" s="304"/>
      <c r="V477" s="389"/>
      <c r="W477" s="389"/>
      <c r="X477" s="385"/>
      <c r="Y477" s="385"/>
      <c r="Z477" s="385"/>
      <c r="AA477" s="385"/>
      <c r="AB477" s="385"/>
      <c r="AC477" s="390"/>
      <c r="AG477" s="320"/>
      <c r="AH477" s="320"/>
      <c r="AI477" s="320"/>
      <c r="AJ477" s="320"/>
      <c r="AK477" s="320"/>
      <c r="AL477" s="320"/>
      <c r="AO477" s="305"/>
      <c r="AP477" s="305"/>
      <c r="AQ477" s="305"/>
      <c r="AR477" s="305"/>
    </row>
    <row r="478" spans="7:44" s="302" customFormat="1" ht="16.5" customHeight="1" x14ac:dyDescent="0.35">
      <c r="G478" s="280"/>
      <c r="J478" s="321"/>
      <c r="K478" s="321"/>
      <c r="L478" s="321"/>
      <c r="M478" s="321"/>
      <c r="N478" s="319"/>
      <c r="O478" s="382"/>
      <c r="P478" s="323"/>
      <c r="Q478" s="327"/>
      <c r="R478" s="327"/>
      <c r="S478" s="326"/>
      <c r="T478" s="304"/>
      <c r="V478" s="389"/>
      <c r="W478" s="389"/>
      <c r="X478" s="385"/>
      <c r="Y478" s="385"/>
      <c r="Z478" s="385"/>
      <c r="AA478" s="385"/>
      <c r="AB478" s="385"/>
      <c r="AC478" s="390"/>
      <c r="AG478" s="320"/>
      <c r="AH478" s="320"/>
      <c r="AI478" s="320"/>
      <c r="AJ478" s="320"/>
      <c r="AK478" s="320"/>
      <c r="AL478" s="320"/>
      <c r="AO478" s="305"/>
      <c r="AP478" s="305"/>
      <c r="AQ478" s="305"/>
      <c r="AR478" s="305"/>
    </row>
    <row r="479" spans="7:44" s="302" customFormat="1" ht="16.5" customHeight="1" x14ac:dyDescent="0.35">
      <c r="G479" s="280"/>
      <c r="J479" s="321"/>
      <c r="K479" s="321"/>
      <c r="L479" s="321"/>
      <c r="M479" s="321"/>
      <c r="N479" s="319"/>
      <c r="O479" s="382"/>
      <c r="P479" s="323"/>
      <c r="Q479" s="327"/>
      <c r="R479" s="327"/>
      <c r="S479" s="326"/>
      <c r="T479" s="304"/>
      <c r="V479" s="389"/>
      <c r="W479" s="389"/>
      <c r="X479" s="385"/>
      <c r="Y479" s="385"/>
      <c r="Z479" s="385"/>
      <c r="AA479" s="385"/>
      <c r="AB479" s="385"/>
      <c r="AC479" s="390"/>
      <c r="AG479" s="320"/>
      <c r="AH479" s="320"/>
      <c r="AI479" s="320"/>
      <c r="AJ479" s="320"/>
      <c r="AK479" s="320"/>
      <c r="AL479" s="320"/>
      <c r="AO479" s="305"/>
      <c r="AP479" s="305"/>
      <c r="AQ479" s="305"/>
      <c r="AR479" s="305"/>
    </row>
    <row r="480" spans="7:44" s="302" customFormat="1" ht="16.5" customHeight="1" x14ac:dyDescent="0.35">
      <c r="G480" s="280"/>
      <c r="J480" s="321"/>
      <c r="K480" s="321"/>
      <c r="L480" s="321"/>
      <c r="M480" s="321"/>
      <c r="N480" s="319"/>
      <c r="O480" s="382"/>
      <c r="P480" s="323"/>
      <c r="Q480" s="327"/>
      <c r="R480" s="327"/>
      <c r="S480" s="326"/>
      <c r="T480" s="304"/>
      <c r="U480" s="389"/>
      <c r="V480" s="389"/>
      <c r="W480" s="389"/>
      <c r="X480" s="385"/>
      <c r="Y480" s="385"/>
      <c r="Z480" s="385"/>
      <c r="AA480" s="385"/>
      <c r="AB480" s="385"/>
      <c r="AC480" s="390"/>
      <c r="AG480" s="320"/>
      <c r="AH480" s="320"/>
      <c r="AI480" s="320"/>
      <c r="AJ480" s="320"/>
      <c r="AK480" s="320"/>
      <c r="AL480" s="320"/>
      <c r="AO480" s="305"/>
      <c r="AP480" s="305"/>
      <c r="AQ480" s="305"/>
      <c r="AR480" s="305"/>
    </row>
    <row r="481" spans="7:44" s="302" customFormat="1" ht="16.5" customHeight="1" x14ac:dyDescent="0.35">
      <c r="G481" s="280"/>
      <c r="J481" s="321"/>
      <c r="K481" s="321"/>
      <c r="L481" s="321"/>
      <c r="M481" s="321"/>
      <c r="N481" s="319"/>
      <c r="O481" s="382"/>
      <c r="P481" s="323"/>
      <c r="Q481" s="327"/>
      <c r="R481" s="327"/>
      <c r="S481" s="326"/>
      <c r="T481" s="304"/>
      <c r="U481" s="389"/>
      <c r="V481" s="389"/>
      <c r="W481" s="389"/>
      <c r="X481" s="385"/>
      <c r="Y481" s="385"/>
      <c r="Z481" s="385"/>
      <c r="AA481" s="385"/>
      <c r="AB481" s="385"/>
      <c r="AC481" s="390"/>
      <c r="AG481" s="320"/>
      <c r="AH481" s="320"/>
      <c r="AI481" s="320"/>
      <c r="AJ481" s="320"/>
      <c r="AK481" s="320"/>
      <c r="AL481" s="320"/>
      <c r="AO481" s="305"/>
      <c r="AP481" s="305"/>
      <c r="AQ481" s="305"/>
      <c r="AR481" s="305"/>
    </row>
    <row r="482" spans="7:44" s="302" customFormat="1" ht="16.5" customHeight="1" x14ac:dyDescent="0.35">
      <c r="G482" s="280"/>
      <c r="J482" s="321"/>
      <c r="K482" s="321"/>
      <c r="L482" s="321"/>
      <c r="M482" s="321"/>
      <c r="N482" s="319"/>
      <c r="O482" s="382"/>
      <c r="P482" s="323"/>
      <c r="Q482" s="327"/>
      <c r="R482" s="327"/>
      <c r="S482" s="326"/>
      <c r="T482" s="304"/>
      <c r="U482" s="389"/>
      <c r="V482" s="389"/>
      <c r="W482" s="389"/>
      <c r="X482" s="385"/>
      <c r="Y482" s="385"/>
      <c r="Z482" s="385"/>
      <c r="AA482" s="385"/>
      <c r="AB482" s="385"/>
      <c r="AC482" s="390"/>
      <c r="AG482" s="320"/>
      <c r="AH482" s="320"/>
      <c r="AI482" s="320"/>
      <c r="AJ482" s="320"/>
      <c r="AK482" s="320"/>
      <c r="AL482" s="320"/>
      <c r="AO482" s="305"/>
      <c r="AP482" s="305"/>
      <c r="AQ482" s="305"/>
      <c r="AR482" s="305"/>
    </row>
    <row r="483" spans="7:44" s="302" customFormat="1" ht="16.5" customHeight="1" x14ac:dyDescent="0.35">
      <c r="G483" s="280"/>
      <c r="J483" s="321"/>
      <c r="K483" s="321"/>
      <c r="L483" s="321"/>
      <c r="M483" s="321"/>
      <c r="N483" s="319"/>
      <c r="O483" s="382"/>
      <c r="P483" s="323"/>
      <c r="Q483" s="327"/>
      <c r="R483" s="327"/>
      <c r="S483" s="326"/>
      <c r="T483" s="304"/>
      <c r="U483" s="389"/>
      <c r="V483" s="389"/>
      <c r="W483" s="389"/>
      <c r="X483" s="385"/>
      <c r="Y483" s="385"/>
      <c r="Z483" s="385"/>
      <c r="AA483" s="385"/>
      <c r="AB483" s="385"/>
      <c r="AC483" s="390"/>
      <c r="AG483" s="320"/>
      <c r="AH483" s="320"/>
      <c r="AI483" s="320"/>
      <c r="AJ483" s="320"/>
      <c r="AK483" s="320"/>
      <c r="AL483" s="320"/>
      <c r="AO483" s="305"/>
      <c r="AP483" s="305"/>
      <c r="AQ483" s="305"/>
      <c r="AR483" s="305"/>
    </row>
    <row r="484" spans="7:44" s="302" customFormat="1" ht="16.5" customHeight="1" x14ac:dyDescent="0.35">
      <c r="G484" s="280"/>
      <c r="J484" s="321"/>
      <c r="K484" s="321"/>
      <c r="L484" s="321"/>
      <c r="M484" s="321"/>
      <c r="N484" s="319"/>
      <c r="O484" s="382"/>
      <c r="P484" s="323"/>
      <c r="Q484" s="327"/>
      <c r="R484" s="327"/>
      <c r="S484" s="326"/>
      <c r="T484" s="304"/>
      <c r="U484" s="389"/>
      <c r="V484" s="389"/>
      <c r="W484" s="389"/>
      <c r="X484" s="385"/>
      <c r="Y484" s="385"/>
      <c r="Z484" s="385"/>
      <c r="AA484" s="385"/>
      <c r="AB484" s="385"/>
      <c r="AC484" s="390"/>
      <c r="AG484" s="320"/>
      <c r="AH484" s="320"/>
      <c r="AI484" s="320"/>
      <c r="AJ484" s="320"/>
      <c r="AK484" s="320"/>
      <c r="AL484" s="320"/>
      <c r="AO484" s="305"/>
      <c r="AP484" s="305"/>
      <c r="AQ484" s="305"/>
      <c r="AR484" s="305"/>
    </row>
    <row r="485" spans="7:44" s="302" customFormat="1" ht="16.5" customHeight="1" x14ac:dyDescent="0.35">
      <c r="G485" s="280"/>
      <c r="J485" s="321"/>
      <c r="K485" s="321"/>
      <c r="L485" s="321"/>
      <c r="M485" s="321"/>
      <c r="N485" s="319"/>
      <c r="O485" s="382"/>
      <c r="P485" s="323"/>
      <c r="Q485" s="327"/>
      <c r="R485" s="327"/>
      <c r="S485" s="326"/>
      <c r="T485" s="304"/>
      <c r="U485" s="389"/>
      <c r="V485" s="389"/>
      <c r="W485" s="389"/>
      <c r="X485" s="385"/>
      <c r="Y485" s="385"/>
      <c r="Z485" s="385"/>
      <c r="AA485" s="385"/>
      <c r="AB485" s="385"/>
      <c r="AC485" s="390"/>
      <c r="AG485" s="320"/>
      <c r="AH485" s="320"/>
      <c r="AI485" s="320"/>
      <c r="AJ485" s="320"/>
      <c r="AK485" s="320"/>
      <c r="AL485" s="320"/>
      <c r="AO485" s="305"/>
      <c r="AP485" s="305"/>
      <c r="AQ485" s="305"/>
      <c r="AR485" s="305"/>
    </row>
    <row r="486" spans="7:44" s="302" customFormat="1" ht="16.5" customHeight="1" x14ac:dyDescent="0.35">
      <c r="G486" s="280"/>
      <c r="J486" s="321"/>
      <c r="K486" s="321"/>
      <c r="L486" s="321"/>
      <c r="M486" s="321"/>
      <c r="N486" s="319"/>
      <c r="O486" s="382"/>
      <c r="P486" s="323"/>
      <c r="Q486" s="327"/>
      <c r="R486" s="327"/>
      <c r="S486" s="326"/>
      <c r="T486" s="304"/>
      <c r="U486" s="389"/>
      <c r="V486" s="389"/>
      <c r="W486" s="389"/>
      <c r="X486" s="385"/>
      <c r="Y486" s="385"/>
      <c r="Z486" s="385"/>
      <c r="AA486" s="385"/>
      <c r="AB486" s="385"/>
      <c r="AC486" s="390"/>
      <c r="AG486" s="320"/>
      <c r="AH486" s="320"/>
      <c r="AI486" s="320"/>
      <c r="AJ486" s="320"/>
      <c r="AK486" s="320"/>
      <c r="AL486" s="320"/>
      <c r="AO486" s="305"/>
      <c r="AP486" s="305"/>
      <c r="AQ486" s="305"/>
      <c r="AR486" s="305"/>
    </row>
    <row r="487" spans="7:44" s="302" customFormat="1" ht="16.5" customHeight="1" x14ac:dyDescent="0.35">
      <c r="G487" s="280"/>
      <c r="J487" s="321"/>
      <c r="K487" s="321"/>
      <c r="L487" s="321"/>
      <c r="M487" s="321"/>
      <c r="N487" s="319"/>
      <c r="O487" s="382"/>
      <c r="P487" s="323"/>
      <c r="Q487" s="327"/>
      <c r="R487" s="327"/>
      <c r="S487" s="326"/>
      <c r="T487" s="304"/>
      <c r="U487" s="389"/>
      <c r="V487" s="389"/>
      <c r="W487" s="389"/>
      <c r="X487" s="385"/>
      <c r="Y487" s="385"/>
      <c r="Z487" s="385"/>
      <c r="AA487" s="385"/>
      <c r="AB487" s="385"/>
      <c r="AC487" s="390"/>
      <c r="AG487" s="320"/>
      <c r="AH487" s="320"/>
      <c r="AI487" s="320"/>
      <c r="AJ487" s="320"/>
      <c r="AK487" s="320"/>
      <c r="AL487" s="320"/>
      <c r="AO487" s="305"/>
      <c r="AP487" s="305"/>
      <c r="AQ487" s="305"/>
      <c r="AR487" s="305"/>
    </row>
    <row r="488" spans="7:44" s="302" customFormat="1" ht="16.5" customHeight="1" x14ac:dyDescent="0.35">
      <c r="G488" s="280"/>
      <c r="J488" s="321"/>
      <c r="K488" s="321"/>
      <c r="L488" s="321"/>
      <c r="M488" s="321"/>
      <c r="N488" s="319"/>
      <c r="O488" s="382"/>
      <c r="P488" s="323"/>
      <c r="Q488" s="327"/>
      <c r="R488" s="327"/>
      <c r="S488" s="326"/>
      <c r="T488" s="304"/>
      <c r="U488" s="389"/>
      <c r="V488" s="389"/>
      <c r="W488" s="389"/>
      <c r="X488" s="385"/>
      <c r="Y488" s="385"/>
      <c r="Z488" s="385"/>
      <c r="AA488" s="385"/>
      <c r="AB488" s="385"/>
      <c r="AC488" s="390"/>
      <c r="AG488" s="320"/>
      <c r="AH488" s="320"/>
      <c r="AI488" s="320"/>
      <c r="AJ488" s="320"/>
      <c r="AK488" s="320"/>
      <c r="AL488" s="320"/>
      <c r="AO488" s="305"/>
      <c r="AP488" s="305"/>
      <c r="AQ488" s="305"/>
      <c r="AR488" s="305"/>
    </row>
    <row r="489" spans="7:44" s="302" customFormat="1" ht="16.5" customHeight="1" x14ac:dyDescent="0.35">
      <c r="G489" s="280"/>
      <c r="J489" s="321"/>
      <c r="K489" s="321"/>
      <c r="L489" s="321"/>
      <c r="M489" s="321"/>
      <c r="N489" s="319"/>
      <c r="O489" s="382"/>
      <c r="P489" s="323"/>
      <c r="Q489" s="327"/>
      <c r="R489" s="327"/>
      <c r="S489" s="326"/>
      <c r="T489" s="304"/>
      <c r="U489" s="389"/>
      <c r="V489" s="389"/>
      <c r="W489" s="389"/>
      <c r="X489" s="385"/>
      <c r="Y489" s="385"/>
      <c r="Z489" s="385"/>
      <c r="AA489" s="385"/>
      <c r="AB489" s="385"/>
      <c r="AC489" s="390"/>
      <c r="AG489" s="320"/>
      <c r="AH489" s="320"/>
      <c r="AI489" s="320"/>
      <c r="AJ489" s="320"/>
      <c r="AK489" s="320"/>
      <c r="AL489" s="320"/>
      <c r="AO489" s="305"/>
      <c r="AP489" s="305"/>
      <c r="AQ489" s="305"/>
      <c r="AR489" s="305"/>
    </row>
    <row r="490" spans="7:44" s="302" customFormat="1" ht="16.5" customHeight="1" x14ac:dyDescent="0.35">
      <c r="G490" s="280"/>
      <c r="J490" s="321"/>
      <c r="K490" s="321"/>
      <c r="L490" s="321"/>
      <c r="M490" s="321"/>
      <c r="N490" s="319"/>
      <c r="O490" s="382"/>
      <c r="P490" s="323"/>
      <c r="Q490" s="327"/>
      <c r="R490" s="327"/>
      <c r="S490" s="326"/>
      <c r="T490" s="304"/>
      <c r="U490" s="389"/>
      <c r="V490" s="389"/>
      <c r="W490" s="389"/>
      <c r="X490" s="385"/>
      <c r="Y490" s="385"/>
      <c r="Z490" s="385"/>
      <c r="AA490" s="385"/>
      <c r="AB490" s="385"/>
      <c r="AC490" s="390"/>
      <c r="AG490" s="320"/>
      <c r="AH490" s="320"/>
      <c r="AI490" s="320"/>
      <c r="AJ490" s="320"/>
      <c r="AK490" s="320"/>
      <c r="AL490" s="320"/>
      <c r="AO490" s="305"/>
      <c r="AP490" s="305"/>
      <c r="AQ490" s="305"/>
      <c r="AR490" s="305"/>
    </row>
    <row r="491" spans="7:44" s="302" customFormat="1" ht="16.5" customHeight="1" x14ac:dyDescent="0.35">
      <c r="G491" s="280"/>
      <c r="J491" s="321"/>
      <c r="K491" s="321"/>
      <c r="L491" s="321"/>
      <c r="M491" s="321"/>
      <c r="N491" s="319"/>
      <c r="O491" s="382"/>
      <c r="P491" s="323"/>
      <c r="Q491" s="327"/>
      <c r="R491" s="327"/>
      <c r="S491" s="326"/>
      <c r="T491" s="304"/>
      <c r="U491" s="389"/>
      <c r="V491" s="389"/>
      <c r="W491" s="389"/>
      <c r="X491" s="385"/>
      <c r="Y491" s="385"/>
      <c r="Z491" s="385"/>
      <c r="AA491" s="385"/>
      <c r="AB491" s="385"/>
      <c r="AC491" s="390"/>
      <c r="AG491" s="320"/>
      <c r="AH491" s="320"/>
      <c r="AI491" s="320"/>
      <c r="AJ491" s="320"/>
      <c r="AK491" s="320"/>
      <c r="AL491" s="320"/>
      <c r="AO491" s="305"/>
      <c r="AP491" s="305"/>
      <c r="AQ491" s="305"/>
      <c r="AR491" s="305"/>
    </row>
    <row r="492" spans="7:44" s="302" customFormat="1" ht="16.5" customHeight="1" x14ac:dyDescent="0.35">
      <c r="G492" s="280"/>
      <c r="J492" s="321"/>
      <c r="K492" s="321"/>
      <c r="L492" s="321"/>
      <c r="M492" s="321"/>
      <c r="N492" s="319"/>
      <c r="O492" s="382"/>
      <c r="P492" s="323"/>
      <c r="Q492" s="327"/>
      <c r="R492" s="327"/>
      <c r="S492" s="326"/>
      <c r="T492" s="304"/>
      <c r="U492" s="389"/>
      <c r="V492" s="389"/>
      <c r="W492" s="389"/>
      <c r="X492" s="385"/>
      <c r="Y492" s="385"/>
      <c r="Z492" s="385"/>
      <c r="AA492" s="385"/>
      <c r="AB492" s="385"/>
      <c r="AC492" s="390"/>
      <c r="AG492" s="320"/>
      <c r="AH492" s="320"/>
      <c r="AI492" s="320"/>
      <c r="AJ492" s="320"/>
      <c r="AK492" s="320"/>
      <c r="AL492" s="320"/>
      <c r="AO492" s="305"/>
      <c r="AP492" s="305"/>
      <c r="AQ492" s="305"/>
      <c r="AR492" s="305"/>
    </row>
    <row r="493" spans="7:44" s="302" customFormat="1" ht="16.5" customHeight="1" x14ac:dyDescent="0.35">
      <c r="G493" s="280"/>
      <c r="J493" s="321"/>
      <c r="K493" s="321"/>
      <c r="L493" s="321"/>
      <c r="M493" s="321"/>
      <c r="N493" s="319"/>
      <c r="O493" s="382"/>
      <c r="P493" s="323"/>
      <c r="Q493" s="327"/>
      <c r="R493" s="327"/>
      <c r="S493" s="326"/>
      <c r="T493" s="304"/>
      <c r="U493" s="389"/>
      <c r="V493" s="389"/>
      <c r="W493" s="389"/>
      <c r="X493" s="385"/>
      <c r="Y493" s="385"/>
      <c r="Z493" s="385"/>
      <c r="AA493" s="385"/>
      <c r="AB493" s="385"/>
      <c r="AC493" s="390"/>
      <c r="AG493" s="320"/>
      <c r="AH493" s="320"/>
      <c r="AI493" s="320"/>
      <c r="AJ493" s="320"/>
      <c r="AK493" s="320"/>
      <c r="AL493" s="320"/>
      <c r="AO493" s="305"/>
      <c r="AP493" s="305"/>
      <c r="AQ493" s="305"/>
      <c r="AR493" s="305"/>
    </row>
    <row r="494" spans="7:44" s="302" customFormat="1" ht="16.5" customHeight="1" x14ac:dyDescent="0.35">
      <c r="G494" s="280"/>
      <c r="J494" s="321"/>
      <c r="K494" s="321"/>
      <c r="L494" s="321"/>
      <c r="M494" s="321"/>
      <c r="N494" s="319"/>
      <c r="O494" s="382"/>
      <c r="P494" s="323"/>
      <c r="Q494" s="327"/>
      <c r="R494" s="327"/>
      <c r="S494" s="326"/>
      <c r="T494" s="304"/>
      <c r="U494" s="389"/>
      <c r="V494" s="389"/>
      <c r="W494" s="389"/>
      <c r="X494" s="385"/>
      <c r="Y494" s="385"/>
      <c r="Z494" s="385"/>
      <c r="AA494" s="385"/>
      <c r="AB494" s="385"/>
      <c r="AC494" s="390"/>
      <c r="AG494" s="320"/>
      <c r="AH494" s="320"/>
      <c r="AI494" s="320"/>
      <c r="AJ494" s="320"/>
      <c r="AK494" s="320"/>
      <c r="AL494" s="320"/>
      <c r="AO494" s="305"/>
      <c r="AP494" s="305"/>
      <c r="AQ494" s="305"/>
      <c r="AR494" s="305"/>
    </row>
    <row r="495" spans="7:44" s="302" customFormat="1" ht="16.5" customHeight="1" x14ac:dyDescent="0.35">
      <c r="G495" s="280"/>
      <c r="J495" s="321"/>
      <c r="K495" s="321"/>
      <c r="L495" s="321"/>
      <c r="M495" s="321"/>
      <c r="N495" s="319"/>
      <c r="O495" s="382"/>
      <c r="P495" s="323"/>
      <c r="Q495" s="327"/>
      <c r="R495" s="327"/>
      <c r="S495" s="326"/>
      <c r="T495" s="304"/>
      <c r="U495" s="389"/>
      <c r="V495" s="389"/>
      <c r="W495" s="389"/>
      <c r="X495" s="385"/>
      <c r="Y495" s="385"/>
      <c r="Z495" s="385"/>
      <c r="AA495" s="385"/>
      <c r="AB495" s="385"/>
      <c r="AC495" s="390"/>
      <c r="AG495" s="320"/>
      <c r="AH495" s="320"/>
      <c r="AI495" s="320"/>
      <c r="AJ495" s="320"/>
      <c r="AK495" s="320"/>
      <c r="AL495" s="320"/>
      <c r="AO495" s="305"/>
      <c r="AP495" s="305"/>
      <c r="AQ495" s="305"/>
      <c r="AR495" s="305"/>
    </row>
    <row r="496" spans="7:44" s="302" customFormat="1" ht="16.5" customHeight="1" x14ac:dyDescent="0.35">
      <c r="G496" s="280"/>
      <c r="J496" s="321"/>
      <c r="K496" s="321"/>
      <c r="L496" s="321"/>
      <c r="M496" s="321"/>
      <c r="N496" s="319"/>
      <c r="O496" s="382"/>
      <c r="P496" s="323"/>
      <c r="Q496" s="327"/>
      <c r="R496" s="327"/>
      <c r="S496" s="326"/>
      <c r="T496" s="304"/>
      <c r="U496" s="389"/>
      <c r="V496" s="389"/>
      <c r="W496" s="389"/>
      <c r="X496" s="385"/>
      <c r="Y496" s="385"/>
      <c r="Z496" s="385"/>
      <c r="AA496" s="385"/>
      <c r="AB496" s="385"/>
      <c r="AC496" s="390"/>
      <c r="AG496" s="320"/>
      <c r="AH496" s="320"/>
      <c r="AI496" s="320"/>
      <c r="AJ496" s="320"/>
      <c r="AK496" s="320"/>
      <c r="AL496" s="320"/>
      <c r="AO496" s="305"/>
      <c r="AP496" s="305"/>
      <c r="AQ496" s="305"/>
      <c r="AR496" s="305"/>
    </row>
    <row r="497" spans="7:44" s="302" customFormat="1" ht="16.5" customHeight="1" x14ac:dyDescent="0.35">
      <c r="G497" s="280"/>
      <c r="J497" s="321"/>
      <c r="K497" s="321"/>
      <c r="L497" s="321"/>
      <c r="M497" s="321"/>
      <c r="N497" s="319"/>
      <c r="O497" s="382"/>
      <c r="P497" s="323"/>
      <c r="Q497" s="327"/>
      <c r="R497" s="327"/>
      <c r="S497" s="326"/>
      <c r="T497" s="304"/>
      <c r="U497" s="389"/>
      <c r="V497" s="389"/>
      <c r="W497" s="389"/>
      <c r="X497" s="385"/>
      <c r="Y497" s="385"/>
      <c r="Z497" s="385"/>
      <c r="AA497" s="385"/>
      <c r="AB497" s="385"/>
      <c r="AC497" s="390"/>
      <c r="AG497" s="320"/>
      <c r="AH497" s="320"/>
      <c r="AI497" s="320"/>
      <c r="AJ497" s="320"/>
      <c r="AK497" s="320"/>
      <c r="AL497" s="320"/>
      <c r="AO497" s="305"/>
      <c r="AP497" s="305"/>
      <c r="AQ497" s="305"/>
      <c r="AR497" s="305"/>
    </row>
    <row r="498" spans="7:44" s="302" customFormat="1" ht="16.5" customHeight="1" x14ac:dyDescent="0.35">
      <c r="G498" s="280"/>
      <c r="J498" s="321"/>
      <c r="K498" s="321"/>
      <c r="L498" s="321"/>
      <c r="M498" s="321"/>
      <c r="N498" s="319"/>
      <c r="O498" s="382"/>
      <c r="P498" s="323"/>
      <c r="Q498" s="327"/>
      <c r="R498" s="327"/>
      <c r="S498" s="326"/>
      <c r="T498" s="304"/>
      <c r="U498" s="389"/>
      <c r="V498" s="389"/>
      <c r="W498" s="389"/>
      <c r="X498" s="385"/>
      <c r="Y498" s="385"/>
      <c r="Z498" s="385"/>
      <c r="AA498" s="385"/>
      <c r="AB498" s="385"/>
      <c r="AC498" s="390"/>
      <c r="AG498" s="320"/>
      <c r="AH498" s="320"/>
      <c r="AI498" s="320"/>
      <c r="AJ498" s="320"/>
      <c r="AK498" s="320"/>
      <c r="AL498" s="320"/>
      <c r="AO498" s="305"/>
      <c r="AP498" s="305"/>
      <c r="AQ498" s="305"/>
      <c r="AR498" s="305"/>
    </row>
    <row r="499" spans="7:44" s="302" customFormat="1" ht="16.5" customHeight="1" x14ac:dyDescent="0.35">
      <c r="G499" s="280"/>
      <c r="J499" s="321"/>
      <c r="K499" s="321"/>
      <c r="L499" s="321"/>
      <c r="M499" s="321"/>
      <c r="N499" s="319"/>
      <c r="O499" s="382"/>
      <c r="P499" s="323"/>
      <c r="Q499" s="327"/>
      <c r="R499" s="327"/>
      <c r="S499" s="326"/>
      <c r="T499" s="304"/>
      <c r="U499" s="389"/>
      <c r="V499" s="389"/>
      <c r="W499" s="389"/>
      <c r="X499" s="385"/>
      <c r="Y499" s="385"/>
      <c r="Z499" s="385"/>
      <c r="AA499" s="385"/>
      <c r="AB499" s="385"/>
      <c r="AC499" s="390"/>
      <c r="AG499" s="320"/>
      <c r="AH499" s="320"/>
      <c r="AI499" s="320"/>
      <c r="AJ499" s="320"/>
      <c r="AK499" s="320"/>
      <c r="AL499" s="320"/>
      <c r="AO499" s="305"/>
      <c r="AP499" s="305"/>
      <c r="AQ499" s="305"/>
      <c r="AR499" s="305"/>
    </row>
    <row r="500" spans="7:44" s="302" customFormat="1" ht="16.5" customHeight="1" x14ac:dyDescent="0.35">
      <c r="G500" s="280"/>
      <c r="J500" s="321"/>
      <c r="K500" s="321"/>
      <c r="L500" s="321"/>
      <c r="M500" s="321"/>
      <c r="N500" s="319"/>
      <c r="O500" s="382"/>
      <c r="P500" s="323"/>
      <c r="Q500" s="327"/>
      <c r="R500" s="327"/>
      <c r="S500" s="326"/>
      <c r="T500" s="304"/>
      <c r="U500" s="389"/>
      <c r="V500" s="389"/>
      <c r="W500" s="389"/>
      <c r="X500" s="385"/>
      <c r="Y500" s="385"/>
      <c r="Z500" s="385"/>
      <c r="AA500" s="385"/>
      <c r="AB500" s="385"/>
      <c r="AC500" s="390"/>
      <c r="AG500" s="320"/>
      <c r="AH500" s="320"/>
      <c r="AI500" s="320"/>
      <c r="AJ500" s="320"/>
      <c r="AK500" s="320"/>
      <c r="AL500" s="320"/>
      <c r="AO500" s="305"/>
      <c r="AP500" s="305"/>
      <c r="AQ500" s="305"/>
      <c r="AR500" s="305"/>
    </row>
    <row r="501" spans="7:44" s="302" customFormat="1" ht="16.5" customHeight="1" x14ac:dyDescent="0.35">
      <c r="G501" s="280"/>
      <c r="J501" s="321"/>
      <c r="K501" s="321"/>
      <c r="L501" s="321"/>
      <c r="M501" s="321"/>
      <c r="N501" s="319"/>
      <c r="O501" s="382"/>
      <c r="P501" s="323"/>
      <c r="Q501" s="327"/>
      <c r="R501" s="327"/>
      <c r="S501" s="326"/>
      <c r="T501" s="304"/>
      <c r="U501" s="389"/>
      <c r="V501" s="389"/>
      <c r="W501" s="389"/>
      <c r="X501" s="385"/>
      <c r="Y501" s="385"/>
      <c r="Z501" s="385"/>
      <c r="AA501" s="385"/>
      <c r="AB501" s="385"/>
      <c r="AC501" s="390"/>
      <c r="AG501" s="320"/>
      <c r="AH501" s="320"/>
      <c r="AI501" s="320"/>
      <c r="AJ501" s="320"/>
      <c r="AK501" s="320"/>
      <c r="AL501" s="320"/>
      <c r="AO501" s="305"/>
      <c r="AP501" s="305"/>
      <c r="AQ501" s="305"/>
      <c r="AR501" s="305"/>
    </row>
    <row r="502" spans="7:44" s="302" customFormat="1" ht="16.5" customHeight="1" x14ac:dyDescent="0.35">
      <c r="G502" s="280"/>
      <c r="J502" s="321"/>
      <c r="K502" s="321"/>
      <c r="L502" s="321"/>
      <c r="M502" s="321"/>
      <c r="N502" s="319"/>
      <c r="O502" s="382"/>
      <c r="P502" s="323"/>
      <c r="Q502" s="327"/>
      <c r="R502" s="327"/>
      <c r="S502" s="326"/>
      <c r="T502" s="304"/>
      <c r="U502" s="389"/>
      <c r="V502" s="389"/>
      <c r="W502" s="389"/>
      <c r="X502" s="385"/>
      <c r="Y502" s="385"/>
      <c r="Z502" s="385"/>
      <c r="AA502" s="385"/>
      <c r="AB502" s="385"/>
      <c r="AC502" s="390"/>
      <c r="AG502" s="320"/>
      <c r="AH502" s="320"/>
      <c r="AI502" s="320"/>
      <c r="AJ502" s="320"/>
      <c r="AK502" s="320"/>
      <c r="AL502" s="320"/>
      <c r="AO502" s="305"/>
      <c r="AP502" s="305"/>
      <c r="AQ502" s="305"/>
      <c r="AR502" s="305"/>
    </row>
    <row r="503" spans="7:44" s="302" customFormat="1" ht="16.5" customHeight="1" x14ac:dyDescent="0.35">
      <c r="G503" s="280"/>
      <c r="J503" s="321"/>
      <c r="K503" s="321"/>
      <c r="L503" s="321"/>
      <c r="M503" s="321"/>
      <c r="N503" s="319"/>
      <c r="O503" s="382"/>
      <c r="P503" s="323"/>
      <c r="Q503" s="327"/>
      <c r="R503" s="327"/>
      <c r="S503" s="326"/>
      <c r="T503" s="304"/>
      <c r="U503" s="389"/>
      <c r="V503" s="389"/>
      <c r="W503" s="389"/>
      <c r="X503" s="385"/>
      <c r="Y503" s="385"/>
      <c r="Z503" s="385"/>
      <c r="AA503" s="385"/>
      <c r="AB503" s="385"/>
      <c r="AC503" s="390"/>
      <c r="AG503" s="320"/>
      <c r="AH503" s="320"/>
      <c r="AI503" s="320"/>
      <c r="AJ503" s="320"/>
      <c r="AK503" s="320"/>
      <c r="AL503" s="320"/>
      <c r="AO503" s="305"/>
      <c r="AP503" s="305"/>
      <c r="AQ503" s="305"/>
      <c r="AR503" s="305"/>
    </row>
    <row r="504" spans="7:44" s="302" customFormat="1" ht="16.5" customHeight="1" x14ac:dyDescent="0.35">
      <c r="G504" s="280"/>
      <c r="J504" s="321"/>
      <c r="K504" s="321"/>
      <c r="L504" s="321"/>
      <c r="M504" s="321"/>
      <c r="N504" s="319"/>
      <c r="O504" s="382"/>
      <c r="P504" s="323"/>
      <c r="Q504" s="327"/>
      <c r="R504" s="327"/>
      <c r="S504" s="326"/>
      <c r="T504" s="304"/>
      <c r="U504" s="389"/>
      <c r="V504" s="389"/>
      <c r="W504" s="389"/>
      <c r="X504" s="385"/>
      <c r="Y504" s="385"/>
      <c r="Z504" s="385"/>
      <c r="AA504" s="385"/>
      <c r="AB504" s="385"/>
      <c r="AC504" s="390"/>
      <c r="AG504" s="320"/>
      <c r="AH504" s="320"/>
      <c r="AI504" s="320"/>
      <c r="AJ504" s="320"/>
      <c r="AK504" s="320"/>
      <c r="AL504" s="320"/>
      <c r="AO504" s="305"/>
      <c r="AP504" s="305"/>
      <c r="AQ504" s="305"/>
      <c r="AR504" s="305"/>
    </row>
    <row r="505" spans="7:44" s="302" customFormat="1" ht="16.5" customHeight="1" x14ac:dyDescent="0.35">
      <c r="G505" s="280"/>
      <c r="J505" s="321"/>
      <c r="K505" s="321"/>
      <c r="L505" s="321"/>
      <c r="M505" s="321"/>
      <c r="N505" s="319"/>
      <c r="O505" s="382"/>
      <c r="P505" s="323"/>
      <c r="Q505" s="327"/>
      <c r="R505" s="327"/>
      <c r="S505" s="326"/>
      <c r="T505" s="304"/>
      <c r="U505" s="389"/>
      <c r="V505" s="389"/>
      <c r="W505" s="389"/>
      <c r="X505" s="385"/>
      <c r="Y505" s="385"/>
      <c r="Z505" s="385"/>
      <c r="AA505" s="385"/>
      <c r="AB505" s="385"/>
      <c r="AC505" s="390"/>
      <c r="AG505" s="320"/>
      <c r="AH505" s="320"/>
      <c r="AI505" s="320"/>
      <c r="AJ505" s="320"/>
      <c r="AK505" s="320"/>
      <c r="AL505" s="320"/>
      <c r="AO505" s="305"/>
      <c r="AP505" s="305"/>
      <c r="AQ505" s="305"/>
      <c r="AR505" s="305"/>
    </row>
    <row r="506" spans="7:44" s="302" customFormat="1" ht="16.5" customHeight="1" x14ac:dyDescent="0.35">
      <c r="G506" s="280"/>
      <c r="J506" s="321"/>
      <c r="K506" s="321"/>
      <c r="L506" s="321"/>
      <c r="M506" s="321"/>
      <c r="N506" s="319"/>
      <c r="O506" s="382"/>
      <c r="P506" s="323"/>
      <c r="Q506" s="327"/>
      <c r="R506" s="327"/>
      <c r="S506" s="326"/>
      <c r="T506" s="304"/>
      <c r="U506" s="389"/>
      <c r="V506" s="389"/>
      <c r="W506" s="389"/>
      <c r="X506" s="385"/>
      <c r="Y506" s="385"/>
      <c r="Z506" s="385"/>
      <c r="AA506" s="385"/>
      <c r="AB506" s="385"/>
      <c r="AC506" s="390"/>
      <c r="AG506" s="320"/>
      <c r="AH506" s="320"/>
      <c r="AI506" s="320"/>
      <c r="AJ506" s="320"/>
      <c r="AK506" s="320"/>
      <c r="AL506" s="320"/>
      <c r="AO506" s="305"/>
      <c r="AP506" s="305"/>
      <c r="AQ506" s="305"/>
      <c r="AR506" s="305"/>
    </row>
    <row r="507" spans="7:44" s="302" customFormat="1" ht="16.5" customHeight="1" x14ac:dyDescent="0.35">
      <c r="G507" s="280"/>
      <c r="J507" s="321"/>
      <c r="K507" s="321"/>
      <c r="L507" s="321"/>
      <c r="M507" s="321"/>
      <c r="N507" s="319"/>
      <c r="O507" s="382"/>
      <c r="P507" s="323"/>
      <c r="Q507" s="327"/>
      <c r="R507" s="327"/>
      <c r="S507" s="326"/>
      <c r="T507" s="304"/>
      <c r="U507" s="389"/>
      <c r="V507" s="389"/>
      <c r="W507" s="389"/>
      <c r="X507" s="385"/>
      <c r="Y507" s="385"/>
      <c r="Z507" s="385"/>
      <c r="AA507" s="385"/>
      <c r="AB507" s="385"/>
      <c r="AC507" s="390"/>
      <c r="AG507" s="320"/>
      <c r="AH507" s="320"/>
      <c r="AI507" s="320"/>
      <c r="AJ507" s="320"/>
      <c r="AK507" s="320"/>
      <c r="AL507" s="320"/>
      <c r="AO507" s="305"/>
      <c r="AP507" s="305"/>
      <c r="AQ507" s="305"/>
      <c r="AR507" s="305"/>
    </row>
    <row r="508" spans="7:44" s="302" customFormat="1" ht="16.5" customHeight="1" x14ac:dyDescent="0.35">
      <c r="G508" s="280"/>
      <c r="J508" s="321"/>
      <c r="K508" s="321"/>
      <c r="L508" s="321"/>
      <c r="M508" s="321"/>
      <c r="N508" s="319"/>
      <c r="O508" s="382"/>
      <c r="P508" s="323"/>
      <c r="Q508" s="327"/>
      <c r="R508" s="327"/>
      <c r="S508" s="326"/>
      <c r="T508" s="304"/>
      <c r="U508" s="389"/>
      <c r="V508" s="389"/>
      <c r="W508" s="389"/>
      <c r="X508" s="385"/>
      <c r="Y508" s="385"/>
      <c r="Z508" s="385"/>
      <c r="AA508" s="385"/>
      <c r="AB508" s="385"/>
      <c r="AC508" s="390"/>
      <c r="AG508" s="320"/>
      <c r="AH508" s="320"/>
      <c r="AI508" s="320"/>
      <c r="AJ508" s="320"/>
      <c r="AK508" s="320"/>
      <c r="AL508" s="320"/>
      <c r="AO508" s="305"/>
      <c r="AP508" s="305"/>
      <c r="AQ508" s="305"/>
      <c r="AR508" s="305"/>
    </row>
    <row r="509" spans="7:44" s="302" customFormat="1" ht="16.5" customHeight="1" x14ac:dyDescent="0.35">
      <c r="G509" s="280"/>
      <c r="J509" s="321"/>
      <c r="K509" s="321"/>
      <c r="L509" s="321"/>
      <c r="M509" s="321"/>
      <c r="N509" s="319"/>
      <c r="O509" s="382"/>
      <c r="P509" s="323"/>
      <c r="Q509" s="327"/>
      <c r="R509" s="327"/>
      <c r="S509" s="326"/>
      <c r="T509" s="304"/>
      <c r="U509" s="389"/>
      <c r="V509" s="389"/>
      <c r="W509" s="389"/>
      <c r="X509" s="385"/>
      <c r="Y509" s="385"/>
      <c r="Z509" s="385"/>
      <c r="AA509" s="385"/>
      <c r="AB509" s="385"/>
      <c r="AC509" s="390"/>
      <c r="AG509" s="320"/>
      <c r="AH509" s="320"/>
      <c r="AI509" s="320"/>
      <c r="AJ509" s="320"/>
      <c r="AK509" s="320"/>
      <c r="AL509" s="320"/>
      <c r="AO509" s="305"/>
      <c r="AP509" s="305"/>
      <c r="AQ509" s="305"/>
      <c r="AR509" s="305"/>
    </row>
    <row r="510" spans="7:44" s="302" customFormat="1" ht="16.5" customHeight="1" x14ac:dyDescent="0.35">
      <c r="G510" s="280"/>
      <c r="J510" s="321"/>
      <c r="K510" s="321"/>
      <c r="L510" s="321"/>
      <c r="M510" s="321"/>
      <c r="N510" s="319"/>
      <c r="O510" s="382"/>
      <c r="P510" s="323"/>
      <c r="Q510" s="327"/>
      <c r="R510" s="327"/>
      <c r="S510" s="326"/>
      <c r="T510" s="304"/>
      <c r="U510" s="389"/>
      <c r="V510" s="389"/>
      <c r="W510" s="389"/>
      <c r="X510" s="385"/>
      <c r="Y510" s="385"/>
      <c r="Z510" s="385"/>
      <c r="AA510" s="385"/>
      <c r="AB510" s="385"/>
      <c r="AC510" s="390"/>
      <c r="AG510" s="320"/>
      <c r="AH510" s="320"/>
      <c r="AI510" s="320"/>
      <c r="AJ510" s="320"/>
      <c r="AK510" s="320"/>
      <c r="AL510" s="320"/>
      <c r="AO510" s="305"/>
      <c r="AP510" s="305"/>
      <c r="AQ510" s="305"/>
      <c r="AR510" s="305"/>
    </row>
    <row r="511" spans="7:44" s="302" customFormat="1" ht="16.5" customHeight="1" x14ac:dyDescent="0.35">
      <c r="G511" s="280"/>
      <c r="J511" s="321"/>
      <c r="K511" s="321"/>
      <c r="L511" s="321"/>
      <c r="M511" s="321"/>
      <c r="N511" s="319"/>
      <c r="O511" s="382"/>
      <c r="P511" s="323"/>
      <c r="Q511" s="327"/>
      <c r="R511" s="327"/>
      <c r="S511" s="326"/>
      <c r="T511" s="304"/>
      <c r="U511" s="389"/>
      <c r="V511" s="389"/>
      <c r="W511" s="389"/>
      <c r="X511" s="385"/>
      <c r="Y511" s="385"/>
      <c r="Z511" s="385"/>
      <c r="AA511" s="385"/>
      <c r="AB511" s="385"/>
      <c r="AC511" s="390"/>
      <c r="AG511" s="320"/>
      <c r="AH511" s="320"/>
      <c r="AI511" s="320"/>
      <c r="AJ511" s="320"/>
      <c r="AK511" s="320"/>
      <c r="AL511" s="320"/>
      <c r="AO511" s="305"/>
      <c r="AP511" s="305"/>
      <c r="AQ511" s="305"/>
      <c r="AR511" s="305"/>
    </row>
    <row r="512" spans="7:44" s="302" customFormat="1" ht="16.5" customHeight="1" x14ac:dyDescent="0.35">
      <c r="G512" s="280"/>
      <c r="J512" s="321"/>
      <c r="K512" s="321"/>
      <c r="L512" s="321"/>
      <c r="M512" s="321"/>
      <c r="N512" s="319"/>
      <c r="O512" s="382"/>
      <c r="P512" s="323"/>
      <c r="Q512" s="327"/>
      <c r="R512" s="327"/>
      <c r="S512" s="326"/>
      <c r="T512" s="304"/>
      <c r="U512" s="389"/>
      <c r="V512" s="389"/>
      <c r="W512" s="389"/>
      <c r="X512" s="385"/>
      <c r="Y512" s="385"/>
      <c r="Z512" s="385"/>
      <c r="AA512" s="385"/>
      <c r="AB512" s="385"/>
      <c r="AC512" s="390"/>
      <c r="AG512" s="320"/>
      <c r="AH512" s="320"/>
      <c r="AI512" s="320"/>
      <c r="AJ512" s="320"/>
      <c r="AK512" s="320"/>
      <c r="AL512" s="320"/>
      <c r="AO512" s="305"/>
      <c r="AP512" s="305"/>
      <c r="AQ512" s="305"/>
      <c r="AR512" s="305"/>
    </row>
    <row r="513" spans="1:62" s="302" customFormat="1" ht="16.5" customHeight="1" x14ac:dyDescent="0.35">
      <c r="G513" s="280"/>
      <c r="J513" s="321"/>
      <c r="K513" s="321"/>
      <c r="L513" s="321"/>
      <c r="M513" s="321"/>
      <c r="N513" s="319"/>
      <c r="O513" s="382"/>
      <c r="P513" s="323"/>
      <c r="Q513" s="327"/>
      <c r="R513" s="327"/>
      <c r="S513" s="326"/>
      <c r="T513" s="304"/>
      <c r="U513" s="389"/>
      <c r="V513" s="389"/>
      <c r="W513" s="389"/>
      <c r="X513" s="385"/>
      <c r="Y513" s="385"/>
      <c r="Z513" s="385"/>
      <c r="AA513" s="385"/>
      <c r="AB513" s="385"/>
      <c r="AC513" s="390"/>
      <c r="AG513" s="320"/>
      <c r="AH513" s="320"/>
      <c r="AI513" s="320"/>
      <c r="AJ513" s="320"/>
      <c r="AK513" s="320"/>
      <c r="AL513" s="320"/>
      <c r="AO513" s="305"/>
      <c r="AP513" s="305"/>
      <c r="AQ513" s="305"/>
      <c r="AR513" s="305"/>
    </row>
    <row r="514" spans="1:62" s="302" customFormat="1" ht="16.5" customHeight="1" x14ac:dyDescent="0.35">
      <c r="G514" s="280"/>
      <c r="J514" s="321"/>
      <c r="K514" s="321"/>
      <c r="L514" s="321"/>
      <c r="M514" s="321"/>
      <c r="N514" s="319"/>
      <c r="O514" s="382"/>
      <c r="P514" s="323"/>
      <c r="Q514" s="327"/>
      <c r="R514" s="327"/>
      <c r="S514" s="326"/>
      <c r="T514" s="304"/>
      <c r="U514" s="389"/>
      <c r="V514" s="389"/>
      <c r="W514" s="389"/>
      <c r="X514" s="385"/>
      <c r="Y514" s="385"/>
      <c r="Z514" s="385"/>
      <c r="AA514" s="385"/>
      <c r="AB514" s="385"/>
      <c r="AC514" s="390"/>
      <c r="AG514" s="320"/>
      <c r="AH514" s="320"/>
      <c r="AI514" s="320"/>
      <c r="AJ514" s="320"/>
      <c r="AK514" s="320"/>
      <c r="AL514" s="320"/>
      <c r="AO514" s="305"/>
      <c r="AP514" s="305"/>
      <c r="AQ514" s="305"/>
      <c r="AR514" s="305"/>
    </row>
    <row r="515" spans="1:62" s="274" customFormat="1" x14ac:dyDescent="0.35">
      <c r="A515" s="260"/>
      <c r="B515" s="260"/>
      <c r="C515" s="260"/>
      <c r="D515" s="260"/>
      <c r="E515" s="260"/>
      <c r="F515" s="260"/>
      <c r="G515" s="260"/>
      <c r="H515" s="260"/>
      <c r="I515" s="260"/>
      <c r="K515" s="304"/>
      <c r="L515" s="304"/>
      <c r="M515" s="304"/>
      <c r="N515" s="275"/>
      <c r="O515" s="305"/>
      <c r="P515" s="276"/>
      <c r="Q515" s="276"/>
      <c r="R515" s="276"/>
      <c r="S515" s="276"/>
      <c r="T515" s="304"/>
      <c r="AE515" s="260"/>
      <c r="AF515" s="260"/>
      <c r="AG515" s="260"/>
      <c r="AH515" s="260"/>
      <c r="AI515" s="260"/>
      <c r="AJ515" s="260"/>
      <c r="AK515" s="260"/>
      <c r="AL515" s="260"/>
      <c r="AM515" s="260"/>
      <c r="AN515" s="260"/>
      <c r="AO515" s="305"/>
      <c r="AP515" s="305"/>
      <c r="AQ515" s="305"/>
      <c r="AT515" s="260"/>
      <c r="AU515" s="260"/>
      <c r="AV515" s="260"/>
      <c r="AW515" s="260"/>
      <c r="AX515" s="260"/>
      <c r="AY515" s="260"/>
      <c r="AZ515" s="260"/>
      <c r="BA515" s="260"/>
      <c r="BB515" s="260"/>
      <c r="BC515" s="260"/>
      <c r="BD515" s="260"/>
      <c r="BE515" s="260"/>
      <c r="BF515" s="260"/>
      <c r="BG515" s="260"/>
      <c r="BH515" s="260"/>
      <c r="BI515" s="260"/>
      <c r="BJ515" s="260"/>
    </row>
    <row r="517" spans="1:62" ht="16.5" customHeight="1" x14ac:dyDescent="0.35">
      <c r="A517" s="393"/>
      <c r="B517" s="393"/>
    </row>
    <row r="518" spans="1:62" ht="16.5" customHeight="1" x14ac:dyDescent="0.35">
      <c r="A518" s="805" t="s">
        <v>73</v>
      </c>
      <c r="B518" s="185" t="s">
        <v>74</v>
      </c>
      <c r="C518" s="842" t="s">
        <v>2528</v>
      </c>
      <c r="D518" s="842"/>
      <c r="E518" s="842"/>
      <c r="F518" s="842"/>
      <c r="G518" s="842"/>
    </row>
    <row r="519" spans="1:62" ht="14.5" x14ac:dyDescent="0.25">
      <c r="A519" s="806"/>
      <c r="B519" s="188" t="s">
        <v>4592</v>
      </c>
      <c r="C519" s="394" t="s">
        <v>2530</v>
      </c>
      <c r="D519" s="394" t="s">
        <v>2531</v>
      </c>
      <c r="E519" s="394" t="s">
        <v>2532</v>
      </c>
      <c r="F519" s="394" t="s">
        <v>2533</v>
      </c>
      <c r="G519" s="395" t="s">
        <v>34</v>
      </c>
    </row>
    <row r="520" spans="1:62" ht="14.5" x14ac:dyDescent="0.35">
      <c r="A520" s="396"/>
      <c r="B520" s="397" t="s">
        <v>65</v>
      </c>
      <c r="C520" s="194">
        <f>SUMIFS($O$5:$O154,$H$5:$H154,$A$522,$I$5:$I154,$B520,$B$5:$B154,"&lt;=30")</f>
        <v>0</v>
      </c>
      <c r="D520" s="194">
        <f>SUMIFS($O$5:$O154,$H$5:$H154,$A$522,$I$5:$I154,$B520,$B$5:$B154,"&lt;=60")-C520</f>
        <v>0</v>
      </c>
      <c r="E520" s="194">
        <f>SUMIFS($O$5:$O154,$H$5:$H154,$A$522,$I$5:$I154,$B520,$B$5:$B154,"&lt;=90")-D520-C520</f>
        <v>0</v>
      </c>
      <c r="F520" s="194">
        <f>SUMIFS($O$5:$O154,$H$5:$H154,$A$522,$I$5:$I154,$B520,$B$5:$B154,"&gt;=91")</f>
        <v>0</v>
      </c>
      <c r="G520" s="195">
        <f t="shared" ref="G520:G583" si="62">SUM(C520:F520)</f>
        <v>0</v>
      </c>
    </row>
    <row r="521" spans="1:62" ht="14.5" x14ac:dyDescent="0.35">
      <c r="A521" s="398"/>
      <c r="B521" s="399" t="s">
        <v>64</v>
      </c>
      <c r="C521" s="194">
        <f>SUMIFS($O$5:$O154,$H$5:$H154,$A$522,$I$5:$I154,$B521,$B$5:$B154,"&lt;=30")</f>
        <v>0</v>
      </c>
      <c r="D521" s="194">
        <f>SUMIFS($O$5:$O154,$H$5:$H154,$A$522,$I$5:$I154,$B521,$B$5:$B154,"&lt;=60")-C521</f>
        <v>0</v>
      </c>
      <c r="E521" s="194">
        <f>SUMIFS($O$5:$O154,$H$5:$H154,$A$522,$I$5:$I154,$B521,$B$5:$B154,"&lt;=90")-D521-C521</f>
        <v>0</v>
      </c>
      <c r="F521" s="194">
        <f>SUMIFS($O$5:$O154,$H$5:$H154,$A$522,$I$5:$I154,$B521,$B$5:$B154,"&gt;=91")</f>
        <v>0</v>
      </c>
      <c r="G521" s="195">
        <f t="shared" si="62"/>
        <v>0</v>
      </c>
    </row>
    <row r="522" spans="1:62" ht="14.5" x14ac:dyDescent="0.35">
      <c r="A522" s="398">
        <v>201</v>
      </c>
      <c r="B522" s="400" t="s">
        <v>116</v>
      </c>
      <c r="C522" s="194">
        <f>SUMIFS($O$5:$O154,$H$5:$H154,$A$522,$I$5:$I154,$B522,$B$5:$B154,"&lt;=30")</f>
        <v>0</v>
      </c>
      <c r="D522" s="194">
        <f>SUMIFS($O$5:$O154,$H$5:$H154,$A$522,$I$5:$I154,$B522,$B$5:$B154,"&lt;=60")-C522</f>
        <v>0</v>
      </c>
      <c r="E522" s="194">
        <f>SUMIFS($O$5:$O154,$H$5:$H154,$A$522,$I$5:$I154,$B522,$B$5:$B154,"&lt;=90")-D522-C522</f>
        <v>0</v>
      </c>
      <c r="F522" s="194">
        <f>SUMIFS($O$5:$O154,$H$5:$H154,$A$522,$I$5:$I154,$B522,$B$5:$B154,"&gt;=91")</f>
        <v>0</v>
      </c>
      <c r="G522" s="195">
        <f t="shared" si="62"/>
        <v>0</v>
      </c>
    </row>
    <row r="523" spans="1:62" ht="14.5" x14ac:dyDescent="0.35">
      <c r="A523" s="398"/>
      <c r="B523" s="400" t="s">
        <v>4593</v>
      </c>
      <c r="C523" s="194">
        <f>SUMIFS($O$5:$O78,$H$5:$H78,$A$522,$I$5:$I78,$B523,$B$5:$B78,"&lt;=30")</f>
        <v>0</v>
      </c>
      <c r="D523" s="194">
        <f>SUMIFS($O$5:$O78,$H$5:$H78,$A$522,$I$5:$I78,$B523,$B$5:$B78,"&lt;=60")-C523</f>
        <v>0</v>
      </c>
      <c r="E523" s="194">
        <f>SUMIFS($O$5:$O78,$H$5:$H78,$A$522,$I$5:$I78,$B523,$B$5:$B78,"&lt;=90")-D523-C523</f>
        <v>0</v>
      </c>
      <c r="F523" s="194">
        <f>SUMIFS($O$5:$O78,$H$5:$H78,$A$522,$I$5:$I78,$B523,$B$5:$B78,"&gt;=91")</f>
        <v>0</v>
      </c>
      <c r="G523" s="195">
        <f t="shared" si="62"/>
        <v>0</v>
      </c>
    </row>
    <row r="524" spans="1:62" ht="14.5" x14ac:dyDescent="0.35">
      <c r="A524" s="398"/>
      <c r="B524" s="400" t="s">
        <v>169</v>
      </c>
      <c r="C524" s="194">
        <f>SUMIFS($O$5:$O78,$H$5:$H78,$A$522,$I$5:$I78,$B524,$B$5:$B78,"&lt;=30")</f>
        <v>0</v>
      </c>
      <c r="D524" s="194">
        <f>SUMIFS($O$5:$O78,$H$5:$H78,$A$522,$I$5:$I78,$B524,$B$5:$B78,"&lt;=60")-C524</f>
        <v>0</v>
      </c>
      <c r="E524" s="194">
        <f>SUMIFS($O$5:$O78,$H$5:$H78,$A$522,$I$5:$I78,$B524,$B$5:$B78,"&lt;=90")-D524-C524</f>
        <v>0</v>
      </c>
      <c r="F524" s="194">
        <f>SUMIFS($O$5:$O78,$H$5:$H78,$A$522,$I$5:$I78,$B524,$B$5:$B78,"&gt;=91")</f>
        <v>0</v>
      </c>
      <c r="G524" s="195">
        <f t="shared" si="62"/>
        <v>0</v>
      </c>
    </row>
    <row r="525" spans="1:62" s="274" customFormat="1" ht="16.5" customHeight="1" x14ac:dyDescent="0.35">
      <c r="A525" s="202"/>
      <c r="B525" s="397" t="s">
        <v>65</v>
      </c>
      <c r="C525" s="194">
        <f>SUMIFS($O$5:$O154,$H$5:$H154,$A$527,$I$5:$I154,$B525,$B$5:$B154,"&lt;=30")</f>
        <v>0</v>
      </c>
      <c r="D525" s="194">
        <f>SUMIFS($O$5:$O154,$H$5:$H154,$A$527,$I$5:$I154,$B525,$B$5:$B154,"&lt;=60")-C525</f>
        <v>0</v>
      </c>
      <c r="E525" s="194">
        <f>SUMIFS($O$5:$O154,$H$5:$H154,$A$527,$I$5:$I154,$B525,$B$5:$B154,"&lt;=90")-D525-C525</f>
        <v>0</v>
      </c>
      <c r="F525" s="194">
        <f>SUMIFS($O$5:$O154,$H$5:$H154,$A$527,$I$5:$I154,$B525,$B$5:$B154,"&gt;=91")</f>
        <v>0</v>
      </c>
      <c r="G525" s="195">
        <f t="shared" si="62"/>
        <v>0</v>
      </c>
      <c r="H525" s="260"/>
      <c r="I525" s="260"/>
      <c r="K525" s="304"/>
      <c r="L525" s="304"/>
      <c r="M525" s="304"/>
      <c r="N525" s="275"/>
      <c r="O525" s="276"/>
      <c r="P525" s="276"/>
      <c r="Q525" s="276"/>
      <c r="R525" s="276"/>
      <c r="S525" s="276"/>
      <c r="T525" s="304"/>
      <c r="Y525" s="401"/>
      <c r="AE525" s="260"/>
      <c r="AF525" s="260"/>
      <c r="AG525" s="260"/>
      <c r="AH525" s="260"/>
      <c r="AI525" s="260"/>
      <c r="AJ525" s="260"/>
      <c r="AK525" s="260"/>
      <c r="AL525" s="260"/>
      <c r="AM525" s="260"/>
      <c r="AN525" s="260"/>
      <c r="AO525" s="305"/>
      <c r="AP525" s="305"/>
      <c r="AQ525" s="305"/>
      <c r="AT525" s="260"/>
      <c r="AU525" s="260"/>
    </row>
    <row r="526" spans="1:62" ht="14.5" x14ac:dyDescent="0.35">
      <c r="A526" s="205"/>
      <c r="B526" s="399" t="s">
        <v>64</v>
      </c>
      <c r="C526" s="194">
        <f>SUMIFS($O$5:$O154,$H$5:$H154,$A$527,$I$5:$I154,$B526,$B$5:$B154,"&lt;=30")</f>
        <v>0</v>
      </c>
      <c r="D526" s="194">
        <f>SUMIFS($O$5:$O154,$H$5:$H154,$A$527,$I$5:$I154,$B526,$B$5:$B154,"&lt;=60")-C526</f>
        <v>0</v>
      </c>
      <c r="E526" s="194">
        <f>SUMIFS($O$5:$O154,$H$5:$H154,$A$527,$I$5:$I154,$B526,$B$5:$B154,"&lt;=90")-D526-C526</f>
        <v>0</v>
      </c>
      <c r="F526" s="194">
        <f>SUMIFS($O$5:$O154,$H$5:$H154,$A$527,$I$5:$I154,$B526,$B$5:$B154,"&gt;=91")</f>
        <v>0</v>
      </c>
      <c r="G526" s="195">
        <f t="shared" si="62"/>
        <v>0</v>
      </c>
      <c r="T526" s="327"/>
    </row>
    <row r="527" spans="1:62" ht="14.5" x14ac:dyDescent="0.35">
      <c r="A527" s="205" t="s">
        <v>27</v>
      </c>
      <c r="B527" s="400" t="s">
        <v>116</v>
      </c>
      <c r="C527" s="194">
        <f ca="1">SUMIFS($O$5:$O154,$H$5:$H154,$A$527,$I$5:$I154,$B527,$B$5:$B154,"&lt;=30")</f>
        <v>0</v>
      </c>
      <c r="D527" s="194">
        <f ca="1">SUMIFS($O$5:$O154,$H$5:$H154,$A$527,$I$5:$I154,$B527,$B$5:$B154,"&lt;=60")-C527</f>
        <v>0</v>
      </c>
      <c r="E527" s="194">
        <f ca="1">SUMIFS($O$5:$O154,$H$5:$H154,$A$527,$I$5:$I154,$B527,$B$5:$B154,"&lt;=90")-D527-C527</f>
        <v>0.81</v>
      </c>
      <c r="F527" s="194">
        <f ca="1">SUMIFS($O$5:$O154,$H$5:$H154,$A$527,$I$5:$I154,$B527,$B$5:$B154,"&gt;=91")</f>
        <v>6.4521899999999999</v>
      </c>
      <c r="G527" s="195">
        <f t="shared" ca="1" si="62"/>
        <v>7.2621900000000004</v>
      </c>
      <c r="T527" s="327"/>
    </row>
    <row r="528" spans="1:62" ht="14.5" x14ac:dyDescent="0.35">
      <c r="A528" s="205"/>
      <c r="B528" s="400" t="s">
        <v>4593</v>
      </c>
      <c r="C528" s="194">
        <f>SUMIFS($O$5:$O78,$H$5:$H78,$A$527,$I$5:$I78,$B528,$B$5:$B78,"&lt;=30")</f>
        <v>0</v>
      </c>
      <c r="D528" s="194">
        <f>SUMIFS($O$5:$O78,$H$5:$H78,$A$527,$I$5:$I78,$B528,$B$5:$B78,"&lt;=60")-C528</f>
        <v>0</v>
      </c>
      <c r="E528" s="194">
        <f>SUMIFS($O$5:$O78,$H$5:$H78,$A$527,$I$5:$I78,$B528,$B$5:$B78,"&lt;=90")-D528-C528</f>
        <v>0</v>
      </c>
      <c r="F528" s="194">
        <f>SUMIFS($O$5:$O78,$H$5:$H78,$A$527,$I$5:$I78,$B528,$B$5:$B78,"&gt;=91")</f>
        <v>0</v>
      </c>
      <c r="G528" s="195">
        <f t="shared" si="62"/>
        <v>0</v>
      </c>
      <c r="T528" s="327"/>
    </row>
    <row r="529" spans="1:47" ht="14.5" x14ac:dyDescent="0.35">
      <c r="A529" s="205"/>
      <c r="B529" s="400" t="s">
        <v>169</v>
      </c>
      <c r="C529" s="194">
        <f>SUMIFS($O$5:$O78,$H$5:$H78,$A$527,$I$5:$I78,$B529,$B$5:$B78,"&lt;=30")</f>
        <v>0</v>
      </c>
      <c r="D529" s="194">
        <f>SUMIFS($O$5:$O78,$H$5:$H78,$A$527,$I$5:$I78,$B529,$B$5:$B78,"&lt;=60")-C529</f>
        <v>0</v>
      </c>
      <c r="E529" s="194">
        <f>SUMIFS($O$5:$O78,$H$5:$H78,$A$527,$I$5:$I78,$B529,$B$5:$B78,"&lt;=90")-D529-C529</f>
        <v>0</v>
      </c>
      <c r="F529" s="194">
        <f>SUMIFS($O$5:$O78,$H$5:$H78,$A$527,$I$5:$I78,$B529,$B$5:$B78,"&gt;=91")</f>
        <v>0</v>
      </c>
      <c r="G529" s="195">
        <f t="shared" si="62"/>
        <v>0</v>
      </c>
      <c r="T529" s="327"/>
    </row>
    <row r="530" spans="1:47" ht="14.5" x14ac:dyDescent="0.35">
      <c r="A530" s="208"/>
      <c r="B530" s="397" t="s">
        <v>65</v>
      </c>
      <c r="C530" s="194">
        <f>SUMIFS($O$5:$O154,$H$5:$H154,$A$532,$I$5:$I154,$B530,$B$5:$B154,"&lt;=30")</f>
        <v>0</v>
      </c>
      <c r="D530" s="194">
        <f>SUMIFS($O$5:$O154,$H$5:$H154,$A$532,$I$5:$I154,$B530,$B$5:$B154,"&lt;=60")-C530</f>
        <v>0</v>
      </c>
      <c r="E530" s="194">
        <f>SUMIFS($O$5:$O154,$H$5:$H154,$A$532,$I$5:$I154,$B530,$B$5:$B154,"&lt;=90")-D530-C530</f>
        <v>0</v>
      </c>
      <c r="F530" s="194">
        <f>SUMIFS($O$5:$O154,$H$5:$H154,$A$532,$I$5:$I154,$B530,$B$5:$B154,"&gt;=91")</f>
        <v>0</v>
      </c>
      <c r="G530" s="195">
        <f t="shared" si="62"/>
        <v>0</v>
      </c>
    </row>
    <row r="531" spans="1:47" ht="14.5" x14ac:dyDescent="0.35">
      <c r="A531" s="212"/>
      <c r="B531" s="399" t="s">
        <v>64</v>
      </c>
      <c r="C531" s="194">
        <f>SUMIFS($O$5:$O154,$H$5:$H154,$A$532,$I$5:$I154,$B531,$B$5:$B154,"&lt;=30")</f>
        <v>0</v>
      </c>
      <c r="D531" s="194">
        <f>SUMIFS($O$5:$O154,$H$5:$H154,$A$532,$I$5:$I154,$B531,$B$5:$B154,"&lt;=60")-C531</f>
        <v>0</v>
      </c>
      <c r="E531" s="194">
        <f>SUMIFS($O$5:$O154,$H$5:$H154,$A$532,$I$5:$I154,$B531,$B$5:$B154,"&lt;=90")-D531-C531</f>
        <v>0</v>
      </c>
      <c r="F531" s="194">
        <f>SUMIFS($O$5:$O154,$H$5:$H154,$A$532,$I$5:$I154,$B531,$B$5:$B154,"&gt;=91")</f>
        <v>0</v>
      </c>
      <c r="G531" s="195">
        <f t="shared" si="62"/>
        <v>0</v>
      </c>
    </row>
    <row r="532" spans="1:47" ht="14.5" x14ac:dyDescent="0.35">
      <c r="A532" s="212" t="s">
        <v>28</v>
      </c>
      <c r="B532" s="400" t="s">
        <v>116</v>
      </c>
      <c r="C532" s="194">
        <f>SUMIFS($O$5:$O78,$H$5:$H78,$A$532,$I$5:$I78,$B532,$B$5:$B78,"&lt;=30")</f>
        <v>0</v>
      </c>
      <c r="D532" s="194">
        <f>SUMIFS($O$5:$O78,$H$5:$H78,$A$532,$I$5:$I78,$B532,$B$5:$B78,"&lt;=60")-C532</f>
        <v>0</v>
      </c>
      <c r="E532" s="194">
        <f>SUMIFS($O$5:$O78,$H$5:$H78,$A$532,$I$5:$I78,$B532,$B$5:$B78,"&lt;=90")-D532-C532</f>
        <v>0</v>
      </c>
      <c r="F532" s="194">
        <f>SUMIFS($O$5:$O78,$H$5:$H78,$A$532,$I$5:$I78,$B532,$B$5:$B78,"&gt;=91")</f>
        <v>0</v>
      </c>
      <c r="G532" s="195">
        <f t="shared" si="62"/>
        <v>0</v>
      </c>
    </row>
    <row r="533" spans="1:47" ht="14.5" x14ac:dyDescent="0.35">
      <c r="A533" s="212"/>
      <c r="B533" s="400" t="s">
        <v>4593</v>
      </c>
      <c r="C533" s="194">
        <f>SUMIFS($O$5:$O78,$H$5:$H78,$A$532,$I$5:$I78,$B533,$B$5:$B78,"&lt;=30")</f>
        <v>0</v>
      </c>
      <c r="D533" s="194">
        <f>SUMIFS($O$5:$O78,$H$5:$H78,$A$532,$I$5:$I78,$B533,$B$5:$B78,"&lt;=60")-C533</f>
        <v>0</v>
      </c>
      <c r="E533" s="194">
        <f>SUMIFS($O$5:$O78,$H$5:$H78,$A$532,$I$5:$I78,$B533,$B$5:$B78,"&lt;=90")-D533-C533</f>
        <v>0</v>
      </c>
      <c r="F533" s="194">
        <f>SUMIFS($O$5:$O78,$H$5:$H78,$A$532,$I$5:$I78,$B533,$B$5:$B78,"&gt;=91")</f>
        <v>0</v>
      </c>
      <c r="G533" s="195">
        <f t="shared" si="62"/>
        <v>0</v>
      </c>
    </row>
    <row r="534" spans="1:47" ht="14.5" x14ac:dyDescent="0.35">
      <c r="A534" s="212"/>
      <c r="B534" s="400" t="s">
        <v>169</v>
      </c>
      <c r="C534" s="194">
        <f>SUMIFS($O$5:$O78,$H$5:$H78,$A$532,$I$5:$I78,$B534,$B$5:$B78,"&lt;=30")</f>
        <v>0</v>
      </c>
      <c r="D534" s="194">
        <f>SUMIFS($O$5:$O78,$H$5:$H78,$A$532,$I$5:$I78,$B534,$B$5:$B78,"&lt;=60")-C534</f>
        <v>0</v>
      </c>
      <c r="E534" s="194">
        <f>SUMIFS($O$5:$O78,$H$5:$H78,$A$532,$I$5:$I78,$B534,$B$5:$B78,"&lt;=90")-D534-C534</f>
        <v>0</v>
      </c>
      <c r="F534" s="194">
        <f>SUMIFS($O$5:$O78,$H$5:$H78,$A$532,$I$5:$I78,$B534,$B$5:$B78,"&gt;=91")</f>
        <v>0</v>
      </c>
      <c r="G534" s="195">
        <f t="shared" si="62"/>
        <v>0</v>
      </c>
    </row>
    <row r="535" spans="1:47" ht="14.5" x14ac:dyDescent="0.35">
      <c r="A535" s="217"/>
      <c r="B535" s="397" t="s">
        <v>65</v>
      </c>
      <c r="C535" s="194">
        <f>SUMIFS($O$5:$O78,$H$5:$H78,$A$537,$I$5:$I78,$B535,$B$5:$B78,"&lt;=30")</f>
        <v>0</v>
      </c>
      <c r="D535" s="194">
        <f>SUMIFS($O$5:$O78,$H$5:$H78,$A$537,$I$5:$I78,$B535,$B$5:$B78,"&lt;=60")-C535</f>
        <v>0</v>
      </c>
      <c r="E535" s="194">
        <f>SUMIFS($O$5:$O78,$H$5:$H78,$A$537,$I$5:$I78,$B535,$B$5:$B78,"&lt;=90")-D535-C535</f>
        <v>0</v>
      </c>
      <c r="F535" s="194">
        <f>SUMIFS($O$5:$O78,$H$5:$H78,$A$537,$I$5:$I78,$B535,$B$5:$B78,"&gt;=91")</f>
        <v>0</v>
      </c>
      <c r="G535" s="195">
        <f t="shared" si="62"/>
        <v>0</v>
      </c>
    </row>
    <row r="536" spans="1:47" ht="16.5" customHeight="1" x14ac:dyDescent="0.35">
      <c r="A536" s="219"/>
      <c r="B536" s="399" t="s">
        <v>64</v>
      </c>
      <c r="C536" s="194">
        <f>SUMIFS($O$5:$O78,$H$5:$H78,$A$537,$I$5:$I78,$B536,$B$5:$B78,"&lt;=30")</f>
        <v>0</v>
      </c>
      <c r="D536" s="194">
        <f>SUMIFS($O$5:$O78,$H$5:$H78,$A$537,$I$5:$I78,$B536,$B$5:$B78,"&lt;=60")-C536</f>
        <v>0</v>
      </c>
      <c r="E536" s="194">
        <f>SUMIFS($O$5:$O78,$H$5:$H78,$A$537,$I$5:$I78,$B536,$B$5:$B78,"&lt;=90")-D536-C536</f>
        <v>0</v>
      </c>
      <c r="F536" s="194">
        <f>SUMIFS($O$5:$O78,$H$5:$H78,$A$537,$I$5:$I78,$B536,$B$5:$B78,"&gt;=91")</f>
        <v>0</v>
      </c>
      <c r="G536" s="195">
        <f t="shared" si="62"/>
        <v>0</v>
      </c>
      <c r="O536" s="388"/>
      <c r="T536" s="327"/>
    </row>
    <row r="537" spans="1:47" ht="16.5" customHeight="1" x14ac:dyDescent="0.35">
      <c r="A537" s="219" t="s">
        <v>29</v>
      </c>
      <c r="B537" s="400" t="s">
        <v>116</v>
      </c>
      <c r="C537" s="194">
        <f ca="1">SUMIFS($O$5:$O78,$H$5:$H78,$A$537,$I$5:$I78,$B537,$B$5:$B78,"&lt;=30")</f>
        <v>0</v>
      </c>
      <c r="D537" s="194">
        <f ca="1">SUMIFS($O$5:$O78,$H$5:$H78,$A$537,$I$5:$I78,$B537,$B$5:$B78,"&lt;=60")-C537</f>
        <v>0</v>
      </c>
      <c r="E537" s="194">
        <f ca="1">SUMIFS($O$5:$O78,$H$5:$H78,$A$537,$I$5:$I78,$B537,$B$5:$B78,"&lt;=90")-D537-C537</f>
        <v>0</v>
      </c>
      <c r="F537" s="194">
        <f ca="1">SUMIFS($O$5:$O78,$H$5:$H78,$A$537,$I$5:$I78,$B537,$B$5:$B78,"&gt;=91")</f>
        <v>27.180000000000003</v>
      </c>
      <c r="G537" s="195">
        <f t="shared" ca="1" si="62"/>
        <v>27.180000000000003</v>
      </c>
    </row>
    <row r="538" spans="1:47" ht="16.5" customHeight="1" x14ac:dyDescent="0.35">
      <c r="A538" s="219"/>
      <c r="B538" s="400" t="s">
        <v>4593</v>
      </c>
      <c r="C538" s="194">
        <f>SUMIFS($O$5:$O78,$H$5:$H78,$A$537,$I$5:$I78,$B538,$B$5:$B78,"&lt;=30")</f>
        <v>0</v>
      </c>
      <c r="D538" s="194">
        <f>SUMIFS($O$5:$O78,$H$5:$H78,$A$537,$I$5:$I78,$B538,$B$5:$B78,"&lt;=60")-C538</f>
        <v>0</v>
      </c>
      <c r="E538" s="194">
        <f>SUMIFS($O$5:$O78,$H$5:$H78,$A$537,$I$5:$I78,$B538,$B$5:$B78,"&lt;=90")-D538-C538</f>
        <v>0</v>
      </c>
      <c r="F538" s="194">
        <f>SUMIFS($O$5:$O78,$H$5:$H78,$A$537,$I$5:$I78,$B538,$B$5:$B78,"&gt;=91")</f>
        <v>0</v>
      </c>
      <c r="G538" s="195">
        <f t="shared" si="62"/>
        <v>0</v>
      </c>
    </row>
    <row r="539" spans="1:47" ht="16.5" customHeight="1" x14ac:dyDescent="0.35">
      <c r="A539" s="219"/>
      <c r="B539" s="400" t="s">
        <v>169</v>
      </c>
      <c r="C539" s="194">
        <f>SUMIFS($O$5:$O78,$H$5:$H78,$A$537,$I$5:$I78,$B539,$B$5:$B78,"&lt;=30")</f>
        <v>0</v>
      </c>
      <c r="D539" s="194">
        <f>SUMIFS($O$5:$O78,$H$5:$H78,$A$537,$I$5:$I78,$B539,$B$5:$B78,"&lt;=60")-C539</f>
        <v>0</v>
      </c>
      <c r="E539" s="194">
        <f>SUMIFS($O$5:$O78,$H$5:$H78,$A$537,$I$5:$I78,$B539,$B$5:$B78,"&lt;=90")-D539-C539</f>
        <v>0</v>
      </c>
      <c r="F539" s="194">
        <f>SUMIFS($O$5:$O78,$H$5:$H78,$A$537,$I$5:$I78,$B539,$B$5:$B78,"&gt;=91")</f>
        <v>0</v>
      </c>
      <c r="G539" s="195">
        <f t="shared" si="62"/>
        <v>0</v>
      </c>
    </row>
    <row r="540" spans="1:47" s="274" customFormat="1" ht="16.5" customHeight="1" x14ac:dyDescent="0.35">
      <c r="A540" s="222"/>
      <c r="B540" s="397" t="s">
        <v>65</v>
      </c>
      <c r="C540" s="194">
        <f>SUMIFS($O$5:$O78,$H$5:$H78,$A$542,$I$5:$I78,$B540,$B$5:$B78,"&lt;=30")</f>
        <v>0</v>
      </c>
      <c r="D540" s="194">
        <f>SUMIFS($O$5:$O78,$H$5:$H78,$A$542,$I$5:$I78,$B540,$B$5:$B78,"&lt;=60")-C540</f>
        <v>0</v>
      </c>
      <c r="E540" s="194">
        <f>SUMIFS($O$5:$O78,$H$5:$H78,$A$542,$I$5:$I78,$B540,$B$5:$B78,"&lt;=90")-D540-C540</f>
        <v>0</v>
      </c>
      <c r="F540" s="194">
        <f>SUMIFS($O$5:$O78,$H$5:$H78,$A$542,$I$5:$I78,$B540,$B$5:$B78,"&gt;=91")</f>
        <v>0</v>
      </c>
      <c r="G540" s="195">
        <f t="shared" si="62"/>
        <v>0</v>
      </c>
      <c r="H540" s="260"/>
      <c r="I540" s="260"/>
      <c r="K540" s="304"/>
      <c r="L540" s="304"/>
      <c r="M540" s="304"/>
      <c r="N540" s="275"/>
      <c r="O540" s="276"/>
      <c r="P540" s="276"/>
      <c r="Q540" s="276"/>
      <c r="R540" s="276"/>
      <c r="S540" s="276"/>
      <c r="T540" s="304"/>
      <c r="Y540" s="401"/>
      <c r="AE540" s="260"/>
      <c r="AF540" s="260"/>
      <c r="AG540" s="260"/>
      <c r="AH540" s="260"/>
      <c r="AI540" s="260"/>
      <c r="AJ540" s="260"/>
      <c r="AK540" s="260"/>
      <c r="AL540" s="260"/>
      <c r="AM540" s="260"/>
      <c r="AN540" s="260"/>
      <c r="AO540" s="305"/>
      <c r="AP540" s="305"/>
      <c r="AQ540" s="305"/>
      <c r="AT540" s="260"/>
      <c r="AU540" s="260"/>
    </row>
    <row r="541" spans="1:47" ht="14.5" x14ac:dyDescent="0.35">
      <c r="A541" s="228"/>
      <c r="B541" s="399" t="s">
        <v>64</v>
      </c>
      <c r="C541" s="194">
        <f>SUMIFS($O$5:$O78,$H$5:$H78,$A$542,$I$5:$I78,$B541,$B$5:$B78,"&lt;=30")</f>
        <v>0</v>
      </c>
      <c r="D541" s="194">
        <f>SUMIFS($O$5:$O78,$H$5:$H78,$A$542,$I$5:$I78,$B541,$B$5:$B78,"&lt;=60")-C541</f>
        <v>0</v>
      </c>
      <c r="E541" s="194">
        <f>SUMIFS($O$5:$O78,$H$5:$H78,$A$542,$I$5:$I78,$B541,$B$5:$B78,"&lt;=90")-D541-C541</f>
        <v>0</v>
      </c>
      <c r="F541" s="194">
        <f>SUMIFS($O$5:$O78,$H$5:$H78,$A$542,$I$5:$I78,$B541,$B$5:$B78,"&gt;=91")</f>
        <v>0</v>
      </c>
      <c r="G541" s="195">
        <f t="shared" si="62"/>
        <v>0</v>
      </c>
      <c r="T541" s="327"/>
    </row>
    <row r="542" spans="1:47" ht="14.5" x14ac:dyDescent="0.35">
      <c r="A542" s="228" t="s">
        <v>30</v>
      </c>
      <c r="B542" s="400" t="s">
        <v>116</v>
      </c>
      <c r="C542" s="194">
        <f>SUMIFS($O$5:$O78,$H$5:$H78,$A$542,$I$5:$I78,$B542,$B$5:$B78,"&lt;=30")</f>
        <v>0</v>
      </c>
      <c r="D542" s="194">
        <f>SUMIFS($O$5:$O78,$H$5:$H78,$A$542,$I$5:$I78,$B542,$B$5:$B78,"&lt;=60")-C542</f>
        <v>0</v>
      </c>
      <c r="E542" s="194">
        <f>SUMIFS($O$5:$O78,$H$5:$H78,$A$542,$I$5:$I78,$B542,$B$5:$B78,"&lt;=90")-D542-C542</f>
        <v>0</v>
      </c>
      <c r="F542" s="194">
        <f>SUMIFS($O$5:$O78,$H$5:$H78,$A$542,$I$5:$I78,$B542,$B$5:$B78,"&gt;=91")</f>
        <v>0</v>
      </c>
      <c r="G542" s="195">
        <f t="shared" si="62"/>
        <v>0</v>
      </c>
    </row>
    <row r="543" spans="1:47" ht="14.5" x14ac:dyDescent="0.35">
      <c r="A543" s="228"/>
      <c r="B543" s="400" t="s">
        <v>4593</v>
      </c>
      <c r="C543" s="194">
        <f>SUMIFS($O$5:$O78,$H$5:$H78,$A$542,$I$5:$I78,$B543,$B$5:$B78,"&lt;=30")</f>
        <v>0</v>
      </c>
      <c r="D543" s="194">
        <f>SUMIFS($O$5:$O78,$H$5:$H78,$A$542,$I$5:$I78,$B543,$B$5:$B78,"&lt;=60")-C543</f>
        <v>0</v>
      </c>
      <c r="E543" s="194">
        <f>SUMIFS($O$5:$O78,$H$5:$H78,$A$542,$I$5:$I78,$B543,$B$5:$B78,"&lt;=90")-D543-C543</f>
        <v>0</v>
      </c>
      <c r="F543" s="194">
        <f>SUMIFS($O$5:$O78,$H$5:$H78,$A$542,$I$5:$I78,$B543,$B$5:$B78,"&gt;=91")</f>
        <v>0</v>
      </c>
      <c r="G543" s="195">
        <f t="shared" si="62"/>
        <v>0</v>
      </c>
    </row>
    <row r="544" spans="1:47" ht="14.5" x14ac:dyDescent="0.35">
      <c r="A544" s="228"/>
      <c r="B544" s="400" t="s">
        <v>169</v>
      </c>
      <c r="C544" s="194">
        <f>SUMIFS($O$5:$O78,$H$5:$H78,$A$542,$I$5:$I78,$B544,$B$5:$B78,"&lt;=30")</f>
        <v>0</v>
      </c>
      <c r="D544" s="194">
        <f>SUMIFS($O$5:$O78,$H$5:$H78,$A$542,$I$5:$I78,$B544,$B$5:$B78,"&lt;=60")-C544</f>
        <v>0</v>
      </c>
      <c r="E544" s="194">
        <f>SUMIFS($O$5:$O78,$H$5:$H78,$A$542,$I$5:$I78,$B544,$B$5:$B78,"&lt;=90")-D544-C544</f>
        <v>0</v>
      </c>
      <c r="F544" s="194">
        <f>SUMIFS($O$5:$O78,$H$5:$H78,$A$542,$I$5:$I78,$B544,$B$5:$B78,"&gt;=91")</f>
        <v>0</v>
      </c>
      <c r="G544" s="195">
        <f t="shared" si="62"/>
        <v>0</v>
      </c>
    </row>
    <row r="545" spans="1:48" s="302" customFormat="1" ht="16.5" customHeight="1" x14ac:dyDescent="0.35">
      <c r="A545" s="233"/>
      <c r="B545" s="397" t="s">
        <v>65</v>
      </c>
      <c r="C545" s="194">
        <f>SUMIFS($O$5:$O78,$H$5:$H78,$A$547,$I$5:$I78,$B545,$B$5:$B78,"&lt;=30")</f>
        <v>0</v>
      </c>
      <c r="D545" s="194">
        <f>SUMIFS($O$5:$O78,$H$5:$H78,$A$547,$I$5:$I78,$B545,$B$5:$B78,"&lt;=60")-C545</f>
        <v>0</v>
      </c>
      <c r="E545" s="194">
        <f>SUMIFS($O$5:$O78,$H$5:$H78,$A$547,$I$5:$I78,$B545,$B$5:$B78,"&lt;=90")-D545-C545</f>
        <v>0</v>
      </c>
      <c r="F545" s="194">
        <f>SUMIFS($O$5:$O78,$H$5:$H78,$A$547,$I$5:$I78,$B545,$B$5:$B78,"&gt;=91")</f>
        <v>0</v>
      </c>
      <c r="G545" s="195">
        <f t="shared" si="62"/>
        <v>0</v>
      </c>
      <c r="J545" s="321"/>
      <c r="K545" s="321"/>
      <c r="L545" s="321"/>
      <c r="M545" s="321"/>
      <c r="N545" s="319"/>
      <c r="O545" s="388"/>
      <c r="P545" s="323"/>
      <c r="Q545" s="327"/>
      <c r="R545" s="327"/>
      <c r="S545" s="326"/>
      <c r="T545" s="304"/>
      <c r="U545" s="389"/>
      <c r="V545" s="389"/>
      <c r="W545" s="389"/>
      <c r="X545" s="385"/>
      <c r="Y545" s="385"/>
      <c r="Z545" s="385"/>
      <c r="AA545" s="385"/>
      <c r="AB545" s="385"/>
      <c r="AC545" s="390"/>
      <c r="AG545" s="320"/>
      <c r="AH545" s="320"/>
      <c r="AI545" s="320"/>
      <c r="AJ545" s="320"/>
      <c r="AK545" s="320"/>
      <c r="AL545" s="320"/>
      <c r="AO545" s="305"/>
      <c r="AP545" s="305"/>
      <c r="AQ545" s="305"/>
      <c r="AR545" s="305"/>
    </row>
    <row r="546" spans="1:48" s="302" customFormat="1" ht="18" customHeight="1" x14ac:dyDescent="0.35">
      <c r="A546" s="234"/>
      <c r="B546" s="399" t="s">
        <v>64</v>
      </c>
      <c r="C546" s="194">
        <f>SUMIFS($O$5:$O78,$H$5:$H78,$A$547,$I$5:$I78,$B546,$B$5:$B78,"&lt;=30")</f>
        <v>0</v>
      </c>
      <c r="D546" s="194">
        <f>SUMIFS($O$5:$O78,$H$5:$H78,$A$547,$I$5:$I78,$B546,$B$5:$B78,"&lt;=60")-C546</f>
        <v>0</v>
      </c>
      <c r="E546" s="194">
        <f>SUMIFS($O$5:$O78,$H$5:$H78,$A$547,$I$5:$I78,$B546,$B$5:$B78,"&lt;=90")-D546-C546</f>
        <v>0</v>
      </c>
      <c r="F546" s="194">
        <f>SUMIFS($O$5:$O78,$H$5:$H78,$A$547,$I$5:$I78,$B546,$B$5:$B78,"&gt;=91")</f>
        <v>0</v>
      </c>
      <c r="G546" s="195">
        <f t="shared" si="62"/>
        <v>0</v>
      </c>
      <c r="J546" s="321"/>
      <c r="K546" s="321"/>
      <c r="L546" s="321"/>
      <c r="M546" s="321"/>
      <c r="N546" s="319"/>
      <c r="O546" s="382"/>
      <c r="P546" s="305"/>
      <c r="Q546" s="323"/>
      <c r="R546" s="323"/>
      <c r="S546" s="323"/>
      <c r="T546" s="304"/>
      <c r="U546" s="154"/>
      <c r="V546" s="383"/>
      <c r="W546" s="384"/>
      <c r="X546" s="385"/>
      <c r="Y546" s="385"/>
      <c r="Z546" s="385"/>
      <c r="AA546" s="385"/>
      <c r="AB546" s="385"/>
      <c r="AD546" s="386"/>
      <c r="AG546" s="320"/>
      <c r="AH546" s="320"/>
      <c r="AI546" s="380"/>
      <c r="AJ546" s="387"/>
      <c r="AK546" s="387"/>
      <c r="AL546" s="387"/>
      <c r="AO546" s="305"/>
      <c r="AP546" s="305"/>
      <c r="AQ546" s="305"/>
      <c r="AR546" s="321"/>
      <c r="AS546" s="319"/>
      <c r="AT546" s="319"/>
      <c r="AU546" s="319"/>
      <c r="AV546" s="321"/>
    </row>
    <row r="547" spans="1:48" ht="14.5" x14ac:dyDescent="0.35">
      <c r="A547" s="234">
        <v>304</v>
      </c>
      <c r="B547" s="400" t="s">
        <v>116</v>
      </c>
      <c r="C547" s="194">
        <f ca="1">SUMIFS($O$5:$O78,$H$5:$H78,$A$547,$I$5:$I78,$B547,$B$5:$B78,"&lt;=30")</f>
        <v>0</v>
      </c>
      <c r="D547" s="194">
        <f ca="1">SUMIFS($O$5:$O78,$H$5:$H78,$A$547,$I$5:$I78,$B547,$B$5:$B78,"&lt;=60")-C547</f>
        <v>0</v>
      </c>
      <c r="E547" s="194">
        <f ca="1">SUMIFS($O$5:$O78,$H$5:$H78,$A$547,$I$5:$I78,$B547,$B$5:$B78,"&lt;=90")-D547-C547</f>
        <v>0</v>
      </c>
      <c r="F547" s="194">
        <f ca="1">SUMIFS($O$5:$O78,$H$5:$H78,$A$547,$I$5:$I78,$B547,$B$5:$B78,"&gt;=91")</f>
        <v>6.5200000000000005</v>
      </c>
      <c r="G547" s="195">
        <f t="shared" ca="1" si="62"/>
        <v>6.5200000000000005</v>
      </c>
    </row>
    <row r="548" spans="1:48" ht="14.5" x14ac:dyDescent="0.35">
      <c r="A548" s="234"/>
      <c r="B548" s="400" t="s">
        <v>4593</v>
      </c>
      <c r="C548" s="194">
        <f>SUMIFS($O$5:$O78,$H$5:$H78,$A$547,$I$5:$I78,$B548,$B$5:$B78,"&lt;=30")</f>
        <v>0</v>
      </c>
      <c r="D548" s="194">
        <f>SUMIFS($O$5:$O78,$H$5:$H78,$A$547,$I$5:$I78,$B548,$B$5:$B78,"&lt;=60")-C548</f>
        <v>0</v>
      </c>
      <c r="E548" s="402">
        <f>SUMIFS($O$5:$O78,$H$5:$H78,$A$552,$I$5:$I78,$B548,$B$5:$B78,"&lt;=90")-D548-C548</f>
        <v>0</v>
      </c>
      <c r="F548" s="194">
        <f>SUMIFS($O$5:$O78,$H$5:$H78,$A$547,$I$5:$I78,$B548,$B$5:$B78,"&gt;=91")</f>
        <v>0</v>
      </c>
      <c r="G548" s="195">
        <f t="shared" si="62"/>
        <v>0</v>
      </c>
    </row>
    <row r="549" spans="1:48" ht="14.5" x14ac:dyDescent="0.35">
      <c r="A549" s="234"/>
      <c r="B549" s="400" t="s">
        <v>169</v>
      </c>
      <c r="C549" s="194">
        <f>SUMIFS($O$5:$O78,$H$5:$H78,$A$547,$I$5:$I78,$B549,$B$5:$B78,"&lt;=30")</f>
        <v>0</v>
      </c>
      <c r="D549" s="194">
        <f>SUMIFS($O$5:$O78,$H$5:$H78,$A$547,$I$5:$I78,$B549,$B$5:$B78,"&lt;=60")-C549</f>
        <v>0</v>
      </c>
      <c r="E549" s="402">
        <f>SUMIFS($O$5:$O78,$H$5:$H78,$A$552,$I$5:$I78,$B549,$B$5:$B78,"&lt;=90")-D549-C549</f>
        <v>0</v>
      </c>
      <c r="F549" s="194">
        <f>SUMIFS($O$5:$O78,$H$5:$H78,$A$547,$I$5:$I78,$B549,$B$5:$B78,"&gt;=91")</f>
        <v>0</v>
      </c>
      <c r="G549" s="195">
        <f t="shared" si="62"/>
        <v>0</v>
      </c>
    </row>
    <row r="550" spans="1:48" s="302" customFormat="1" ht="16.5" customHeight="1" x14ac:dyDescent="0.35">
      <c r="A550" s="403"/>
      <c r="B550" s="397" t="s">
        <v>65</v>
      </c>
      <c r="C550" s="194">
        <f>SUMIFS($O$5:$O123,$H$5:$H123,$A$552,$I$5:$I123,$B550,$B$5:$B123,"&lt;=30")</f>
        <v>0</v>
      </c>
      <c r="D550" s="402">
        <f>SUMIFS($O$5:$O123,$H$5:$H123,$A$552,$I$5:$I123,$B550,$B$5:$B123,"&lt;=60")-C550</f>
        <v>0</v>
      </c>
      <c r="E550" s="402">
        <f>SUMIFS($O$5:$O123,$H$5:$H123,$A$552,$I$5:$I123,$B550,$B$5:$B123,"&lt;=90")-D550-C550</f>
        <v>0</v>
      </c>
      <c r="F550" s="194">
        <f>SUMIFS($O$5:$O123,$H$5:$H123,$A$552,$I$5:$I123,$B550,$B$5:$B123,"&gt;=91")</f>
        <v>0</v>
      </c>
      <c r="G550" s="195">
        <f t="shared" si="62"/>
        <v>0</v>
      </c>
      <c r="J550" s="321"/>
      <c r="K550" s="321"/>
      <c r="L550" s="321"/>
      <c r="M550" s="321"/>
      <c r="N550" s="319"/>
      <c r="O550" s="388"/>
      <c r="P550" s="323"/>
      <c r="Q550" s="327"/>
      <c r="R550" s="327"/>
      <c r="S550" s="326"/>
      <c r="T550" s="304"/>
      <c r="U550" s="389"/>
      <c r="V550" s="389"/>
      <c r="W550" s="389"/>
      <c r="X550" s="385"/>
      <c r="Y550" s="385"/>
      <c r="Z550" s="385"/>
      <c r="AA550" s="385"/>
      <c r="AB550" s="385"/>
      <c r="AC550" s="390"/>
      <c r="AG550" s="320"/>
      <c r="AH550" s="320"/>
      <c r="AI550" s="320"/>
      <c r="AJ550" s="320"/>
      <c r="AK550" s="320"/>
      <c r="AL550" s="320"/>
      <c r="AO550" s="305"/>
      <c r="AP550" s="305"/>
      <c r="AQ550" s="305"/>
      <c r="AR550" s="305"/>
    </row>
    <row r="551" spans="1:48" s="302" customFormat="1" ht="18" customHeight="1" x14ac:dyDescent="0.35">
      <c r="A551" s="404"/>
      <c r="B551" s="399" t="s">
        <v>64</v>
      </c>
      <c r="C551" s="194">
        <f>SUMIFS($O$5:$O123,$H$5:$H123,$A$552,$I$5:$I123,$B551,$B$5:$B123,"&lt;=30")</f>
        <v>0</v>
      </c>
      <c r="D551" s="402">
        <f>SUMIFS($O$5:$O123,$H$5:$H123,$A$552,$I$5:$I123,$B551,$B$5:$B123,"&lt;=60")-C551</f>
        <v>0</v>
      </c>
      <c r="E551" s="402">
        <f>SUMIFS($O$5:$O123,$H$5:$H123,$A$552,$I$5:$I123,$B551,$B$5:$B123,"&lt;=90")-D551-C551</f>
        <v>0</v>
      </c>
      <c r="F551" s="194">
        <f>SUMIFS($O$5:$O123,$H$5:$H123,$A$552,$I$5:$I123,$B551,$B$5:$B123,"&gt;=91")</f>
        <v>0</v>
      </c>
      <c r="G551" s="195">
        <f t="shared" si="62"/>
        <v>0</v>
      </c>
      <c r="J551" s="321"/>
      <c r="K551" s="321"/>
      <c r="L551" s="321"/>
      <c r="M551" s="321"/>
      <c r="N551" s="319"/>
      <c r="O551" s="382"/>
      <c r="P551" s="305"/>
      <c r="Q551" s="323"/>
      <c r="R551" s="323"/>
      <c r="S551" s="323"/>
      <c r="T551" s="304"/>
      <c r="U551" s="154"/>
      <c r="V551" s="383"/>
      <c r="W551" s="384"/>
      <c r="X551" s="385"/>
      <c r="Y551" s="385"/>
      <c r="Z551" s="385"/>
      <c r="AA551" s="385"/>
      <c r="AB551" s="385"/>
      <c r="AD551" s="386"/>
      <c r="AG551" s="320"/>
      <c r="AH551" s="320"/>
      <c r="AI551" s="380"/>
      <c r="AJ551" s="387"/>
      <c r="AK551" s="387"/>
      <c r="AL551" s="387"/>
      <c r="AO551" s="305"/>
      <c r="AP551" s="305"/>
      <c r="AQ551" s="305"/>
      <c r="AR551" s="321"/>
      <c r="AS551" s="319"/>
      <c r="AT551" s="319"/>
      <c r="AU551" s="319"/>
      <c r="AV551" s="321"/>
    </row>
    <row r="552" spans="1:48" ht="14.5" x14ac:dyDescent="0.35">
      <c r="A552" s="404" t="s">
        <v>377</v>
      </c>
      <c r="B552" s="400" t="s">
        <v>116</v>
      </c>
      <c r="C552" s="194">
        <f ca="1">SUMIFS($O$5:$O123,$H$5:$H123,$A$552,$I$5:$I123,$B552,$B$5:$B123,"&lt;=30")</f>
        <v>0</v>
      </c>
      <c r="D552" s="402">
        <f ca="1">SUMIFS($O$5:$O123,$H$5:$H123,$A$552,$I$5:$I123,$B552,$B$5:$B123,"&lt;=60")-C552</f>
        <v>0</v>
      </c>
      <c r="E552" s="402">
        <f ca="1">SUMIFS($O$5:$O123,$H$5:$H123,$A$552,$I$5:$I123,$B552,$B$5:$B123,"&lt;=90")-D552-C552</f>
        <v>0.66500000000000004</v>
      </c>
      <c r="F552" s="194">
        <f ca="1">SUMIFS($O$5:$O123,$H$5:$H123,$A$552,$I$5:$I123,$B552,$B$5:$B123,"&gt;=91")</f>
        <v>9.1650000000000027</v>
      </c>
      <c r="G552" s="195">
        <f t="shared" ca="1" si="62"/>
        <v>9.8300000000000018</v>
      </c>
    </row>
    <row r="553" spans="1:48" ht="14.5" x14ac:dyDescent="0.35">
      <c r="A553" s="404"/>
      <c r="B553" s="400" t="s">
        <v>4593</v>
      </c>
      <c r="C553" s="194">
        <f>SUMIFS($O$5:$O123,$H$5:$H123,$A$552,$I$5:$I123,$B553,$B$5:$B123,"&lt;=30")</f>
        <v>0</v>
      </c>
      <c r="D553" s="402">
        <f>SUMIFS($O$5:$O123,$H$5:$H123,$A$552,$I$5:$I123,$B553,$B$5:$B123,"&lt;=60")-C553</f>
        <v>0</v>
      </c>
      <c r="E553" s="402">
        <f>SUMIFS($O$5:$O123,$H$5:$H123,'[1]DISPATCH February''22'!#REF!,$I$5:$I123,$B553,$B$5:$B123,"&lt;=90")-D553-C553</f>
        <v>0</v>
      </c>
      <c r="F553" s="194">
        <f>SUMIFS($O$5:$O123,$H$5:$H123,$A$552,$I$5:$I123,$B553,$B$5:$B123,"&gt;=91")</f>
        <v>0</v>
      </c>
      <c r="G553" s="195">
        <f t="shared" si="62"/>
        <v>0</v>
      </c>
    </row>
    <row r="554" spans="1:48" ht="14.5" x14ac:dyDescent="0.35">
      <c r="A554" s="404"/>
      <c r="B554" s="400" t="s">
        <v>169</v>
      </c>
      <c r="C554" s="194">
        <f>SUMIFS($O$5:$O123,$H$5:$H123,$A$552,$I$5:$I123,$B554,$B$5:$B123,"&lt;=30")</f>
        <v>0</v>
      </c>
      <c r="D554" s="402">
        <f>SUMIFS($O$5:$O123,$H$5:$H123,$A$552,$I$5:$I123,$B554,$B$5:$B123,"&lt;=60")-C554</f>
        <v>0</v>
      </c>
      <c r="E554" s="402">
        <f>SUMIFS($O$5:$O123,$H$5:$H123,$A$552,$I$5:$I123,$B554,$B$5:$B123,"&lt;=90")-D554-C554</f>
        <v>0</v>
      </c>
      <c r="F554" s="194">
        <f>SUMIFS($O$5:$O123,$H$5:$H123,$A$552,$I$5:$I123,$B554,$B$5:$B123,"&gt;=91")</f>
        <v>0</v>
      </c>
      <c r="G554" s="195">
        <f t="shared" si="62"/>
        <v>0</v>
      </c>
    </row>
    <row r="555" spans="1:48" ht="14.5" x14ac:dyDescent="0.35">
      <c r="A555" s="235"/>
      <c r="B555" s="397" t="s">
        <v>65</v>
      </c>
      <c r="C555" s="194">
        <f>SUMIFS($O$5:$O78,$H$5:$H78,$A$557,$I$5:$I78,$B555,$B$5:$B78,"&lt;=30")</f>
        <v>0</v>
      </c>
      <c r="D555" s="194">
        <f>SUMIFS($O$5:$O78,$H$5:$H78,$A$557,$I$5:$I78,$B555,$B$5:$B78,"&lt;=60")-C555</f>
        <v>0</v>
      </c>
      <c r="E555" s="194">
        <f>SUMIFS($O$5:$O78,$H$5:$H78,$A$557,$I$5:$I78,$B555,$B$5:$B78,"&lt;=90")-D555-C555</f>
        <v>0</v>
      </c>
      <c r="F555" s="194">
        <f>SUMIFS($O$5:$O78,$H$5:$H78,$A$557,$I$5:$I78,$B555,$B$5:$B78,"&gt;=91")</f>
        <v>0</v>
      </c>
      <c r="G555" s="195">
        <f t="shared" si="62"/>
        <v>0</v>
      </c>
    </row>
    <row r="556" spans="1:48" ht="14.5" x14ac:dyDescent="0.35">
      <c r="A556" s="238"/>
      <c r="B556" s="399" t="s">
        <v>64</v>
      </c>
      <c r="C556" s="194">
        <f>SUMIFS($O$5:$O78,$H$5:$H78,$A$557,$I$5:$I78,$B556,$B$5:$B78,"&lt;=30")</f>
        <v>0</v>
      </c>
      <c r="D556" s="194">
        <f>SUMIFS($O$5:$O78,$H$5:$H78,$A$557,$I$5:$I78,$B556,$B$5:$B78,"&lt;=60")-C556</f>
        <v>0</v>
      </c>
      <c r="E556" s="194">
        <f>SUMIFS($O$5:$O78,$H$5:$H78,$A$557,$I$5:$I78,$B556,$B$5:$B78,"&lt;=90")-D556-C556</f>
        <v>0</v>
      </c>
      <c r="F556" s="194">
        <f>SUMIFS($O$5:$O78,$H$5:$H78,$A$557,$I$5:$I78,$B556,$B$5:$B78,"&gt;=91")</f>
        <v>0</v>
      </c>
      <c r="G556" s="195">
        <f t="shared" si="62"/>
        <v>0</v>
      </c>
    </row>
    <row r="557" spans="1:48" ht="14.5" x14ac:dyDescent="0.35">
      <c r="A557" s="238" t="s">
        <v>230</v>
      </c>
      <c r="B557" s="400" t="s">
        <v>116</v>
      </c>
      <c r="C557" s="194">
        <f ca="1">SUMIFS($O$5:$O78,$H$5:$H78,$A$557,$I$5:$I78,$B557,$B$5:$B78,"&lt;=30")</f>
        <v>0</v>
      </c>
      <c r="D557" s="194">
        <f ca="1">SUMIFS($O$5:$O78,$H$5:$H78,$A$557,$I$5:$I78,$B557,$B$5:$B78,"&lt;=60")-C557</f>
        <v>0</v>
      </c>
      <c r="E557" s="194">
        <f ca="1">SUMIFS($O$5:$O78,$H$5:$H78,$A$557,$I$5:$I78,$B557,$B$5:$B78,"&lt;=90")-D557-C557</f>
        <v>0</v>
      </c>
      <c r="F557" s="194">
        <f ca="1">SUMIFS($O$5:$O78,$H$5:$H78,$A$557,$I$5:$I78,$B557,$B$5:$B78,"&gt;=91")</f>
        <v>9.25</v>
      </c>
      <c r="G557" s="195">
        <f t="shared" ca="1" si="62"/>
        <v>9.25</v>
      </c>
    </row>
    <row r="558" spans="1:48" ht="14.5" x14ac:dyDescent="0.35">
      <c r="A558" s="238"/>
      <c r="B558" s="400" t="s">
        <v>4593</v>
      </c>
      <c r="C558" s="194">
        <f>SUMIFS($O$5:$O78,$H$5:$H78,$A$557,$I$5:$I78,$B558,$B$5:$B78,"&lt;=30")</f>
        <v>0</v>
      </c>
      <c r="D558" s="194">
        <f>SUMIFS($O$5:$O78,$H$5:$H78,$A$557,$I$5:$I78,$B558,$B$5:$B78,"&lt;=60")-C558</f>
        <v>0</v>
      </c>
      <c r="E558" s="194">
        <f>SUMIFS($O$5:$O78,$H$5:$H78,$A$557,$I$5:$I78,$B558,$B$5:$B78,"&lt;=90")-D558-C558</f>
        <v>0</v>
      </c>
      <c r="F558" s="194">
        <f>SUMIFS($O$5:$O78,$H$5:$H78,$A$557,$I$5:$I78,$B558,$B$5:$B78,"&gt;=91")</f>
        <v>0</v>
      </c>
      <c r="G558" s="195">
        <f t="shared" si="62"/>
        <v>0</v>
      </c>
    </row>
    <row r="559" spans="1:48" ht="14.5" x14ac:dyDescent="0.35">
      <c r="A559" s="238"/>
      <c r="B559" s="400" t="s">
        <v>169</v>
      </c>
      <c r="C559" s="194">
        <f>SUMIFS($O$5:$O78,$H$5:$H78,$A$557,$I$5:$I78,$B559,$B$5:$B78,"&lt;=30")</f>
        <v>0</v>
      </c>
      <c r="D559" s="194">
        <f>SUMIFS($O$5:$O78,$H$5:$H78,$A$557,$I$5:$I78,$B559,$B$5:$B78,"&lt;=60")-C559</f>
        <v>0</v>
      </c>
      <c r="E559" s="194">
        <f>SUMIFS($O$5:$O78,$H$5:$H78,$A$557,$I$5:$I78,$B559,$B$5:$B78,"&lt;=90")-D559-C559</f>
        <v>0</v>
      </c>
      <c r="F559" s="194">
        <f>SUMIFS($O$5:$O78,$H$5:$H78,$A$557,$I$5:$I78,$B559,$B$5:$B78,"&gt;=91")</f>
        <v>0</v>
      </c>
      <c r="G559" s="195">
        <f t="shared" si="62"/>
        <v>0</v>
      </c>
    </row>
    <row r="560" spans="1:48" s="302" customFormat="1" ht="16.5" customHeight="1" x14ac:dyDescent="0.35">
      <c r="A560" s="239"/>
      <c r="B560" s="397" t="s">
        <v>65</v>
      </c>
      <c r="C560" s="194">
        <f>SUMIFS($O$5:$O78,$H$5:$H78,$A$562,$I$5:$I78,$B560,$B$5:$B78,"&lt;=30")</f>
        <v>0</v>
      </c>
      <c r="D560" s="194">
        <f>SUMIFS($O$5:$O78,$H$5:$H78,$A$562,$I$5:$I78,$B560,$B$5:$B78,"&lt;=60")-C560</f>
        <v>0</v>
      </c>
      <c r="E560" s="194">
        <f>SUMIFS($O$5:$O78,$H$5:$H78,$A$562,$I$5:$I78,$B560,$B$5:$B78,"&lt;=90")-D560-C560</f>
        <v>0</v>
      </c>
      <c r="F560" s="194">
        <f>SUMIFS($O$5:$O78,$H$5:$H78,$A$562,$I$5:$I78,$B560,$B$5:$B78,"&gt;=91")</f>
        <v>0</v>
      </c>
      <c r="G560" s="195">
        <f t="shared" si="62"/>
        <v>0</v>
      </c>
      <c r="J560" s="321"/>
      <c r="K560" s="321"/>
      <c r="L560" s="321"/>
      <c r="M560" s="321"/>
      <c r="N560" s="319"/>
      <c r="O560" s="388"/>
      <c r="P560" s="323"/>
      <c r="Q560" s="327"/>
      <c r="R560" s="327"/>
      <c r="S560" s="326"/>
      <c r="T560" s="304"/>
      <c r="U560" s="389"/>
      <c r="V560" s="389"/>
      <c r="W560" s="389"/>
      <c r="X560" s="385"/>
      <c r="Y560" s="385"/>
      <c r="Z560" s="385"/>
      <c r="AA560" s="385"/>
      <c r="AB560" s="385"/>
      <c r="AC560" s="390"/>
      <c r="AG560" s="320"/>
      <c r="AH560" s="320"/>
      <c r="AI560" s="320"/>
      <c r="AJ560" s="320"/>
      <c r="AK560" s="320"/>
      <c r="AL560" s="320"/>
      <c r="AO560" s="305"/>
      <c r="AP560" s="305"/>
      <c r="AQ560" s="305"/>
      <c r="AR560" s="305"/>
    </row>
    <row r="561" spans="1:47" ht="14.5" x14ac:dyDescent="0.35">
      <c r="A561" s="240"/>
      <c r="B561" s="399" t="s">
        <v>64</v>
      </c>
      <c r="C561" s="194">
        <f>SUMIFS($O$5:$O78,$H$5:$H78,$A$562,$I$5:$I78,$B561,$B$5:$B78,"&lt;=30")</f>
        <v>0</v>
      </c>
      <c r="D561" s="194">
        <f>SUMIFS($O$5:$O78,$H$5:$H78,$A$562,$I$5:$I78,$B561,$B$5:$B78,"&lt;=60")-C561</f>
        <v>0</v>
      </c>
      <c r="E561" s="194">
        <f>SUMIFS($O$5:$O78,$H$5:$H78,$A$562,$I$5:$I78,$B561,$B$5:$B78,"&lt;=90")-D561-C561</f>
        <v>0</v>
      </c>
      <c r="F561" s="194">
        <f>SUMIFS($O$5:$O78,$H$5:$H78,$A$562,$I$5:$I78,$B561,$B$5:$B78,"&gt;=91")</f>
        <v>0</v>
      </c>
      <c r="G561" s="195">
        <f t="shared" si="62"/>
        <v>0</v>
      </c>
    </row>
    <row r="562" spans="1:47" ht="14.5" x14ac:dyDescent="0.35">
      <c r="A562" s="240" t="s">
        <v>148</v>
      </c>
      <c r="B562" s="400" t="s">
        <v>116</v>
      </c>
      <c r="C562" s="194">
        <f>SUMIFS($O$5:$O78,$H$5:$H78,$A$562,$I$5:$I78,$B562,$B$5:$B78,"&lt;=30")</f>
        <v>0</v>
      </c>
      <c r="D562" s="194">
        <f>SUMIFS($O$5:$O78,$H$5:$H78,$A$562,$I$5:$I78,$B562,$B$5:$B78,"&lt;=60")-C562</f>
        <v>0</v>
      </c>
      <c r="E562" s="194">
        <f>SUMIFS($O$5:$O78,$H$5:$H78,$A$562,$I$5:$I78,$B562,$B$5:$B78,"&lt;=90")-D562-C562</f>
        <v>0</v>
      </c>
      <c r="F562" s="194">
        <f>SUMIFS($O$5:$O78,$H$5:$H78,$A$562,$I$5:$I78,$B562,$B$5:$B78,"&gt;=91")</f>
        <v>0</v>
      </c>
      <c r="G562" s="195">
        <f t="shared" si="62"/>
        <v>0</v>
      </c>
      <c r="O562" s="305"/>
    </row>
    <row r="563" spans="1:47" ht="14.5" x14ac:dyDescent="0.35">
      <c r="A563" s="240"/>
      <c r="B563" s="400" t="s">
        <v>4593</v>
      </c>
      <c r="C563" s="194">
        <f>SUMIFS($O$5:$O78,$H$5:$H78,$A$562,$I$5:$I78,$B563,$B$5:$B78,"&lt;=30")</f>
        <v>0</v>
      </c>
      <c r="D563" s="194">
        <f>SUMIFS($O$5:$O78,$H$5:$H78,$A$562,$I$5:$I78,$B563,$B$5:$B78,"&lt;=60")-C563</f>
        <v>0</v>
      </c>
      <c r="E563" s="194">
        <f>SUMIFS($O$5:$O78,$H$5:$H78,$A$562,$I$5:$I78,$B563,$B$5:$B78,"&lt;=90")-D563-C563</f>
        <v>0</v>
      </c>
      <c r="F563" s="194">
        <f>SUMIFS($O$5:$O78,$H$5:$H78,$A$562,$I$5:$I78,$B563,$B$5:$B78,"&gt;=91")</f>
        <v>0</v>
      </c>
      <c r="G563" s="195">
        <f t="shared" si="62"/>
        <v>0</v>
      </c>
      <c r="O563" s="305"/>
    </row>
    <row r="564" spans="1:47" ht="14.5" x14ac:dyDescent="0.35">
      <c r="A564" s="240"/>
      <c r="B564" s="400" t="s">
        <v>169</v>
      </c>
      <c r="C564" s="194">
        <f>SUMIFS($O$5:$O78,$H$5:$H78,$A$562,$I$5:$I78,$B564,$B$5:$B78,"&lt;=30")</f>
        <v>0</v>
      </c>
      <c r="D564" s="194">
        <f>SUMIFS($O$5:$O78,$H$5:$H78,$A$562,$I$5:$I78,$B564,$B$5:$B78,"&lt;=60")-C564</f>
        <v>0</v>
      </c>
      <c r="E564" s="194">
        <f>SUMIFS($O$5:$O78,$H$5:$H78,$A$562,$I$5:$I78,$B564,$B$5:$B78,"&lt;=90")-D564-C564</f>
        <v>0</v>
      </c>
      <c r="F564" s="194">
        <f>SUMIFS($O$5:$O78,$H$5:$H78,$A$562,$I$5:$I78,$B564,$B$5:$B78,"&gt;=91")</f>
        <v>0</v>
      </c>
      <c r="G564" s="195">
        <f t="shared" si="62"/>
        <v>0</v>
      </c>
      <c r="O564" s="305"/>
    </row>
    <row r="565" spans="1:47" s="302" customFormat="1" ht="16.5" customHeight="1" x14ac:dyDescent="0.35">
      <c r="A565" s="242"/>
      <c r="B565" s="397" t="s">
        <v>65</v>
      </c>
      <c r="C565" s="194">
        <f>SUMIFS($O$5:$O78,$H$5:$H78,$A$567,$I$5:$I78,$B565,$B$5:$B78,"&lt;=30")</f>
        <v>0</v>
      </c>
      <c r="D565" s="194">
        <f>SUMIFS($O$5:$O78,$H$5:$H78,$A$567,$I$5:$I78,$B565,$B$5:$B78,"&lt;=60")-C565</f>
        <v>0</v>
      </c>
      <c r="E565" s="194">
        <f>SUMIFS($O$5:$O78,$H$5:$H78,$A$567,$I$5:$I78,$B565,$B$5:$B78,"&lt;=90")-D565-C565</f>
        <v>0</v>
      </c>
      <c r="F565" s="194">
        <f>SUMIFS($O$5:$O78,$H$5:$H78,$A$567,$I$5:$I78,$B565,$B$5:$B78,"&gt;=91")</f>
        <v>0</v>
      </c>
      <c r="G565" s="195">
        <f t="shared" si="62"/>
        <v>0</v>
      </c>
      <c r="J565" s="321"/>
      <c r="K565" s="321"/>
      <c r="L565" s="321"/>
      <c r="M565" s="321"/>
      <c r="N565" s="319"/>
      <c r="O565" s="382"/>
      <c r="P565" s="323"/>
      <c r="Q565" s="327"/>
      <c r="R565" s="327"/>
      <c r="S565" s="326"/>
      <c r="T565" s="304"/>
      <c r="U565" s="389"/>
      <c r="V565" s="389"/>
      <c r="W565" s="389"/>
      <c r="X565" s="385"/>
      <c r="Y565" s="385"/>
      <c r="Z565" s="385"/>
      <c r="AA565" s="385"/>
      <c r="AB565" s="385"/>
      <c r="AC565" s="390"/>
      <c r="AG565" s="320"/>
      <c r="AH565" s="320"/>
      <c r="AI565" s="320"/>
      <c r="AJ565" s="320"/>
      <c r="AK565" s="320"/>
      <c r="AL565" s="320"/>
      <c r="AO565" s="305"/>
      <c r="AP565" s="305"/>
      <c r="AQ565" s="305"/>
      <c r="AR565" s="305"/>
    </row>
    <row r="566" spans="1:47" ht="14.5" x14ac:dyDescent="0.35">
      <c r="A566" s="243"/>
      <c r="B566" s="399" t="s">
        <v>64</v>
      </c>
      <c r="C566" s="194">
        <f>SUMIFS($O$5:$O78,$H$5:$H78,$A$567,$I$5:$I78,$B566,$B$5:$B78,"&lt;=30")</f>
        <v>0</v>
      </c>
      <c r="D566" s="194">
        <f>SUMIFS($O$5:$O78,$H$5:$H78,$A$567,$I$5:$I78,$B566,$B$5:$B78,"&lt;=60")-C566</f>
        <v>0</v>
      </c>
      <c r="E566" s="194">
        <f>SUMIFS($O$5:$O78,$H$5:$H78,$A$567,$I$5:$I78,$B566,$B$5:$B78,"&lt;=90")-D566-C566</f>
        <v>0</v>
      </c>
      <c r="F566" s="194">
        <f>SUMIFS($O$5:$O78,$H$5:$H78,$A$567,$I$5:$I78,$B566,$B$5:$B78,"&gt;=91")</f>
        <v>0</v>
      </c>
      <c r="G566" s="195">
        <f t="shared" si="62"/>
        <v>0</v>
      </c>
    </row>
    <row r="567" spans="1:47" ht="14.5" x14ac:dyDescent="0.35">
      <c r="A567" s="243">
        <v>430</v>
      </c>
      <c r="B567" s="400" t="s">
        <v>116</v>
      </c>
      <c r="C567" s="194">
        <f>SUMIFS($O$5:$O78,$H$5:$H78,$A$567,$I$5:$I78,$B567,$B$5:$B78,"&lt;=30")</f>
        <v>0</v>
      </c>
      <c r="D567" s="194">
        <f>SUMIFS($O$5:$O78,$H$5:$H78,$A$567,$I$5:$I78,$B567,$B$5:$B78,"&lt;=60")-C567</f>
        <v>0</v>
      </c>
      <c r="E567" s="194">
        <f>SUMIFS($O$5:$O78,$H$5:$H78,$A$567,$I$5:$I78,$B567,$B$5:$B78,"&lt;=90")-D567-C567</f>
        <v>0</v>
      </c>
      <c r="F567" s="194">
        <f>SUMIFS($O$5:$O78,$H$5:$H78,$A$567,$I$5:$I78,$B567,$B$5:$B78,"&gt;=91")</f>
        <v>0</v>
      </c>
      <c r="G567" s="195">
        <f t="shared" si="62"/>
        <v>0</v>
      </c>
    </row>
    <row r="568" spans="1:47" ht="14.5" x14ac:dyDescent="0.35">
      <c r="A568" s="243"/>
      <c r="B568" s="400" t="s">
        <v>4593</v>
      </c>
      <c r="C568" s="194">
        <f>SUMIFS($O$5:$O78,$H$5:$H78,$A$567,$I$5:$I78,$B568,$B$5:$B78,"&lt;=30")</f>
        <v>0</v>
      </c>
      <c r="D568" s="194">
        <f>SUMIFS($O$5:$O78,$H$5:$H78,$A$567,$I$5:$I78,$B568,$B$5:$B78,"&lt;=60")-C568</f>
        <v>0</v>
      </c>
      <c r="E568" s="194">
        <f>SUMIFS($O$5:$O78,$H$5:$H78,$A$567,$I$5:$I78,$B568,$B$5:$B78,"&lt;=90")-D568-C568</f>
        <v>0</v>
      </c>
      <c r="F568" s="194">
        <f>SUMIFS($O$5:$O78,$H$5:$H78,$A$567,$I$5:$I78,$B568,$B$5:$B78,"&gt;=91")</f>
        <v>0</v>
      </c>
      <c r="G568" s="195">
        <f t="shared" si="62"/>
        <v>0</v>
      </c>
    </row>
    <row r="569" spans="1:47" ht="14.5" x14ac:dyDescent="0.35">
      <c r="A569" s="243"/>
      <c r="B569" s="400" t="s">
        <v>169</v>
      </c>
      <c r="C569" s="194">
        <f>SUMIFS($O$5:$O78,$H$5:$H78,$A$567,$I$5:$I78,$B569,$B$5:$B78,"&lt;=30")</f>
        <v>0</v>
      </c>
      <c r="D569" s="194">
        <f>SUMIFS($O$5:$O78,$H$5:$H78,$A$567,$I$5:$I78,$B569,$B$5:$B78,"&lt;=60")-C569</f>
        <v>0</v>
      </c>
      <c r="E569" s="194">
        <f>SUMIFS($O$5:$O78,$H$5:$H78,$A$567,$I$5:$I78,$B569,$B$5:$B78,"&lt;=90")-D569-C569</f>
        <v>0</v>
      </c>
      <c r="F569" s="194">
        <f>SUMIFS($O$5:$O78,$H$5:$H78,$A$567,$I$5:$I78,$B569,$B$5:$B78,"&gt;=91")</f>
        <v>0</v>
      </c>
      <c r="G569" s="195">
        <f t="shared" si="62"/>
        <v>0</v>
      </c>
    </row>
    <row r="570" spans="1:47" ht="16.5" customHeight="1" x14ac:dyDescent="0.35">
      <c r="A570" s="244"/>
      <c r="B570" s="405" t="s">
        <v>65</v>
      </c>
      <c r="C570" s="194">
        <f>SUMIFS($O$5:$O78,$H$5:$H78,$A$572,$I$5:$I78,$B570,$B$5:$B78,"&lt;=30")</f>
        <v>0</v>
      </c>
      <c r="D570" s="194">
        <f>SUMIFS($O$5:$O78,$H$5:$H78,$A$572,$I$5:$I78,$B570,$B$5:$B78,"&lt;=60")-C570</f>
        <v>0</v>
      </c>
      <c r="E570" s="194">
        <f>SUMIFS($O$5:$O78,$H$5:$H78,$A$572,$I$5:$I78,$B570,$B$5:$B78,"&lt;=90")-D570-C570</f>
        <v>0</v>
      </c>
      <c r="F570" s="194">
        <f>SUMIFS($O$5:$O78,$H$5:$H78,$A$572,$I$5:$I78,$B570,$B$5:$B78,"&gt;=91")</f>
        <v>0</v>
      </c>
      <c r="G570" s="195">
        <f t="shared" si="62"/>
        <v>0</v>
      </c>
    </row>
    <row r="571" spans="1:47" s="274" customFormat="1" ht="16.5" customHeight="1" x14ac:dyDescent="0.35">
      <c r="A571" s="245"/>
      <c r="B571" s="406" t="s">
        <v>64</v>
      </c>
      <c r="C571" s="194">
        <f>SUMIFS($O$5:$O78,$H$5:$H78,$A$572,$I$5:$I78,$B571,$B$5:$B78,"&lt;=30")</f>
        <v>0</v>
      </c>
      <c r="D571" s="194">
        <f>SUMIFS($O$5:$O78,$H$5:$H78,$A$572,$I$5:$I78,$B571,$B$5:$B78,"&lt;=60")-C571</f>
        <v>0</v>
      </c>
      <c r="E571" s="194">
        <f>SUMIFS($O$5:$O78,$H$5:$H78,$A$572,$I$5:$I78,$B571,$B$5:$B78,"&lt;=90")-D571-C571</f>
        <v>0</v>
      </c>
      <c r="F571" s="194">
        <f>SUMIFS($O$5:$O78,$H$5:$H78,$A$572,$I$5:$I78,$B571,$B$5:$B78,"&gt;=91")</f>
        <v>0</v>
      </c>
      <c r="G571" s="195">
        <f t="shared" si="62"/>
        <v>0</v>
      </c>
      <c r="H571" s="260"/>
      <c r="I571" s="260"/>
      <c r="K571" s="304"/>
      <c r="L571" s="304"/>
      <c r="M571" s="304"/>
      <c r="N571" s="275"/>
      <c r="O571" s="276"/>
      <c r="P571" s="276"/>
      <c r="Q571" s="276"/>
      <c r="R571" s="276"/>
      <c r="S571" s="276"/>
      <c r="T571" s="304"/>
      <c r="Y571" s="401"/>
      <c r="AE571" s="260"/>
      <c r="AF571" s="260"/>
      <c r="AG571" s="260"/>
      <c r="AH571" s="260"/>
      <c r="AI571" s="260"/>
      <c r="AJ571" s="260"/>
      <c r="AK571" s="260"/>
      <c r="AL571" s="260"/>
      <c r="AM571" s="260"/>
      <c r="AN571" s="260"/>
      <c r="AO571" s="305"/>
      <c r="AP571" s="305"/>
      <c r="AQ571" s="305"/>
      <c r="AT571" s="260"/>
      <c r="AU571" s="260"/>
    </row>
    <row r="572" spans="1:47" ht="14.5" x14ac:dyDescent="0.35">
      <c r="A572" s="245" t="s">
        <v>2538</v>
      </c>
      <c r="B572" s="407" t="s">
        <v>116</v>
      </c>
      <c r="C572" s="194">
        <f>SUMIFS($O$5:$O78,$H$5:$H78,$A$572,$I$5:$I78,$B572,$B$5:$B78,"&lt;=30")</f>
        <v>0</v>
      </c>
      <c r="D572" s="194">
        <f>SUMIFS($O$5:$O78,$H$5:$H78,$A$572,$I$5:$I78,$B572,$B$5:$B78,"&lt;=60")-C572</f>
        <v>0</v>
      </c>
      <c r="E572" s="194">
        <f>SUMIFS($O$5:$O78,$H$5:$H78,$A$572,$I$5:$I78,$B572,$B$5:$B78,"&lt;=90")-D572-C572</f>
        <v>0</v>
      </c>
      <c r="F572" s="194">
        <f>SUMIFS($O$5:$O78,$H$5:$H78,$A$572,$I$5:$I78,$B572,$B$5:$B78,"&gt;=91")</f>
        <v>0</v>
      </c>
      <c r="G572" s="195">
        <f t="shared" si="62"/>
        <v>0</v>
      </c>
    </row>
    <row r="573" spans="1:47" ht="14.5" x14ac:dyDescent="0.35">
      <c r="A573" s="245"/>
      <c r="B573" s="407" t="s">
        <v>4593</v>
      </c>
      <c r="C573" s="194">
        <f>SUMIFS($O$5:$O78,$H$5:$H78,$A$572,$I$5:$I78,$B573,$B$5:$B78,"&lt;=30")</f>
        <v>0</v>
      </c>
      <c r="D573" s="194">
        <f>SUMIFS($O$5:$O78,$H$5:$H78,$A$572,$I$5:$I78,$B573,$B$5:$B78,"&lt;=60")-C573</f>
        <v>0</v>
      </c>
      <c r="E573" s="194">
        <f>SUMIFS($O$5:$O78,$H$5:$H78,$A$572,$I$5:$I78,$B573,$B$5:$B78,"&lt;=90")-D573-C573</f>
        <v>0</v>
      </c>
      <c r="F573" s="194">
        <f>SUMIFS($O$5:$O78,$H$5:$H78,$A$572,$I$5:$I78,$B573,$B$5:$B78,"&gt;=91")</f>
        <v>0</v>
      </c>
      <c r="G573" s="195">
        <f t="shared" si="62"/>
        <v>0</v>
      </c>
    </row>
    <row r="574" spans="1:47" ht="14.5" x14ac:dyDescent="0.35">
      <c r="A574" s="246"/>
      <c r="B574" s="407" t="s">
        <v>169</v>
      </c>
      <c r="C574" s="194">
        <f>SUMIFS($O$5:$O78,$H$5:$H78,$A$572,$I$5:$I78,$B574,$B$5:$B78,"&lt;=30")</f>
        <v>0</v>
      </c>
      <c r="D574" s="194">
        <f>SUMIFS($O$5:$O78,$H$5:$H78,$A$572,$I$5:$I78,$B574,$B$5:$B78,"&lt;=60")-C574</f>
        <v>0</v>
      </c>
      <c r="E574" s="194">
        <f>SUMIFS($O$5:$O78,$H$5:$H78,$A$572,$I$5:$I78,$B574,$B$5:$B78,"&lt;=90")-D574-C574</f>
        <v>0</v>
      </c>
      <c r="F574" s="194">
        <f>SUMIFS($O$5:$O78,$H$5:$H78,$A$572,$I$5:$I78,$B574,$B$5:$B78,"&gt;=91")</f>
        <v>0</v>
      </c>
      <c r="G574" s="195">
        <f t="shared" si="62"/>
        <v>0</v>
      </c>
    </row>
    <row r="575" spans="1:47" ht="14.5" x14ac:dyDescent="0.35">
      <c r="A575" s="408"/>
      <c r="B575" s="405" t="s">
        <v>65</v>
      </c>
      <c r="C575" s="194">
        <f>SUMIFS($O$5:$O78,$H$5:$H78,$A$577,$I$5:$I78,$B575,$B$5:$B78,"&lt;=30")</f>
        <v>0</v>
      </c>
      <c r="D575" s="194">
        <f>SUMIFS($O$5:$O78,$H$5:$H78,$A$577,$I$5:$I78,$B575,$B$5:$B78,"&lt;=60")-C575</f>
        <v>0</v>
      </c>
      <c r="E575" s="194">
        <f>SUMIFS($O$5:$O78,$H$5:$H78,$A$577,$I$5:$I78,$B575,$B$5:$B78,"&lt;=90")-D575-C575</f>
        <v>0</v>
      </c>
      <c r="F575" s="194">
        <f>SUMIFS($O$5:$O78,$H$5:$H78,$A$577,$I$5:$I78,$B575,$B$5:$B78,"&gt;=91")</f>
        <v>0</v>
      </c>
      <c r="G575" s="195">
        <f t="shared" si="62"/>
        <v>0</v>
      </c>
    </row>
    <row r="576" spans="1:47" ht="14.5" x14ac:dyDescent="0.35">
      <c r="A576" s="398"/>
      <c r="B576" s="406" t="s">
        <v>64</v>
      </c>
      <c r="C576" s="194">
        <f>SUMIFS($O$5:$O78,$H$5:$H78,$A$577,$I$5:$I78,$B576,$B$5:$B78,"&lt;=30")</f>
        <v>0</v>
      </c>
      <c r="D576" s="194">
        <f>SUMIFS($O$5:$O78,$H$5:$H78,$A$577,$I$5:$I78,$B576,$B$5:$B78,"&lt;=60")-C576</f>
        <v>0</v>
      </c>
      <c r="E576" s="194">
        <f>SUMIFS($O$5:$O78,$H$5:$H78,$A$577,$I$5:$I78,$B576,$B$5:$B78,"&lt;=90")-D576-C576</f>
        <v>0</v>
      </c>
      <c r="F576" s="194">
        <f>SUMIFS($O$5:$O78,$H$5:$H78,$A$577,$I$5:$I78,$B576,$B$5:$B78,"&gt;=91")</f>
        <v>0</v>
      </c>
      <c r="G576" s="195">
        <f t="shared" si="62"/>
        <v>0</v>
      </c>
    </row>
    <row r="577" spans="1:47" ht="14.5" x14ac:dyDescent="0.35">
      <c r="A577" s="398" t="s">
        <v>33</v>
      </c>
      <c r="B577" s="407" t="s">
        <v>116</v>
      </c>
      <c r="C577" s="194">
        <f>SUMIFS($O$5:$O78,$H$5:$H78,$A$577,$I$5:$I78,$B577,$B$5:$B78,"&lt;=30")</f>
        <v>0</v>
      </c>
      <c r="D577" s="194">
        <f>SUMIFS($O$5:$O78,$H$5:$H78,$A$577,$I$5:$I78,$B577,$B$5:$B78,"&lt;=60")-C577</f>
        <v>0</v>
      </c>
      <c r="E577" s="194">
        <f>SUMIFS($O$5:$O78,$H$5:$H78,$A$577,$I$5:$I78,$B577,$B$5:$B78,"&lt;=90")-D577-C577</f>
        <v>0</v>
      </c>
      <c r="F577" s="194">
        <f>SUMIFS($O$5:$O78,$H$5:$H78,$A$577,$I$5:$I78,$B577,$B$5:$B78,"&gt;=91")</f>
        <v>0</v>
      </c>
      <c r="G577" s="195">
        <f t="shared" si="62"/>
        <v>0</v>
      </c>
    </row>
    <row r="578" spans="1:47" ht="14.5" x14ac:dyDescent="0.35">
      <c r="A578" s="398"/>
      <c r="B578" s="407" t="s">
        <v>4593</v>
      </c>
      <c r="C578" s="194">
        <f>SUMIFS($O$5:$O123,$H$5:$H123,$A$577,$I$5:$I123,$B578,$B$5:$B123,"&lt;=30")</f>
        <v>0</v>
      </c>
      <c r="D578" s="194">
        <f>SUMIFS($O$5:$O123,$H$5:$H123,$A$577,$I$5:$I123,$B578,$B$5:$B123,"&lt;=60")-C578</f>
        <v>0</v>
      </c>
      <c r="E578" s="194">
        <f>SUMIFS($O$5:$O123,$H$5:$H123,$A$577,$I$5:$I123,$B578,$B$5:$B123,"&lt;=90")-D578-C578</f>
        <v>0</v>
      </c>
      <c r="F578" s="194">
        <f>SUMIFS($O$5:$O123,$H$5:$H123,$A$577,$I$5:$I123,$B578,$B$5:$B123,"&gt;=91")</f>
        <v>0</v>
      </c>
      <c r="G578" s="195">
        <f t="shared" si="62"/>
        <v>0</v>
      </c>
    </row>
    <row r="579" spans="1:47" ht="14.5" x14ac:dyDescent="0.35">
      <c r="A579" s="409"/>
      <c r="B579" s="407" t="s">
        <v>169</v>
      </c>
      <c r="C579" s="194">
        <f>SUMIFS($O$5:$O123,$H$5:$H123,$A$577,$I$5:$I123,$B579,$B$5:$B123,"&lt;=30")</f>
        <v>0</v>
      </c>
      <c r="D579" s="194">
        <f>SUMIFS($O$5:$O123,$H$5:$H123,$A$577,$I$5:$I123,$B579,$B$5:$B123,"&lt;=60")-C579</f>
        <v>0</v>
      </c>
      <c r="E579" s="194">
        <f>SUMIFS($O$5:$O123,$H$5:$H123,$A$577,$I$5:$I123,$B579,$B$5:$B123,"&lt;=90")-D579-C579</f>
        <v>0</v>
      </c>
      <c r="F579" s="194">
        <f>SUMIFS($O$5:$O123,$H$5:$H123,$A$577,$I$5:$I123,$B579,$B$5:$B123,"&gt;=91")</f>
        <v>0</v>
      </c>
      <c r="G579" s="195">
        <f t="shared" si="62"/>
        <v>0</v>
      </c>
    </row>
    <row r="580" spans="1:47" ht="16.5" customHeight="1" x14ac:dyDescent="0.35">
      <c r="A580" s="249"/>
      <c r="B580" s="405" t="s">
        <v>65</v>
      </c>
      <c r="C580" s="194">
        <f>SUMIFS($O$5:$O81,$H$5:$H81,$A$582,$I$5:$I81,$B580,$B$5:$B81,"&lt;=30")</f>
        <v>0</v>
      </c>
      <c r="D580" s="402">
        <f>SUMIFS($O$5:$O81,$H$5:$H81,$A$582,$I$5:$I81,$B580,$B$5:$B81,"&lt;=60")-C580</f>
        <v>0</v>
      </c>
      <c r="E580" s="402">
        <f>SUMIFS($O$5:$O81,$H$5:$H81,$A$582,$I$5:$I81,$B580,$B$5:$B81,"&lt;=90")-D580-C580</f>
        <v>0</v>
      </c>
      <c r="F580" s="194">
        <f>SUMIFS($O$5:$O81,$H$5:$H81,$A$582,$I$5:$I81,$B580,$B$5:$B81,"&gt;=91")</f>
        <v>0</v>
      </c>
      <c r="G580" s="195">
        <f t="shared" si="62"/>
        <v>0</v>
      </c>
    </row>
    <row r="581" spans="1:47" s="274" customFormat="1" ht="16.5" customHeight="1" x14ac:dyDescent="0.35">
      <c r="A581" s="253"/>
      <c r="B581" s="406" t="s">
        <v>64</v>
      </c>
      <c r="C581" s="194">
        <f>SUMIFS($O$5:$O81,$H$5:$H81,$A$582,$I$5:$I81,$B581,$B$5:$B81,"&lt;=30")</f>
        <v>0</v>
      </c>
      <c r="D581" s="402">
        <f>SUMIFS($O$5:$O81,$H$5:$H81,$A$582,$I$5:$I81,$B581,$B$5:$B81,"&lt;=60")-C581</f>
        <v>0</v>
      </c>
      <c r="E581" s="402">
        <f>SUMIFS($O$5:$O81,$H$5:$H81,$A$582,$I$5:$I81,$B581,$B$5:$B81,"&lt;=90")-D581-C581</f>
        <v>0</v>
      </c>
      <c r="F581" s="194">
        <f>SUMIFS($O$5:$O81,$H$5:$H81,$A$582,$I$5:$I81,$B581,$B$5:$B81,"&gt;=91")</f>
        <v>0</v>
      </c>
      <c r="G581" s="195">
        <f t="shared" si="62"/>
        <v>0</v>
      </c>
      <c r="H581" s="260"/>
      <c r="I581" s="260"/>
      <c r="K581" s="304"/>
      <c r="L581" s="304"/>
      <c r="M581" s="304"/>
      <c r="N581" s="275"/>
      <c r="O581" s="276"/>
      <c r="P581" s="276"/>
      <c r="Q581" s="276"/>
      <c r="R581" s="276"/>
      <c r="S581" s="276"/>
      <c r="T581" s="304"/>
      <c r="Y581" s="401"/>
      <c r="AE581" s="260"/>
      <c r="AF581" s="260"/>
      <c r="AG581" s="260"/>
      <c r="AH581" s="260"/>
      <c r="AI581" s="260"/>
      <c r="AJ581" s="260"/>
      <c r="AK581" s="260"/>
      <c r="AL581" s="260"/>
      <c r="AM581" s="260"/>
      <c r="AN581" s="260"/>
      <c r="AO581" s="305"/>
      <c r="AP581" s="305"/>
      <c r="AQ581" s="305"/>
      <c r="AT581" s="260"/>
      <c r="AU581" s="260"/>
    </row>
    <row r="582" spans="1:47" ht="14.5" x14ac:dyDescent="0.35">
      <c r="A582" s="253">
        <v>410</v>
      </c>
      <c r="B582" s="407" t="s">
        <v>116</v>
      </c>
      <c r="C582" s="194">
        <f>SUMIFS($O$5:$O81,$H$5:$H81,$A$582,$I$5:$I81,$B582,$B$5:$B81,"&lt;=30")</f>
        <v>0</v>
      </c>
      <c r="D582" s="402">
        <f>SUMIFS($O$5:$O81,$H$5:$H81,$A$582,$I$5:$I81,$B582,$B$5:$B81,"&lt;=60")-C582</f>
        <v>0</v>
      </c>
      <c r="E582" s="402">
        <f>SUMIFS($O$5:$O81,$H$5:$H81,$A$582,$I$5:$I81,$B582,$B$5:$B81,"&lt;=90")-D582-C582</f>
        <v>0</v>
      </c>
      <c r="F582" s="194">
        <f>SUMIFS($O$5:$O81,$H$5:$H81,$A$582,$I$5:$I81,$B582,$B$5:$B81,"&gt;=91")</f>
        <v>0</v>
      </c>
      <c r="G582" s="195">
        <f t="shared" si="62"/>
        <v>0</v>
      </c>
    </row>
    <row r="583" spans="1:47" ht="14.5" x14ac:dyDescent="0.35">
      <c r="A583" s="253"/>
      <c r="B583" s="407" t="s">
        <v>4593</v>
      </c>
      <c r="C583" s="194">
        <f>SUMIFS($O$5:$O81,$H$5:$H81,$A$582,$I$5:$I81,$B583,$B$5:$B81,"&lt;=30")</f>
        <v>0</v>
      </c>
      <c r="D583" s="402">
        <f>SUMIFS($O$5:$O81,$H$5:$H81,$A$582,$I$5:$I81,$B583,$B$5:$B81,"&lt;=60")-C583</f>
        <v>0</v>
      </c>
      <c r="E583" s="402">
        <f>SUMIFS($O$5:$O81,$H$5:$H81,$A$582,$I$5:$I81,$B583,$B$5:$B81,"&lt;=90")-D583-C583</f>
        <v>0</v>
      </c>
      <c r="F583" s="194">
        <f>SUMIFS($O$5:$O81,$H$5:$H81,$A$582,$I$5:$I81,$B583,$B$5:$B81,"&gt;=91")</f>
        <v>0</v>
      </c>
      <c r="G583" s="195">
        <f t="shared" si="62"/>
        <v>0</v>
      </c>
    </row>
    <row r="584" spans="1:47" ht="14.5" x14ac:dyDescent="0.35">
      <c r="A584" s="254"/>
      <c r="B584" s="407" t="s">
        <v>169</v>
      </c>
      <c r="C584" s="194">
        <f>SUMIFS($O$5:$O81,$H$5:$H81,$A$582,$I$5:$I81,$B584,$B$5:$B81,"&lt;=30")</f>
        <v>0</v>
      </c>
      <c r="D584" s="402">
        <f>SUMIFS($O$5:$O81,$H$5:$H81,$A$582,$I$5:$I81,$B584,$B$5:$B81,"&lt;=60")-C584</f>
        <v>0</v>
      </c>
      <c r="E584" s="402">
        <f>SUMIFS($O$5:$O81,$H$5:$H81,$A$582,$I$5:$I81,$B584,$B$5:$B81,"&lt;=90")-D584-C584</f>
        <v>0</v>
      </c>
      <c r="F584" s="194">
        <f>SUMIFS($O$5:$O81,$H$5:$H81,$A$582,$I$5:$I81,$B584,$B$5:$B81,"&gt;=91")</f>
        <v>0</v>
      </c>
      <c r="G584" s="195">
        <f t="shared" ref="G584:G590" si="63">SUM(C584:F584)</f>
        <v>0</v>
      </c>
    </row>
    <row r="585" spans="1:47" ht="14.5" x14ac:dyDescent="0.35">
      <c r="A585" s="410"/>
      <c r="B585" s="405" t="s">
        <v>65</v>
      </c>
      <c r="C585" s="194">
        <f>SUMIFS($O$5:$O81,$H$5:$H81,$A$587,$I$5:$I81,$B585,$B$5:$B81,"&lt;=30")</f>
        <v>0</v>
      </c>
      <c r="D585" s="402">
        <f>SUMIFS($O$5:$O81,$H$5:$H81,$A$587,$I$5:$I81,$B585,$B$5:$B81,"&lt;=60")-C585</f>
        <v>0</v>
      </c>
      <c r="E585" s="402">
        <f>SUMIFS($O$5:$O81,$H$5:$H81,$A$587,$I$5:$I81,$B585,$B$5:$B81,"&lt;=90")-D585-C585</f>
        <v>0</v>
      </c>
      <c r="F585" s="194">
        <f>SUMIFS($O$5:$O81,$H$5:$H81,$A$587,$I$5:$I81,$B585,$B$5:$B81,"&gt;=91")</f>
        <v>0</v>
      </c>
      <c r="G585" s="195">
        <f t="shared" si="63"/>
        <v>0</v>
      </c>
    </row>
    <row r="586" spans="1:47" ht="14.5" x14ac:dyDescent="0.35">
      <c r="A586" s="411"/>
      <c r="B586" s="406" t="s">
        <v>64</v>
      </c>
      <c r="C586" s="194">
        <f>SUMIFS($O$5:$O81,$H$5:$H81,$A$587,$I$5:$I81,$B586,$B$5:$B81,"&lt;=30")</f>
        <v>0</v>
      </c>
      <c r="D586" s="402">
        <f>SUMIFS($O$5:$O81,$H$5:$H81,$A$587,$I$5:$I81,$B586,$B$5:$B81,"&lt;=60")-C586</f>
        <v>0</v>
      </c>
      <c r="E586" s="402">
        <f>SUMIFS($O$5:$O81,$H$5:$H81,$A$587,$I$5:$I81,$B586,$B$5:$B81,"&lt;=90")-D586-C586</f>
        <v>0</v>
      </c>
      <c r="F586" s="194">
        <f>SUMIFS($O$5:$O81,$H$5:$H81,$A$587,$I$5:$I81,$B586,$B$5:$B81,"&gt;=91")</f>
        <v>0</v>
      </c>
      <c r="G586" s="195">
        <f t="shared" si="63"/>
        <v>0</v>
      </c>
    </row>
    <row r="587" spans="1:47" ht="14.5" x14ac:dyDescent="0.35">
      <c r="A587" s="411">
        <v>301</v>
      </c>
      <c r="B587" s="407" t="s">
        <v>116</v>
      </c>
      <c r="C587" s="194">
        <f>SUMIFS($O$5:$O81,$H$5:$H81,$A$587,$I$5:$I81,$B587,$B$5:$B81,"&lt;=30")</f>
        <v>0</v>
      </c>
      <c r="D587" s="402">
        <f>SUMIFS($O$5:$O81,$H$5:$H81,$A$587,$I$5:$I81,$B587,$B$5:$B81,"&lt;=60")-C587</f>
        <v>0</v>
      </c>
      <c r="E587" s="402">
        <f>SUMIFS($O$5:$O81,$H$5:$H81,$A$587,$I$5:$I81,$B587,$B$5:$B81,"&lt;=90")-D587-C587</f>
        <v>0</v>
      </c>
      <c r="F587" s="194">
        <f>SUMIFS($O$5:$O81,$H$5:$H81,$A$587,$I$5:$I81,$B587,$B$5:$B81,"&gt;=91")</f>
        <v>0</v>
      </c>
      <c r="G587" s="195">
        <f t="shared" si="63"/>
        <v>0</v>
      </c>
    </row>
    <row r="588" spans="1:47" ht="14.5" x14ac:dyDescent="0.35">
      <c r="A588" s="411"/>
      <c r="B588" s="407" t="s">
        <v>4593</v>
      </c>
      <c r="C588" s="194">
        <f>SUMIFS($O$5:$O123,$H$5:$H123,$A$587,$I$5:$I123,$B588,$B$5:$B123,"&lt;=30")</f>
        <v>0</v>
      </c>
      <c r="D588" s="402">
        <f>SUMIFS($O$5:$O123,$H$5:$H123,$A$587,$I$5:$I123,$B588,$B$5:$B123,"&lt;=60")-C588</f>
        <v>0</v>
      </c>
      <c r="E588" s="402">
        <f>SUMIFS($O$5:$O123,$H$5:$H123,$A$587,$I$5:$I123,$B588,$B$5:$B123,"&lt;=90")-D588-C588</f>
        <v>0</v>
      </c>
      <c r="F588" s="194">
        <f>SUMIFS($O$5:$O123,$H$5:$H123,$A$587,$I$5:$I123,$B588,$B$5:$B123,"&gt;=91")</f>
        <v>0</v>
      </c>
      <c r="G588" s="195">
        <f t="shared" si="63"/>
        <v>0</v>
      </c>
    </row>
    <row r="589" spans="1:47" ht="14.5" x14ac:dyDescent="0.35">
      <c r="A589" s="412"/>
      <c r="B589" s="407" t="s">
        <v>169</v>
      </c>
      <c r="C589" s="194">
        <f>SUMIFS($O$5:$O123,$H$5:$H123,$A$587,$I$5:$I123,$B589,$B$5:$B123,"&lt;=30")</f>
        <v>0</v>
      </c>
      <c r="D589" s="402">
        <f>SUMIFS($O$5:$O123,$H$5:$H123,$A$587,$I$5:$I123,$B589,$B$5:$B123,"&lt;=60")-C589</f>
        <v>0</v>
      </c>
      <c r="E589" s="402">
        <f>SUMIFS($O$5:$O123,$H$5:$H123,$A$587,$I$5:$I123,$B589,$B$5:$B123,"&lt;=90")-D589-C589</f>
        <v>0</v>
      </c>
      <c r="F589" s="194">
        <f>SUMIFS($O$5:$O123,$H$5:$H123,$A$587,$I$5:$I123,$B589,$B$5:$B123,"&gt;=91")</f>
        <v>0</v>
      </c>
      <c r="G589" s="195">
        <f t="shared" si="63"/>
        <v>0</v>
      </c>
    </row>
    <row r="590" spans="1:47" ht="14.5" x14ac:dyDescent="0.35">
      <c r="A590" s="812" t="s">
        <v>34</v>
      </c>
      <c r="B590" s="813"/>
      <c r="C590" s="257">
        <f ca="1">SUM(C520:C589)</f>
        <v>0</v>
      </c>
      <c r="D590" s="257">
        <f ca="1">SUM(D520:D589)</f>
        <v>0</v>
      </c>
      <c r="E590" s="257">
        <f ca="1">SUM(E520:E589)</f>
        <v>1.4750000000000001</v>
      </c>
      <c r="F590" s="257">
        <f ca="1">SUM(F520:F589)</f>
        <v>58.567190000000011</v>
      </c>
      <c r="G590" s="195">
        <f t="shared" ca="1" si="63"/>
        <v>60.042190000000012</v>
      </c>
    </row>
    <row r="591" spans="1:47" x14ac:dyDescent="0.35">
      <c r="O591" s="388"/>
    </row>
    <row r="592" spans="1:47" s="274" customFormat="1" ht="16.5" customHeight="1" x14ac:dyDescent="0.35">
      <c r="A592" s="260"/>
      <c r="B592" s="260"/>
      <c r="C592" s="260"/>
      <c r="D592" s="260"/>
      <c r="E592" s="260"/>
      <c r="F592" s="260"/>
      <c r="G592" s="260"/>
      <c r="H592" s="260"/>
      <c r="I592" s="260"/>
      <c r="K592" s="304"/>
      <c r="L592" s="304"/>
      <c r="M592" s="304"/>
      <c r="N592" s="275"/>
      <c r="O592" s="276"/>
      <c r="P592" s="276"/>
      <c r="Q592" s="276"/>
      <c r="R592" s="276"/>
      <c r="S592" s="276"/>
      <c r="T592" s="304"/>
      <c r="Y592" s="401"/>
      <c r="AE592" s="260"/>
      <c r="AF592" s="260"/>
      <c r="AG592" s="260"/>
      <c r="AH592" s="260"/>
      <c r="AI592" s="260"/>
      <c r="AJ592" s="260"/>
      <c r="AK592" s="260"/>
      <c r="AL592" s="260"/>
      <c r="AM592" s="260"/>
      <c r="AN592" s="260"/>
      <c r="AO592" s="305"/>
      <c r="AP592" s="305"/>
      <c r="AQ592" s="305"/>
      <c r="AT592" s="260"/>
      <c r="AU592" s="260"/>
    </row>
    <row r="593" spans="1:62" s="274" customFormat="1" ht="16.5" customHeight="1" x14ac:dyDescent="0.35">
      <c r="A593" s="393"/>
      <c r="B593" s="393"/>
      <c r="C593" s="260"/>
      <c r="D593" s="260"/>
      <c r="E593" s="260"/>
      <c r="F593" s="260"/>
      <c r="G593" s="260"/>
      <c r="H593" s="260"/>
      <c r="I593" s="260"/>
      <c r="K593" s="304"/>
      <c r="L593" s="304"/>
      <c r="M593" s="304"/>
      <c r="N593" s="275"/>
      <c r="O593" s="276"/>
      <c r="P593" s="276"/>
      <c r="Q593" s="276"/>
      <c r="R593" s="276"/>
      <c r="S593" s="276"/>
      <c r="T593" s="304"/>
      <c r="Y593" s="401"/>
      <c r="AE593" s="260"/>
      <c r="AF593" s="260"/>
      <c r="AG593" s="260"/>
      <c r="AH593" s="260"/>
      <c r="AI593" s="260"/>
      <c r="AJ593" s="260"/>
      <c r="AK593" s="260"/>
      <c r="AL593" s="260"/>
      <c r="AM593" s="260"/>
      <c r="AN593" s="260"/>
      <c r="AO593" s="305"/>
      <c r="AP593" s="305"/>
      <c r="AQ593" s="305"/>
      <c r="AT593" s="260"/>
      <c r="AU593" s="260"/>
    </row>
    <row r="594" spans="1:62" s="276" customFormat="1" ht="16.5" customHeight="1" x14ac:dyDescent="0.35">
      <c r="A594" s="260"/>
      <c r="B594" s="260"/>
      <c r="C594" s="260"/>
      <c r="D594" s="260"/>
      <c r="E594" s="260"/>
      <c r="F594" s="260"/>
      <c r="G594" s="260"/>
      <c r="H594" s="260"/>
      <c r="I594" s="260"/>
      <c r="J594" s="274"/>
      <c r="K594" s="304"/>
      <c r="L594" s="304"/>
      <c r="M594" s="304"/>
      <c r="N594" s="275"/>
      <c r="O594" s="388"/>
      <c r="T594" s="304"/>
      <c r="U594" s="274"/>
      <c r="V594" s="274"/>
      <c r="W594" s="274"/>
      <c r="X594" s="274"/>
      <c r="Y594" s="274"/>
      <c r="Z594" s="274"/>
      <c r="AA594" s="274"/>
      <c r="AB594" s="274"/>
      <c r="AC594" s="274"/>
      <c r="AD594" s="274"/>
      <c r="AE594" s="260"/>
      <c r="AF594" s="260"/>
      <c r="AG594" s="260"/>
      <c r="AH594" s="260"/>
      <c r="AI594" s="260"/>
      <c r="AJ594" s="260"/>
      <c r="AK594" s="260"/>
      <c r="AL594" s="260"/>
      <c r="AM594" s="260"/>
      <c r="AN594" s="260"/>
      <c r="AO594" s="305"/>
      <c r="AP594" s="305"/>
      <c r="AQ594" s="305"/>
      <c r="AR594" s="274"/>
      <c r="AS594" s="274"/>
      <c r="AT594" s="260"/>
      <c r="AU594" s="260"/>
      <c r="AV594" s="260"/>
      <c r="AW594" s="260"/>
      <c r="AX594" s="260"/>
      <c r="AY594" s="260"/>
      <c r="AZ594" s="260"/>
      <c r="BA594" s="260"/>
      <c r="BB594" s="260"/>
      <c r="BC594" s="260"/>
      <c r="BD594" s="260"/>
      <c r="BE594" s="260"/>
      <c r="BF594" s="260"/>
      <c r="BG594" s="260"/>
      <c r="BH594" s="260"/>
      <c r="BI594" s="260"/>
      <c r="BJ594" s="260"/>
    </row>
    <row r="595" spans="1:62" x14ac:dyDescent="0.35">
      <c r="D595" s="413" t="s">
        <v>4594</v>
      </c>
      <c r="E595" s="413">
        <f ca="1">SUMIFS(O:O,B:B,"&gt;=60")</f>
        <v>410.86918999999978</v>
      </c>
    </row>
    <row r="627" spans="1:62" s="274" customFormat="1" x14ac:dyDescent="0.35">
      <c r="A627" s="260"/>
      <c r="B627" s="260"/>
      <c r="C627" s="260"/>
      <c r="D627" s="260"/>
      <c r="E627" s="260"/>
      <c r="F627" s="260"/>
      <c r="G627" s="260"/>
      <c r="H627" s="260"/>
      <c r="I627" s="260"/>
      <c r="K627" s="304"/>
      <c r="L627" s="304"/>
      <c r="M627" s="304"/>
      <c r="N627" s="275"/>
      <c r="O627" s="276"/>
      <c r="P627" s="276"/>
      <c r="Q627" s="276"/>
      <c r="R627" s="276"/>
      <c r="S627" s="276"/>
      <c r="T627" s="327"/>
      <c r="AE627" s="260"/>
      <c r="AF627" s="260"/>
      <c r="AG627" s="260"/>
      <c r="AH627" s="260"/>
      <c r="AI627" s="260"/>
      <c r="AJ627" s="260"/>
      <c r="AK627" s="260"/>
      <c r="AL627" s="260"/>
      <c r="AM627" s="260"/>
      <c r="AN627" s="260"/>
      <c r="AO627" s="305"/>
      <c r="AP627" s="305"/>
      <c r="AQ627" s="305"/>
      <c r="AT627" s="260"/>
      <c r="AU627" s="260"/>
      <c r="AV627" s="260"/>
      <c r="AW627" s="260"/>
      <c r="AX627" s="260"/>
      <c r="AY627" s="260"/>
      <c r="AZ627" s="260"/>
      <c r="BA627" s="260"/>
      <c r="BB627" s="260"/>
      <c r="BC627" s="260"/>
      <c r="BD627" s="260"/>
      <c r="BE627" s="260"/>
      <c r="BF627" s="260"/>
      <c r="BG627" s="260"/>
      <c r="BH627" s="260"/>
      <c r="BI627" s="260"/>
      <c r="BJ627" s="260"/>
    </row>
    <row r="630" spans="1:62" s="274" customFormat="1" x14ac:dyDescent="0.35">
      <c r="A630" s="260"/>
      <c r="B630" s="260"/>
      <c r="C630" s="260"/>
      <c r="D630" s="260"/>
      <c r="E630" s="260"/>
      <c r="F630" s="260"/>
      <c r="G630" s="260"/>
      <c r="H630" s="260"/>
      <c r="I630" s="260"/>
      <c r="K630" s="304"/>
      <c r="L630" s="304"/>
      <c r="M630" s="304"/>
      <c r="N630" s="275"/>
      <c r="O630" s="276"/>
      <c r="P630" s="276"/>
      <c r="Q630" s="276"/>
      <c r="R630" s="276"/>
      <c r="S630" s="276"/>
      <c r="T630" s="327"/>
      <c r="AE630" s="260"/>
      <c r="AF630" s="260"/>
      <c r="AG630" s="260"/>
      <c r="AH630" s="260"/>
      <c r="AI630" s="260"/>
      <c r="AJ630" s="260"/>
      <c r="AK630" s="260"/>
      <c r="AL630" s="260"/>
      <c r="AM630" s="260"/>
      <c r="AN630" s="260"/>
      <c r="AO630" s="305"/>
      <c r="AP630" s="305"/>
      <c r="AQ630" s="305"/>
      <c r="AT630" s="260"/>
      <c r="AU630" s="260"/>
      <c r="AV630" s="260"/>
      <c r="AW630" s="260"/>
      <c r="AX630" s="260"/>
      <c r="AY630" s="260"/>
      <c r="AZ630" s="260"/>
      <c r="BA630" s="260"/>
      <c r="BB630" s="260"/>
      <c r="BC630" s="260"/>
      <c r="BD630" s="260"/>
      <c r="BE630" s="260"/>
      <c r="BF630" s="260"/>
      <c r="BG630" s="260"/>
      <c r="BH630" s="260"/>
      <c r="BI630" s="260"/>
      <c r="BJ630" s="260"/>
    </row>
    <row r="631" spans="1:62" s="274" customFormat="1" x14ac:dyDescent="0.35">
      <c r="A631" s="260"/>
      <c r="B631" s="260"/>
      <c r="C631" s="260"/>
      <c r="D631" s="260"/>
      <c r="E631" s="260"/>
      <c r="F631" s="260"/>
      <c r="G631" s="260"/>
      <c r="H631" s="260"/>
      <c r="I631" s="260"/>
      <c r="K631" s="304"/>
      <c r="L631" s="304"/>
      <c r="M631" s="304"/>
      <c r="N631" s="275"/>
      <c r="O631" s="276"/>
      <c r="P631" s="276"/>
      <c r="Q631" s="276"/>
      <c r="R631" s="276"/>
      <c r="S631" s="276"/>
      <c r="T631" s="327"/>
      <c r="AE631" s="260"/>
      <c r="AF631" s="260"/>
      <c r="AG631" s="260"/>
      <c r="AH631" s="260"/>
      <c r="AI631" s="260"/>
      <c r="AJ631" s="260"/>
      <c r="AK631" s="260"/>
      <c r="AL631" s="260"/>
      <c r="AM631" s="260"/>
      <c r="AN631" s="260"/>
      <c r="AO631" s="305"/>
      <c r="AP631" s="305"/>
      <c r="AQ631" s="305"/>
      <c r="AT631" s="260"/>
      <c r="AU631" s="260"/>
      <c r="AV631" s="260"/>
      <c r="AW631" s="260"/>
      <c r="AX631" s="260"/>
      <c r="AY631" s="260"/>
      <c r="AZ631" s="260"/>
      <c r="BA631" s="260"/>
      <c r="BB631" s="260"/>
      <c r="BC631" s="260"/>
      <c r="BD631" s="260"/>
      <c r="BE631" s="260"/>
      <c r="BF631" s="260"/>
      <c r="BG631" s="260"/>
      <c r="BH631" s="260"/>
      <c r="BI631" s="260"/>
      <c r="BJ631" s="260"/>
    </row>
    <row r="632" spans="1:62" s="274" customFormat="1" x14ac:dyDescent="0.35">
      <c r="A632" s="260"/>
      <c r="B632" s="260"/>
      <c r="C632" s="260"/>
      <c r="D632" s="260"/>
      <c r="E632" s="260"/>
      <c r="F632" s="260"/>
      <c r="G632" s="260"/>
      <c r="H632" s="260"/>
      <c r="I632" s="260"/>
      <c r="K632" s="304"/>
      <c r="L632" s="304"/>
      <c r="M632" s="304"/>
      <c r="N632" s="275"/>
      <c r="O632" s="276"/>
      <c r="P632" s="276"/>
      <c r="Q632" s="276"/>
      <c r="R632" s="276"/>
      <c r="S632" s="276"/>
      <c r="T632" s="327"/>
      <c r="AE632" s="260"/>
      <c r="AF632" s="260"/>
      <c r="AG632" s="260"/>
      <c r="AH632" s="260"/>
      <c r="AI632" s="260"/>
      <c r="AJ632" s="260"/>
      <c r="AK632" s="260"/>
      <c r="AL632" s="260"/>
      <c r="AM632" s="260"/>
      <c r="AN632" s="260"/>
      <c r="AO632" s="305"/>
      <c r="AP632" s="305"/>
      <c r="AQ632" s="305"/>
      <c r="AT632" s="260"/>
      <c r="AU632" s="260"/>
      <c r="AV632" s="260"/>
      <c r="AW632" s="260"/>
      <c r="AX632" s="260"/>
      <c r="AY632" s="260"/>
      <c r="AZ632" s="260"/>
      <c r="BA632" s="260"/>
      <c r="BB632" s="260"/>
      <c r="BC632" s="260"/>
      <c r="BD632" s="260"/>
      <c r="BE632" s="260"/>
      <c r="BF632" s="260"/>
      <c r="BG632" s="260"/>
      <c r="BH632" s="260"/>
      <c r="BI632" s="260"/>
      <c r="BJ632" s="260"/>
    </row>
    <row r="633" spans="1:62" s="274" customFormat="1" x14ac:dyDescent="0.35">
      <c r="A633" s="260"/>
      <c r="B633" s="260"/>
      <c r="C633" s="260"/>
      <c r="D633" s="260"/>
      <c r="E633" s="260"/>
      <c r="F633" s="260"/>
      <c r="G633" s="260"/>
      <c r="H633" s="260"/>
      <c r="I633" s="260"/>
      <c r="K633" s="304"/>
      <c r="L633" s="304"/>
      <c r="M633" s="304"/>
      <c r="N633" s="275"/>
      <c r="O633" s="276"/>
      <c r="P633" s="276"/>
      <c r="Q633" s="276"/>
      <c r="R633" s="276"/>
      <c r="S633" s="276"/>
      <c r="T633" s="327"/>
      <c r="AE633" s="260"/>
      <c r="AF633" s="260"/>
      <c r="AG633" s="260"/>
      <c r="AH633" s="260"/>
      <c r="AI633" s="260"/>
      <c r="AJ633" s="260"/>
      <c r="AK633" s="260"/>
      <c r="AL633" s="260"/>
      <c r="AM633" s="260"/>
      <c r="AN633" s="260"/>
      <c r="AO633" s="305"/>
      <c r="AP633" s="305"/>
      <c r="AQ633" s="305"/>
      <c r="AT633" s="260"/>
      <c r="AU633" s="260"/>
      <c r="AV633" s="260"/>
      <c r="AW633" s="260"/>
      <c r="AX633" s="260"/>
      <c r="AY633" s="260"/>
      <c r="AZ633" s="260"/>
      <c r="BA633" s="260"/>
      <c r="BB633" s="260"/>
      <c r="BC633" s="260"/>
      <c r="BD633" s="260"/>
      <c r="BE633" s="260"/>
      <c r="BF633" s="260"/>
      <c r="BG633" s="260"/>
      <c r="BH633" s="260"/>
      <c r="BI633" s="260"/>
      <c r="BJ633" s="260"/>
    </row>
    <row r="634" spans="1:62" s="274" customFormat="1" x14ac:dyDescent="0.35">
      <c r="A634" s="260"/>
      <c r="B634" s="260"/>
      <c r="C634" s="260"/>
      <c r="D634" s="260"/>
      <c r="E634" s="260"/>
      <c r="F634" s="260"/>
      <c r="G634" s="260"/>
      <c r="H634" s="260"/>
      <c r="I634" s="260"/>
      <c r="K634" s="304"/>
      <c r="L634" s="304"/>
      <c r="M634" s="304"/>
      <c r="N634" s="275"/>
      <c r="O634" s="276"/>
      <c r="P634" s="276"/>
      <c r="Q634" s="276"/>
      <c r="R634" s="276"/>
      <c r="S634" s="276"/>
      <c r="T634" s="327"/>
      <c r="AE634" s="260"/>
      <c r="AF634" s="260"/>
      <c r="AG634" s="260"/>
      <c r="AH634" s="260"/>
      <c r="AI634" s="260"/>
      <c r="AJ634" s="260"/>
      <c r="AK634" s="260"/>
      <c r="AL634" s="260"/>
      <c r="AM634" s="260"/>
      <c r="AN634" s="260"/>
      <c r="AO634" s="305"/>
      <c r="AP634" s="305"/>
      <c r="AQ634" s="305"/>
      <c r="AT634" s="260"/>
      <c r="AU634" s="260"/>
      <c r="AV634" s="260"/>
      <c r="AW634" s="260"/>
      <c r="AX634" s="260"/>
      <c r="AY634" s="260"/>
      <c r="AZ634" s="260"/>
      <c r="BA634" s="260"/>
      <c r="BB634" s="260"/>
      <c r="BC634" s="260"/>
      <c r="BD634" s="260"/>
      <c r="BE634" s="260"/>
      <c r="BF634" s="260"/>
      <c r="BG634" s="260"/>
      <c r="BH634" s="260"/>
      <c r="BI634" s="260"/>
      <c r="BJ634" s="260"/>
    </row>
    <row r="638" spans="1:62" s="302" customFormat="1" ht="16.5" customHeight="1" x14ac:dyDescent="0.35">
      <c r="G638" s="280"/>
      <c r="J638" s="321"/>
      <c r="K638" s="321"/>
      <c r="L638" s="321"/>
      <c r="M638" s="321"/>
      <c r="N638" s="319"/>
      <c r="O638" s="382"/>
      <c r="P638" s="323"/>
      <c r="Q638" s="327"/>
      <c r="R638" s="327"/>
      <c r="S638" s="326"/>
      <c r="T638" s="304"/>
      <c r="U638" s="389"/>
      <c r="V638" s="389"/>
      <c r="W638" s="389"/>
      <c r="X638" s="385"/>
      <c r="Y638" s="385"/>
      <c r="Z638" s="385"/>
      <c r="AA638" s="385"/>
      <c r="AB638" s="385"/>
      <c r="AC638" s="390"/>
      <c r="AG638" s="320"/>
      <c r="AH638" s="320"/>
      <c r="AI638" s="320"/>
      <c r="AJ638" s="320"/>
      <c r="AK638" s="320"/>
      <c r="AL638" s="320"/>
      <c r="AO638" s="305"/>
      <c r="AP638" s="305"/>
      <c r="AQ638" s="305"/>
      <c r="AR638" s="305"/>
    </row>
    <row r="641" spans="1:62" s="302" customFormat="1" ht="16.5" customHeight="1" x14ac:dyDescent="0.35">
      <c r="G641" s="280"/>
      <c r="J641" s="321"/>
      <c r="K641" s="321"/>
      <c r="L641" s="321"/>
      <c r="M641" s="321"/>
      <c r="N641" s="319"/>
      <c r="O641" s="382"/>
      <c r="P641" s="323"/>
      <c r="Q641" s="327"/>
      <c r="R641" s="327"/>
      <c r="S641" s="326"/>
      <c r="T641" s="327"/>
      <c r="U641" s="389"/>
      <c r="V641" s="389"/>
      <c r="W641" s="389"/>
      <c r="X641" s="385"/>
      <c r="Y641" s="385"/>
      <c r="Z641" s="385"/>
      <c r="AA641" s="385"/>
      <c r="AB641" s="385"/>
      <c r="AC641" s="390"/>
      <c r="AG641" s="320"/>
      <c r="AH641" s="320"/>
      <c r="AI641" s="320"/>
      <c r="AJ641" s="320"/>
      <c r="AK641" s="320"/>
      <c r="AL641" s="320"/>
      <c r="AO641" s="305"/>
      <c r="AP641" s="305"/>
      <c r="AQ641" s="305"/>
      <c r="AR641" s="305"/>
    </row>
    <row r="642" spans="1:62" s="302" customFormat="1" ht="16.5" customHeight="1" x14ac:dyDescent="0.35">
      <c r="G642" s="280"/>
      <c r="J642" s="321"/>
      <c r="K642" s="321"/>
      <c r="L642" s="321"/>
      <c r="M642" s="321"/>
      <c r="N642" s="319"/>
      <c r="O642" s="382"/>
      <c r="P642" s="323"/>
      <c r="Q642" s="327"/>
      <c r="R642" s="327"/>
      <c r="S642" s="326"/>
      <c r="T642" s="327"/>
      <c r="U642" s="389"/>
      <c r="V642" s="389"/>
      <c r="W642" s="389"/>
      <c r="X642" s="385"/>
      <c r="Y642" s="385"/>
      <c r="Z642" s="385"/>
      <c r="AA642" s="385"/>
      <c r="AB642" s="385"/>
      <c r="AC642" s="390"/>
      <c r="AG642" s="320"/>
      <c r="AH642" s="320"/>
      <c r="AI642" s="320"/>
      <c r="AJ642" s="320"/>
      <c r="AK642" s="320"/>
      <c r="AL642" s="320"/>
      <c r="AO642" s="305"/>
      <c r="AP642" s="305"/>
      <c r="AQ642" s="305"/>
      <c r="AR642" s="305"/>
    </row>
    <row r="643" spans="1:62" s="302" customFormat="1" ht="16.5" customHeight="1" x14ac:dyDescent="0.35">
      <c r="J643" s="321"/>
      <c r="K643" s="321"/>
      <c r="L643" s="321"/>
      <c r="M643" s="321"/>
      <c r="N643" s="319"/>
      <c r="O643" s="305"/>
      <c r="P643" s="323"/>
      <c r="Q643" s="327"/>
      <c r="R643" s="327"/>
      <c r="S643" s="326"/>
      <c r="T643" s="327"/>
      <c r="U643" s="389"/>
      <c r="V643" s="389"/>
      <c r="W643" s="389"/>
      <c r="X643" s="385"/>
      <c r="Y643" s="385"/>
      <c r="Z643" s="385"/>
      <c r="AA643" s="385"/>
      <c r="AB643" s="385"/>
      <c r="AC643" s="390"/>
      <c r="AG643" s="320"/>
      <c r="AH643" s="320"/>
      <c r="AI643" s="320"/>
      <c r="AJ643" s="320"/>
      <c r="AK643" s="320"/>
      <c r="AL643" s="320"/>
      <c r="AO643" s="305"/>
      <c r="AP643" s="305"/>
      <c r="AQ643" s="305"/>
      <c r="AR643" s="305"/>
    </row>
    <row r="644" spans="1:62" s="302" customFormat="1" ht="16.5" customHeight="1" x14ac:dyDescent="0.35">
      <c r="J644" s="321"/>
      <c r="K644" s="321"/>
      <c r="L644" s="321"/>
      <c r="M644" s="321"/>
      <c r="N644" s="319"/>
      <c r="O644" s="305"/>
      <c r="P644" s="323"/>
      <c r="Q644" s="327"/>
      <c r="R644" s="327"/>
      <c r="S644" s="326"/>
      <c r="T644" s="327"/>
      <c r="U644" s="389"/>
      <c r="V644" s="389"/>
      <c r="W644" s="389"/>
      <c r="X644" s="385"/>
      <c r="Y644" s="385"/>
      <c r="Z644" s="385"/>
      <c r="AA644" s="385"/>
      <c r="AB644" s="385"/>
      <c r="AC644" s="390"/>
      <c r="AG644" s="320"/>
      <c r="AH644" s="320"/>
      <c r="AI644" s="320"/>
      <c r="AJ644" s="320"/>
      <c r="AK644" s="320"/>
      <c r="AL644" s="320"/>
      <c r="AO644" s="305"/>
      <c r="AP644" s="305"/>
      <c r="AQ644" s="305"/>
      <c r="AR644" s="305"/>
    </row>
    <row r="645" spans="1:62" s="302" customFormat="1" ht="16.5" customHeight="1" x14ac:dyDescent="0.35">
      <c r="J645" s="321"/>
      <c r="K645" s="321"/>
      <c r="L645" s="321"/>
      <c r="M645" s="321"/>
      <c r="N645" s="319"/>
      <c r="O645" s="305"/>
      <c r="P645" s="323"/>
      <c r="Q645" s="327"/>
      <c r="R645" s="327"/>
      <c r="S645" s="326"/>
      <c r="T645" s="327"/>
      <c r="U645" s="389"/>
      <c r="V645" s="389"/>
      <c r="W645" s="389"/>
      <c r="X645" s="385"/>
      <c r="Y645" s="385"/>
      <c r="Z645" s="385"/>
      <c r="AA645" s="385"/>
      <c r="AB645" s="385"/>
      <c r="AC645" s="390"/>
      <c r="AG645" s="320"/>
      <c r="AH645" s="320"/>
      <c r="AI645" s="320"/>
      <c r="AJ645" s="320"/>
      <c r="AK645" s="320"/>
      <c r="AL645" s="320"/>
      <c r="AO645" s="305"/>
      <c r="AP645" s="305"/>
      <c r="AQ645" s="305"/>
      <c r="AR645" s="305"/>
    </row>
    <row r="646" spans="1:62" x14ac:dyDescent="0.35">
      <c r="T646" s="327"/>
    </row>
    <row r="649" spans="1:62" s="274" customFormat="1" ht="30" customHeight="1" x14ac:dyDescent="0.35">
      <c r="A649" s="414" t="s">
        <v>4595</v>
      </c>
      <c r="B649" s="414"/>
      <c r="C649" s="415"/>
      <c r="D649" s="415"/>
      <c r="E649" s="415"/>
      <c r="F649" s="260"/>
      <c r="G649" s="260"/>
      <c r="H649" s="260"/>
      <c r="I649" s="260"/>
      <c r="K649" s="304"/>
      <c r="L649" s="304"/>
      <c r="M649" s="304"/>
      <c r="N649" s="275"/>
      <c r="O649" s="276"/>
      <c r="P649" s="276"/>
      <c r="Q649" s="276"/>
      <c r="R649" s="276"/>
      <c r="S649" s="276"/>
      <c r="T649" s="304"/>
      <c r="AE649" s="260"/>
      <c r="AF649" s="260"/>
      <c r="AG649" s="260"/>
      <c r="AH649" s="260"/>
      <c r="AI649" s="260"/>
      <c r="AJ649" s="260"/>
      <c r="AK649" s="260"/>
      <c r="AL649" s="260"/>
      <c r="AM649" s="260"/>
      <c r="AN649" s="260"/>
      <c r="AO649" s="305"/>
      <c r="AP649" s="305"/>
      <c r="AQ649" s="305"/>
      <c r="AT649" s="260"/>
      <c r="AU649" s="260"/>
      <c r="AV649" s="260"/>
      <c r="AW649" s="260"/>
      <c r="AX649" s="260"/>
      <c r="AY649" s="260"/>
      <c r="AZ649" s="260"/>
      <c r="BA649" s="260"/>
      <c r="BB649" s="260"/>
      <c r="BC649" s="260"/>
      <c r="BD649" s="260"/>
      <c r="BE649" s="260"/>
      <c r="BF649" s="260"/>
      <c r="BG649" s="260"/>
      <c r="BH649" s="260"/>
      <c r="BI649" s="260"/>
      <c r="BJ649" s="260"/>
    </row>
    <row r="652" spans="1:62" s="302" customFormat="1" ht="16.5" customHeight="1" x14ac:dyDescent="0.35">
      <c r="J652" s="321"/>
      <c r="K652" s="321"/>
      <c r="L652" s="321"/>
      <c r="M652" s="321"/>
      <c r="N652" s="319"/>
      <c r="O652" s="305"/>
      <c r="P652" s="323"/>
      <c r="Q652" s="327"/>
      <c r="R652" s="327"/>
      <c r="S652" s="326"/>
      <c r="T652" s="304"/>
      <c r="U652" s="389"/>
      <c r="V652" s="389"/>
      <c r="W652" s="389"/>
      <c r="X652" s="385"/>
      <c r="Y652" s="385"/>
      <c r="Z652" s="385"/>
      <c r="AA652" s="385"/>
      <c r="AB652" s="385"/>
      <c r="AC652" s="390"/>
      <c r="AG652" s="320"/>
      <c r="AH652" s="320"/>
      <c r="AI652" s="320"/>
      <c r="AJ652" s="320"/>
      <c r="AK652" s="320"/>
      <c r="AL652" s="320"/>
      <c r="AO652" s="305"/>
      <c r="AP652" s="305"/>
      <c r="AQ652" s="305"/>
      <c r="AR652" s="305"/>
    </row>
    <row r="653" spans="1:62" s="302" customFormat="1" ht="16.5" customHeight="1" x14ac:dyDescent="0.35">
      <c r="J653" s="321"/>
      <c r="K653" s="321"/>
      <c r="L653" s="321"/>
      <c r="M653" s="321"/>
      <c r="N653" s="319"/>
      <c r="O653" s="305"/>
      <c r="P653" s="323"/>
      <c r="Q653" s="327"/>
      <c r="R653" s="327"/>
      <c r="S653" s="326"/>
      <c r="T653" s="304"/>
      <c r="U653" s="389"/>
      <c r="V653" s="389"/>
      <c r="W653" s="389"/>
      <c r="X653" s="385"/>
      <c r="Y653" s="385"/>
      <c r="Z653" s="385"/>
      <c r="AA653" s="385"/>
      <c r="AB653" s="385"/>
      <c r="AC653" s="390"/>
      <c r="AG653" s="320"/>
      <c r="AH653" s="320"/>
      <c r="AI653" s="320"/>
      <c r="AJ653" s="320"/>
      <c r="AK653" s="320"/>
      <c r="AL653" s="320"/>
      <c r="AO653" s="305"/>
      <c r="AP653" s="305"/>
      <c r="AQ653" s="305"/>
      <c r="AR653" s="305"/>
    </row>
    <row r="654" spans="1:62" s="302" customFormat="1" ht="16.5" customHeight="1" x14ac:dyDescent="0.35">
      <c r="J654" s="321"/>
      <c r="K654" s="321"/>
      <c r="L654" s="321"/>
      <c r="M654" s="321"/>
      <c r="N654" s="319"/>
      <c r="O654" s="305"/>
      <c r="P654" s="323"/>
      <c r="Q654" s="327"/>
      <c r="R654" s="327"/>
      <c r="S654" s="326"/>
      <c r="T654" s="304"/>
      <c r="U654" s="389"/>
      <c r="V654" s="389"/>
      <c r="W654" s="389"/>
      <c r="X654" s="385"/>
      <c r="Y654" s="385"/>
      <c r="Z654" s="385"/>
      <c r="AA654" s="385"/>
      <c r="AB654" s="385"/>
      <c r="AC654" s="390"/>
      <c r="AG654" s="320"/>
      <c r="AH654" s="320"/>
      <c r="AI654" s="320"/>
      <c r="AJ654" s="320"/>
      <c r="AK654" s="320"/>
      <c r="AL654" s="320"/>
      <c r="AO654" s="305"/>
      <c r="AP654" s="305"/>
      <c r="AQ654" s="305"/>
      <c r="AR654" s="305"/>
    </row>
    <row r="655" spans="1:62" s="302" customFormat="1" ht="16.5" customHeight="1" x14ac:dyDescent="0.35">
      <c r="J655" s="321"/>
      <c r="K655" s="321"/>
      <c r="L655" s="321"/>
      <c r="M655" s="321"/>
      <c r="N655" s="319"/>
      <c r="O655" s="305"/>
      <c r="P655" s="323"/>
      <c r="Q655" s="327"/>
      <c r="R655" s="327"/>
      <c r="S655" s="326"/>
      <c r="T655" s="304"/>
      <c r="U655" s="389"/>
      <c r="V655" s="389"/>
      <c r="W655" s="389"/>
      <c r="X655" s="385"/>
      <c r="Y655" s="385"/>
      <c r="Z655" s="385"/>
      <c r="AA655" s="385"/>
      <c r="AB655" s="385"/>
      <c r="AC655" s="390"/>
      <c r="AG655" s="320"/>
      <c r="AH655" s="320"/>
      <c r="AI655" s="320"/>
      <c r="AJ655" s="320"/>
      <c r="AK655" s="320"/>
      <c r="AL655" s="320"/>
      <c r="AO655" s="305"/>
      <c r="AP655" s="305"/>
      <c r="AQ655" s="305"/>
      <c r="AR655" s="305"/>
    </row>
    <row r="656" spans="1:62" s="302" customFormat="1" ht="16.5" customHeight="1" x14ac:dyDescent="0.35">
      <c r="J656" s="321"/>
      <c r="K656" s="321"/>
      <c r="L656" s="321"/>
      <c r="M656" s="321"/>
      <c r="N656" s="319"/>
      <c r="O656" s="305"/>
      <c r="P656" s="323"/>
      <c r="Q656" s="327"/>
      <c r="R656" s="327"/>
      <c r="S656" s="326"/>
      <c r="T656" s="304"/>
      <c r="U656" s="389"/>
      <c r="V656" s="389"/>
      <c r="W656" s="389"/>
      <c r="X656" s="385"/>
      <c r="Y656" s="385"/>
      <c r="Z656" s="385"/>
      <c r="AA656" s="385"/>
      <c r="AB656" s="385"/>
      <c r="AC656" s="390"/>
      <c r="AG656" s="320"/>
      <c r="AH656" s="320"/>
      <c r="AI656" s="320"/>
      <c r="AJ656" s="320"/>
      <c r="AK656" s="320"/>
      <c r="AL656" s="320"/>
      <c r="AO656" s="305"/>
      <c r="AP656" s="305"/>
      <c r="AQ656" s="305"/>
      <c r="AR656" s="305"/>
    </row>
    <row r="657" spans="1:62" s="302" customFormat="1" ht="16.5" customHeight="1" x14ac:dyDescent="0.35">
      <c r="J657" s="321"/>
      <c r="K657" s="321"/>
      <c r="L657" s="321"/>
      <c r="M657" s="321"/>
      <c r="N657" s="319"/>
      <c r="O657" s="305"/>
      <c r="P657" s="323"/>
      <c r="Q657" s="323"/>
      <c r="R657" s="323"/>
      <c r="S657" s="326"/>
      <c r="T657" s="304"/>
      <c r="U657" s="389"/>
      <c r="V657" s="389"/>
      <c r="W657" s="385"/>
      <c r="X657" s="385"/>
      <c r="Y657" s="385"/>
      <c r="Z657" s="385"/>
      <c r="AA657" s="385"/>
      <c r="AB657" s="390"/>
      <c r="AF657" s="320"/>
      <c r="AG657" s="320"/>
      <c r="AH657" s="320"/>
      <c r="AI657" s="320"/>
      <c r="AJ657" s="320"/>
      <c r="AK657" s="320"/>
      <c r="AL657" s="320"/>
      <c r="AN657" s="305"/>
      <c r="AO657" s="305"/>
      <c r="AP657" s="305"/>
      <c r="AQ657" s="305"/>
      <c r="AR657" s="305"/>
    </row>
    <row r="662" spans="1:62" x14ac:dyDescent="0.35">
      <c r="T662" s="327"/>
    </row>
    <row r="663" spans="1:62" s="274" customFormat="1" x14ac:dyDescent="0.35">
      <c r="A663" s="260"/>
      <c r="B663" s="260"/>
      <c r="C663" s="260"/>
      <c r="D663" s="260"/>
      <c r="E663" s="260"/>
      <c r="F663" s="260"/>
      <c r="G663" s="260"/>
      <c r="H663" s="260"/>
      <c r="I663" s="260"/>
      <c r="K663" s="304"/>
      <c r="L663" s="304"/>
      <c r="M663" s="304"/>
      <c r="N663" s="275"/>
      <c r="O663" s="388"/>
      <c r="P663" s="276"/>
      <c r="Q663" s="276"/>
      <c r="R663" s="276"/>
      <c r="S663" s="276"/>
      <c r="T663" s="327"/>
      <c r="AE663" s="260"/>
      <c r="AF663" s="260"/>
      <c r="AG663" s="260"/>
      <c r="AH663" s="260"/>
      <c r="AI663" s="260"/>
      <c r="AJ663" s="260"/>
      <c r="AK663" s="260"/>
      <c r="AL663" s="260"/>
      <c r="AM663" s="260"/>
      <c r="AN663" s="260"/>
      <c r="AO663" s="305"/>
      <c r="AP663" s="305"/>
      <c r="AQ663" s="305"/>
      <c r="AT663" s="260"/>
      <c r="AU663" s="260"/>
      <c r="AV663" s="260"/>
      <c r="AW663" s="260"/>
      <c r="AX663" s="260"/>
      <c r="AY663" s="260"/>
      <c r="AZ663" s="260"/>
      <c r="BA663" s="260"/>
      <c r="BB663" s="260"/>
      <c r="BC663" s="260"/>
      <c r="BD663" s="260"/>
      <c r="BE663" s="260"/>
      <c r="BF663" s="260"/>
      <c r="BG663" s="260"/>
      <c r="BH663" s="260"/>
      <c r="BI663" s="260"/>
      <c r="BJ663" s="260"/>
    </row>
    <row r="664" spans="1:62" x14ac:dyDescent="0.35">
      <c r="T664" s="327"/>
    </row>
    <row r="665" spans="1:62" x14ac:dyDescent="0.35">
      <c r="T665" s="327"/>
    </row>
    <row r="666" spans="1:62" x14ac:dyDescent="0.35">
      <c r="T666" s="327"/>
    </row>
    <row r="667" spans="1:62" s="274" customFormat="1" x14ac:dyDescent="0.35">
      <c r="A667" s="260"/>
      <c r="B667" s="260"/>
      <c r="C667" s="260"/>
      <c r="D667" s="260"/>
      <c r="E667" s="260"/>
      <c r="F667" s="260"/>
      <c r="G667" s="260"/>
      <c r="H667" s="260"/>
      <c r="I667" s="260"/>
      <c r="K667" s="304"/>
      <c r="L667" s="304"/>
      <c r="M667" s="304"/>
      <c r="N667" s="275"/>
      <c r="O667" s="276"/>
      <c r="P667" s="276"/>
      <c r="Q667" s="276"/>
      <c r="R667" s="276"/>
      <c r="S667" s="276"/>
      <c r="T667" s="327"/>
      <c r="AE667" s="260"/>
      <c r="AF667" s="260"/>
      <c r="AG667" s="260"/>
      <c r="AH667" s="260"/>
      <c r="AI667" s="260"/>
      <c r="AJ667" s="260"/>
      <c r="AK667" s="260"/>
      <c r="AL667" s="260"/>
      <c r="AM667" s="260"/>
      <c r="AN667" s="260"/>
      <c r="AO667" s="305"/>
      <c r="AP667" s="305"/>
      <c r="AQ667" s="305"/>
      <c r="AT667" s="260"/>
      <c r="AU667" s="260"/>
      <c r="AV667" s="260"/>
      <c r="AW667" s="260"/>
      <c r="AX667" s="260"/>
      <c r="AY667" s="260"/>
      <c r="AZ667" s="260"/>
      <c r="BA667" s="260"/>
      <c r="BB667" s="260"/>
      <c r="BC667" s="260"/>
      <c r="BD667" s="260"/>
      <c r="BE667" s="260"/>
      <c r="BF667" s="260"/>
      <c r="BG667" s="260"/>
      <c r="BH667" s="260"/>
      <c r="BI667" s="260"/>
      <c r="BJ667" s="260"/>
    </row>
    <row r="668" spans="1:62" s="274" customFormat="1" x14ac:dyDescent="0.35">
      <c r="A668" s="260"/>
      <c r="B668" s="260"/>
      <c r="C668" s="260"/>
      <c r="D668" s="260"/>
      <c r="E668" s="260"/>
      <c r="F668" s="260"/>
      <c r="G668" s="260"/>
      <c r="H668" s="260"/>
      <c r="I668" s="260"/>
      <c r="K668" s="304"/>
      <c r="L668" s="304"/>
      <c r="M668" s="304"/>
      <c r="N668" s="275"/>
      <c r="O668" s="276"/>
      <c r="P668" s="276"/>
      <c r="Q668" s="276"/>
      <c r="R668" s="276"/>
      <c r="S668" s="276"/>
      <c r="T668" s="327"/>
      <c r="AE668" s="260"/>
      <c r="AF668" s="260"/>
      <c r="AG668" s="260"/>
      <c r="AH668" s="260"/>
      <c r="AI668" s="260"/>
      <c r="AJ668" s="260"/>
      <c r="AK668" s="260"/>
      <c r="AL668" s="260"/>
      <c r="AM668" s="260"/>
      <c r="AN668" s="260"/>
      <c r="AO668" s="305"/>
      <c r="AP668" s="305"/>
      <c r="AQ668" s="305"/>
      <c r="AT668" s="260"/>
      <c r="AU668" s="260"/>
      <c r="AV668" s="260"/>
      <c r="AW668" s="260"/>
      <c r="AX668" s="260"/>
      <c r="AY668" s="260"/>
      <c r="AZ668" s="260"/>
      <c r="BA668" s="260"/>
      <c r="BB668" s="260"/>
      <c r="BC668" s="260"/>
      <c r="BD668" s="260"/>
      <c r="BE668" s="260"/>
      <c r="BF668" s="260"/>
      <c r="BG668" s="260"/>
      <c r="BH668" s="260"/>
      <c r="BI668" s="260"/>
      <c r="BJ668" s="260"/>
    </row>
    <row r="669" spans="1:62" s="274" customFormat="1" x14ac:dyDescent="0.35">
      <c r="A669" s="260"/>
      <c r="B669" s="260"/>
      <c r="C669" s="260"/>
      <c r="D669" s="260"/>
      <c r="E669" s="260"/>
      <c r="F669" s="260"/>
      <c r="G669" s="260"/>
      <c r="H669" s="260"/>
      <c r="I669" s="260"/>
      <c r="K669" s="304"/>
      <c r="L669" s="304"/>
      <c r="M669" s="304"/>
      <c r="N669" s="275"/>
      <c r="O669" s="276"/>
      <c r="P669" s="276"/>
      <c r="Q669" s="276"/>
      <c r="R669" s="276"/>
      <c r="S669" s="276"/>
      <c r="T669" s="327"/>
      <c r="AE669" s="260"/>
      <c r="AF669" s="260"/>
      <c r="AG669" s="260"/>
      <c r="AH669" s="260"/>
      <c r="AI669" s="260"/>
      <c r="AJ669" s="260"/>
      <c r="AK669" s="260"/>
      <c r="AL669" s="260"/>
      <c r="AM669" s="260"/>
      <c r="AN669" s="260"/>
      <c r="AO669" s="305"/>
      <c r="AP669" s="305"/>
      <c r="AQ669" s="305"/>
      <c r="AT669" s="260"/>
      <c r="AU669" s="260"/>
      <c r="AV669" s="260"/>
      <c r="AW669" s="260"/>
      <c r="AX669" s="260"/>
      <c r="AY669" s="260"/>
      <c r="AZ669" s="260"/>
      <c r="BA669" s="260"/>
      <c r="BB669" s="260"/>
      <c r="BC669" s="260"/>
      <c r="BD669" s="260"/>
      <c r="BE669" s="260"/>
      <c r="BF669" s="260"/>
      <c r="BG669" s="260"/>
      <c r="BH669" s="260"/>
      <c r="BI669" s="260"/>
      <c r="BJ669" s="260"/>
    </row>
    <row r="670" spans="1:62" s="274" customFormat="1" x14ac:dyDescent="0.35">
      <c r="A670" s="260"/>
      <c r="B670" s="260"/>
      <c r="C670" s="260"/>
      <c r="D670" s="260"/>
      <c r="E670" s="260"/>
      <c r="F670" s="260"/>
      <c r="G670" s="260"/>
      <c r="H670" s="260"/>
      <c r="I670" s="260"/>
      <c r="K670" s="304"/>
      <c r="L670" s="304"/>
      <c r="M670" s="304"/>
      <c r="N670" s="275"/>
      <c r="O670" s="276"/>
      <c r="P670" s="276"/>
      <c r="Q670" s="276"/>
      <c r="R670" s="276"/>
      <c r="S670" s="276"/>
      <c r="T670" s="327"/>
      <c r="AE670" s="260"/>
      <c r="AF670" s="260"/>
      <c r="AG670" s="260"/>
      <c r="AH670" s="260"/>
      <c r="AI670" s="260"/>
      <c r="AJ670" s="260"/>
      <c r="AK670" s="260"/>
      <c r="AL670" s="260"/>
      <c r="AM670" s="260"/>
      <c r="AN670" s="260"/>
      <c r="AO670" s="305"/>
      <c r="AP670" s="305"/>
      <c r="AQ670" s="305"/>
      <c r="AT670" s="260"/>
      <c r="AU670" s="260"/>
      <c r="AV670" s="260"/>
      <c r="AW670" s="260"/>
      <c r="AX670" s="260"/>
      <c r="AY670" s="260"/>
      <c r="AZ670" s="260"/>
      <c r="BA670" s="260"/>
      <c r="BB670" s="260"/>
      <c r="BC670" s="260"/>
      <c r="BD670" s="260"/>
      <c r="BE670" s="260"/>
      <c r="BF670" s="260"/>
      <c r="BG670" s="260"/>
      <c r="BH670" s="260"/>
      <c r="BI670" s="260"/>
      <c r="BJ670" s="260"/>
    </row>
    <row r="671" spans="1:62" s="274" customFormat="1" x14ac:dyDescent="0.35">
      <c r="A671" s="260"/>
      <c r="B671" s="260"/>
      <c r="C671" s="260"/>
      <c r="D671" s="260"/>
      <c r="E671" s="260"/>
      <c r="F671" s="260"/>
      <c r="G671" s="260"/>
      <c r="H671" s="260"/>
      <c r="I671" s="260"/>
      <c r="K671" s="304"/>
      <c r="L671" s="304"/>
      <c r="M671" s="304"/>
      <c r="N671" s="275"/>
      <c r="O671" s="276"/>
      <c r="P671" s="276"/>
      <c r="Q671" s="276"/>
      <c r="R671" s="276"/>
      <c r="S671" s="276"/>
      <c r="T671" s="327"/>
      <c r="AE671" s="260"/>
      <c r="AF671" s="260"/>
      <c r="AG671" s="260"/>
      <c r="AH671" s="260"/>
      <c r="AI671" s="260"/>
      <c r="AJ671" s="260"/>
      <c r="AK671" s="260"/>
      <c r="AL671" s="260"/>
      <c r="AM671" s="260"/>
      <c r="AN671" s="260"/>
      <c r="AO671" s="305"/>
      <c r="AP671" s="305"/>
      <c r="AQ671" s="305"/>
      <c r="AT671" s="260"/>
      <c r="AU671" s="260"/>
      <c r="AV671" s="260"/>
      <c r="AW671" s="260"/>
      <c r="AX671" s="260"/>
      <c r="AY671" s="260"/>
      <c r="AZ671" s="260"/>
      <c r="BA671" s="260"/>
      <c r="BB671" s="260"/>
      <c r="BC671" s="260"/>
      <c r="BD671" s="260"/>
      <c r="BE671" s="260"/>
      <c r="BF671" s="260"/>
      <c r="BG671" s="260"/>
      <c r="BH671" s="260"/>
      <c r="BI671" s="260"/>
      <c r="BJ671" s="260"/>
    </row>
    <row r="672" spans="1:62" s="274" customFormat="1" x14ac:dyDescent="0.35">
      <c r="A672" s="260"/>
      <c r="B672" s="260"/>
      <c r="C672" s="260"/>
      <c r="D672" s="260"/>
      <c r="E672" s="260"/>
      <c r="F672" s="260"/>
      <c r="G672" s="260"/>
      <c r="H672" s="260"/>
      <c r="I672" s="260"/>
      <c r="K672" s="304"/>
      <c r="L672" s="304"/>
      <c r="M672" s="304"/>
      <c r="N672" s="275"/>
      <c r="O672" s="276"/>
      <c r="P672" s="276"/>
      <c r="Q672" s="276"/>
      <c r="R672" s="276"/>
      <c r="S672" s="276"/>
      <c r="T672" s="327"/>
      <c r="AE672" s="260"/>
      <c r="AF672" s="260"/>
      <c r="AG672" s="260"/>
      <c r="AH672" s="260"/>
      <c r="AI672" s="260"/>
      <c r="AJ672" s="260"/>
      <c r="AK672" s="260"/>
      <c r="AL672" s="260"/>
      <c r="AM672" s="260"/>
      <c r="AN672" s="260"/>
      <c r="AO672" s="305"/>
      <c r="AP672" s="305"/>
      <c r="AQ672" s="305"/>
      <c r="AT672" s="260"/>
      <c r="AU672" s="260"/>
      <c r="AV672" s="260"/>
      <c r="AW672" s="260"/>
      <c r="AX672" s="260"/>
      <c r="AY672" s="260"/>
      <c r="AZ672" s="260"/>
      <c r="BA672" s="260"/>
      <c r="BB672" s="260"/>
      <c r="BC672" s="260"/>
      <c r="BD672" s="260"/>
      <c r="BE672" s="260"/>
      <c r="BF672" s="260"/>
      <c r="BG672" s="260"/>
      <c r="BH672" s="260"/>
      <c r="BI672" s="260"/>
      <c r="BJ672" s="260"/>
    </row>
    <row r="673" spans="10:44" s="302" customFormat="1" ht="16.5" customHeight="1" x14ac:dyDescent="0.35">
      <c r="J673" s="321"/>
      <c r="K673" s="321"/>
      <c r="L673" s="321"/>
      <c r="M673" s="321"/>
      <c r="N673" s="319"/>
      <c r="O673" s="305"/>
      <c r="P673" s="323"/>
      <c r="Q673" s="327"/>
      <c r="R673" s="327"/>
      <c r="S673" s="326"/>
      <c r="T673" s="327"/>
      <c r="U673" s="389"/>
      <c r="V673" s="389"/>
      <c r="W673" s="389"/>
      <c r="X673" s="385"/>
      <c r="Y673" s="385"/>
      <c r="Z673" s="385"/>
      <c r="AA673" s="385"/>
      <c r="AB673" s="385"/>
      <c r="AC673" s="390"/>
      <c r="AG673" s="320"/>
      <c r="AH673" s="320"/>
      <c r="AI673" s="320"/>
      <c r="AJ673" s="320"/>
      <c r="AK673" s="320"/>
      <c r="AL673" s="320"/>
      <c r="AO673" s="305"/>
      <c r="AP673" s="305"/>
      <c r="AQ673" s="305"/>
      <c r="AR673" s="305"/>
    </row>
    <row r="674" spans="10:44" s="302" customFormat="1" ht="16.5" customHeight="1" x14ac:dyDescent="0.35">
      <c r="J674" s="321"/>
      <c r="K674" s="321"/>
      <c r="L674" s="321"/>
      <c r="M674" s="321"/>
      <c r="N674" s="319"/>
      <c r="O674" s="305"/>
      <c r="P674" s="323"/>
      <c r="Q674" s="327"/>
      <c r="R674" s="327"/>
      <c r="S674" s="326"/>
      <c r="T674" s="327"/>
      <c r="U674" s="389"/>
      <c r="V674" s="389"/>
      <c r="W674" s="389"/>
      <c r="X674" s="385"/>
      <c r="Y674" s="385"/>
      <c r="Z674" s="385"/>
      <c r="AA674" s="385"/>
      <c r="AB674" s="385"/>
      <c r="AC674" s="390"/>
      <c r="AG674" s="320"/>
      <c r="AH674" s="320"/>
      <c r="AI674" s="320"/>
      <c r="AJ674" s="320"/>
      <c r="AK674" s="320"/>
      <c r="AL674" s="320"/>
      <c r="AO674" s="305"/>
      <c r="AP674" s="305"/>
      <c r="AQ674" s="305"/>
      <c r="AR674" s="305"/>
    </row>
    <row r="675" spans="10:44" s="302" customFormat="1" ht="16.5" customHeight="1" x14ac:dyDescent="0.35">
      <c r="J675" s="321"/>
      <c r="K675" s="321"/>
      <c r="L675" s="321"/>
      <c r="M675" s="321"/>
      <c r="N675" s="319"/>
      <c r="O675" s="305"/>
      <c r="P675" s="323"/>
      <c r="Q675" s="327"/>
      <c r="R675" s="327"/>
      <c r="S675" s="326"/>
      <c r="T675" s="327"/>
      <c r="U675" s="389"/>
      <c r="V675" s="389"/>
      <c r="W675" s="389"/>
      <c r="X675" s="385"/>
      <c r="Y675" s="385"/>
      <c r="Z675" s="385"/>
      <c r="AA675" s="385"/>
      <c r="AB675" s="385"/>
      <c r="AC675" s="390"/>
      <c r="AG675" s="320"/>
      <c r="AH675" s="320"/>
      <c r="AI675" s="320"/>
      <c r="AJ675" s="320"/>
      <c r="AK675" s="320"/>
      <c r="AL675" s="320"/>
      <c r="AO675" s="305"/>
      <c r="AP675" s="305"/>
      <c r="AQ675" s="305"/>
      <c r="AR675" s="305"/>
    </row>
    <row r="676" spans="10:44" s="302" customFormat="1" ht="16.5" customHeight="1" x14ac:dyDescent="0.35">
      <c r="J676" s="321"/>
      <c r="K676" s="321"/>
      <c r="L676" s="321"/>
      <c r="M676" s="321"/>
      <c r="N676" s="319"/>
      <c r="O676" s="305"/>
      <c r="P676" s="323"/>
      <c r="Q676" s="327"/>
      <c r="R676" s="327"/>
      <c r="S676" s="326"/>
      <c r="T676" s="327"/>
      <c r="U676" s="389"/>
      <c r="V676" s="389"/>
      <c r="W676" s="389"/>
      <c r="X676" s="385"/>
      <c r="Y676" s="385"/>
      <c r="Z676" s="385"/>
      <c r="AA676" s="385"/>
      <c r="AB676" s="385"/>
      <c r="AC676" s="390"/>
      <c r="AG676" s="320"/>
      <c r="AH676" s="320"/>
      <c r="AI676" s="320"/>
      <c r="AJ676" s="320"/>
      <c r="AK676" s="320"/>
      <c r="AL676" s="320"/>
      <c r="AO676" s="305"/>
      <c r="AP676" s="305"/>
      <c r="AQ676" s="305"/>
      <c r="AR676" s="305"/>
    </row>
    <row r="677" spans="10:44" s="302" customFormat="1" ht="16.5" customHeight="1" x14ac:dyDescent="0.35">
      <c r="J677" s="321"/>
      <c r="K677" s="321"/>
      <c r="L677" s="321"/>
      <c r="M677" s="321"/>
      <c r="N677" s="319"/>
      <c r="O677" s="305"/>
      <c r="P677" s="323"/>
      <c r="Q677" s="327"/>
      <c r="R677" s="327"/>
      <c r="S677" s="326"/>
      <c r="T677" s="327"/>
      <c r="U677" s="389"/>
      <c r="V677" s="389"/>
      <c r="W677" s="389"/>
      <c r="X677" s="385"/>
      <c r="Y677" s="385"/>
      <c r="Z677" s="385"/>
      <c r="AA677" s="385"/>
      <c r="AB677" s="385"/>
      <c r="AC677" s="390"/>
      <c r="AG677" s="320"/>
      <c r="AH677" s="320"/>
      <c r="AI677" s="320"/>
      <c r="AJ677" s="320"/>
      <c r="AK677" s="320"/>
      <c r="AL677" s="320"/>
      <c r="AO677" s="305"/>
      <c r="AP677" s="305"/>
      <c r="AQ677" s="305"/>
      <c r="AR677" s="305"/>
    </row>
    <row r="678" spans="10:44" s="302" customFormat="1" ht="16.5" customHeight="1" x14ac:dyDescent="0.35">
      <c r="J678" s="321"/>
      <c r="K678" s="321"/>
      <c r="L678" s="321"/>
      <c r="M678" s="321"/>
      <c r="N678" s="319"/>
      <c r="O678" s="305"/>
      <c r="P678" s="323"/>
      <c r="Q678" s="327"/>
      <c r="R678" s="327"/>
      <c r="S678" s="326"/>
      <c r="T678" s="327"/>
      <c r="U678" s="389"/>
      <c r="V678" s="389"/>
      <c r="W678" s="389"/>
      <c r="X678" s="385"/>
      <c r="Y678" s="385"/>
      <c r="Z678" s="385"/>
      <c r="AA678" s="385"/>
      <c r="AB678" s="385"/>
      <c r="AC678" s="390"/>
      <c r="AG678" s="320"/>
      <c r="AH678" s="320"/>
      <c r="AI678" s="320"/>
      <c r="AJ678" s="320"/>
      <c r="AK678" s="320"/>
      <c r="AL678" s="320"/>
      <c r="AO678" s="305"/>
      <c r="AP678" s="305"/>
      <c r="AQ678" s="305"/>
      <c r="AR678" s="305"/>
    </row>
    <row r="679" spans="10:44" s="302" customFormat="1" ht="16.5" customHeight="1" x14ac:dyDescent="0.35">
      <c r="J679" s="321"/>
      <c r="K679" s="321"/>
      <c r="L679" s="321"/>
      <c r="M679" s="321"/>
      <c r="N679" s="319"/>
      <c r="O679" s="305"/>
      <c r="P679" s="323"/>
      <c r="Q679" s="327"/>
      <c r="R679" s="327"/>
      <c r="S679" s="326"/>
      <c r="T679" s="327"/>
      <c r="U679" s="389"/>
      <c r="V679" s="389"/>
      <c r="W679" s="389"/>
      <c r="X679" s="385"/>
      <c r="Y679" s="385"/>
      <c r="Z679" s="385"/>
      <c r="AA679" s="385"/>
      <c r="AB679" s="385"/>
      <c r="AC679" s="390"/>
      <c r="AG679" s="320"/>
      <c r="AH679" s="320"/>
      <c r="AI679" s="320"/>
      <c r="AJ679" s="320"/>
      <c r="AK679" s="320"/>
      <c r="AL679" s="320"/>
      <c r="AO679" s="305"/>
      <c r="AP679" s="305"/>
      <c r="AQ679" s="305"/>
      <c r="AR679" s="305"/>
    </row>
    <row r="680" spans="10:44" s="302" customFormat="1" ht="16.5" customHeight="1" x14ac:dyDescent="0.35">
      <c r="J680" s="321"/>
      <c r="K680" s="321"/>
      <c r="L680" s="321"/>
      <c r="M680" s="321"/>
      <c r="N680" s="319"/>
      <c r="O680" s="305"/>
      <c r="P680" s="323"/>
      <c r="Q680" s="327"/>
      <c r="R680" s="327"/>
      <c r="S680" s="326"/>
      <c r="T680" s="327"/>
      <c r="U680" s="389"/>
      <c r="V680" s="389"/>
      <c r="W680" s="389"/>
      <c r="X680" s="385"/>
      <c r="Y680" s="385"/>
      <c r="Z680" s="385"/>
      <c r="AA680" s="385"/>
      <c r="AB680" s="385"/>
      <c r="AC680" s="390"/>
      <c r="AG680" s="320"/>
      <c r="AH680" s="320"/>
      <c r="AI680" s="320"/>
      <c r="AJ680" s="320"/>
      <c r="AK680" s="320"/>
      <c r="AL680" s="320"/>
      <c r="AO680" s="305"/>
      <c r="AP680" s="305"/>
      <c r="AQ680" s="305"/>
      <c r="AR680" s="305"/>
    </row>
    <row r="681" spans="10:44" s="302" customFormat="1" ht="16.5" customHeight="1" x14ac:dyDescent="0.35">
      <c r="J681" s="321"/>
      <c r="K681" s="321"/>
      <c r="L681" s="321"/>
      <c r="M681" s="321"/>
      <c r="N681" s="319"/>
      <c r="O681" s="305"/>
      <c r="P681" s="323"/>
      <c r="Q681" s="327"/>
      <c r="R681" s="327"/>
      <c r="S681" s="326"/>
      <c r="T681" s="327"/>
      <c r="U681" s="389"/>
      <c r="V681" s="389"/>
      <c r="W681" s="389"/>
      <c r="X681" s="385"/>
      <c r="Y681" s="385"/>
      <c r="Z681" s="385"/>
      <c r="AA681" s="385"/>
      <c r="AB681" s="385"/>
      <c r="AC681" s="390"/>
      <c r="AG681" s="320"/>
      <c r="AH681" s="320"/>
      <c r="AI681" s="320"/>
      <c r="AJ681" s="320"/>
      <c r="AK681" s="320"/>
      <c r="AL681" s="320"/>
      <c r="AO681" s="305"/>
      <c r="AP681" s="305"/>
      <c r="AQ681" s="305"/>
      <c r="AR681" s="305"/>
    </row>
    <row r="682" spans="10:44" s="302" customFormat="1" ht="16.5" customHeight="1" x14ac:dyDescent="0.35">
      <c r="J682" s="321"/>
      <c r="K682" s="321"/>
      <c r="L682" s="321"/>
      <c r="M682" s="321"/>
      <c r="N682" s="319"/>
      <c r="O682" s="305"/>
      <c r="P682" s="323"/>
      <c r="Q682" s="327"/>
      <c r="R682" s="327"/>
      <c r="S682" s="326"/>
      <c r="T682" s="327"/>
      <c r="U682" s="389"/>
      <c r="V682" s="389"/>
      <c r="W682" s="389"/>
      <c r="X682" s="385"/>
      <c r="Y682" s="385"/>
      <c r="Z682" s="385"/>
      <c r="AA682" s="385"/>
      <c r="AB682" s="385"/>
      <c r="AC682" s="390"/>
      <c r="AG682" s="320"/>
      <c r="AH682" s="320"/>
      <c r="AI682" s="320"/>
      <c r="AJ682" s="320"/>
      <c r="AK682" s="320"/>
      <c r="AL682" s="320"/>
      <c r="AO682" s="305"/>
      <c r="AP682" s="305"/>
      <c r="AQ682" s="305"/>
      <c r="AR682" s="305"/>
    </row>
    <row r="683" spans="10:44" s="302" customFormat="1" ht="16.5" customHeight="1" x14ac:dyDescent="0.35">
      <c r="J683" s="321"/>
      <c r="K683" s="321"/>
      <c r="L683" s="321"/>
      <c r="M683" s="321"/>
      <c r="N683" s="319"/>
      <c r="O683" s="305"/>
      <c r="P683" s="323"/>
      <c r="Q683" s="327"/>
      <c r="R683" s="327"/>
      <c r="S683" s="326"/>
      <c r="T683" s="327"/>
      <c r="U683" s="389"/>
      <c r="V683" s="389"/>
      <c r="W683" s="389"/>
      <c r="X683" s="385"/>
      <c r="Y683" s="385"/>
      <c r="Z683" s="385"/>
      <c r="AA683" s="385"/>
      <c r="AB683" s="385"/>
      <c r="AC683" s="390"/>
      <c r="AG683" s="320"/>
      <c r="AH683" s="320"/>
      <c r="AI683" s="320"/>
      <c r="AJ683" s="320"/>
      <c r="AK683" s="320"/>
      <c r="AL683" s="320"/>
      <c r="AO683" s="305"/>
      <c r="AP683" s="305"/>
      <c r="AQ683" s="305"/>
      <c r="AR683" s="305"/>
    </row>
    <row r="684" spans="10:44" s="302" customFormat="1" ht="16.5" customHeight="1" x14ac:dyDescent="0.35">
      <c r="J684" s="321"/>
      <c r="K684" s="321"/>
      <c r="L684" s="321"/>
      <c r="M684" s="321"/>
      <c r="N684" s="319"/>
      <c r="O684" s="305"/>
      <c r="P684" s="323"/>
      <c r="Q684" s="327"/>
      <c r="R684" s="327"/>
      <c r="S684" s="326"/>
      <c r="T684" s="327"/>
      <c r="U684" s="389"/>
      <c r="V684" s="389"/>
      <c r="W684" s="389"/>
      <c r="X684" s="385"/>
      <c r="Y684" s="385"/>
      <c r="Z684" s="385"/>
      <c r="AA684" s="385"/>
      <c r="AB684" s="385"/>
      <c r="AC684" s="390"/>
      <c r="AG684" s="320"/>
      <c r="AH684" s="320"/>
      <c r="AI684" s="320"/>
      <c r="AJ684" s="320"/>
      <c r="AK684" s="320"/>
      <c r="AL684" s="320"/>
      <c r="AO684" s="305"/>
      <c r="AP684" s="305"/>
      <c r="AQ684" s="305"/>
      <c r="AR684" s="305"/>
    </row>
    <row r="685" spans="10:44" s="302" customFormat="1" ht="16.5" customHeight="1" x14ac:dyDescent="0.35">
      <c r="J685" s="321"/>
      <c r="K685" s="321"/>
      <c r="L685" s="321"/>
      <c r="M685" s="321"/>
      <c r="N685" s="319"/>
      <c r="O685" s="305"/>
      <c r="P685" s="323"/>
      <c r="Q685" s="327"/>
      <c r="R685" s="327"/>
      <c r="S685" s="326"/>
      <c r="T685" s="327"/>
      <c r="U685" s="389"/>
      <c r="V685" s="389"/>
      <c r="W685" s="389"/>
      <c r="X685" s="385"/>
      <c r="Y685" s="385"/>
      <c r="Z685" s="385"/>
      <c r="AA685" s="385"/>
      <c r="AB685" s="385"/>
      <c r="AC685" s="390"/>
      <c r="AG685" s="320"/>
      <c r="AH685" s="320"/>
      <c r="AI685" s="320"/>
      <c r="AJ685" s="320"/>
      <c r="AK685" s="320"/>
      <c r="AL685" s="320"/>
      <c r="AO685" s="305"/>
      <c r="AP685" s="305"/>
      <c r="AQ685" s="305"/>
      <c r="AR685" s="305"/>
    </row>
    <row r="686" spans="10:44" s="302" customFormat="1" ht="16.5" customHeight="1" x14ac:dyDescent="0.35">
      <c r="J686" s="321"/>
      <c r="K686" s="321"/>
      <c r="L686" s="321"/>
      <c r="M686" s="321"/>
      <c r="N686" s="319"/>
      <c r="O686" s="305"/>
      <c r="P686" s="323"/>
      <c r="Q686" s="327"/>
      <c r="R686" s="327"/>
      <c r="S686" s="326"/>
      <c r="T686" s="327"/>
      <c r="U686" s="389"/>
      <c r="V686" s="389"/>
      <c r="W686" s="389"/>
      <c r="X686" s="385"/>
      <c r="Y686" s="385"/>
      <c r="Z686" s="385"/>
      <c r="AA686" s="385"/>
      <c r="AB686" s="385"/>
      <c r="AC686" s="390"/>
      <c r="AG686" s="320"/>
      <c r="AH686" s="320"/>
      <c r="AI686" s="320"/>
      <c r="AJ686" s="320"/>
      <c r="AK686" s="320"/>
      <c r="AL686" s="320"/>
      <c r="AO686" s="305"/>
      <c r="AP686" s="305"/>
      <c r="AQ686" s="305"/>
      <c r="AR686" s="305"/>
    </row>
    <row r="687" spans="10:44" s="302" customFormat="1" ht="16.5" customHeight="1" x14ac:dyDescent="0.35">
      <c r="J687" s="321"/>
      <c r="K687" s="321"/>
      <c r="L687" s="321"/>
      <c r="M687" s="321"/>
      <c r="N687" s="319"/>
      <c r="O687" s="305"/>
      <c r="P687" s="323"/>
      <c r="Q687" s="327"/>
      <c r="R687" s="327"/>
      <c r="S687" s="326"/>
      <c r="T687" s="327"/>
      <c r="U687" s="389"/>
      <c r="V687" s="389"/>
      <c r="W687" s="389"/>
      <c r="X687" s="385"/>
      <c r="Y687" s="385"/>
      <c r="Z687" s="385"/>
      <c r="AA687" s="385"/>
      <c r="AB687" s="385"/>
      <c r="AC687" s="390"/>
      <c r="AG687" s="320"/>
      <c r="AH687" s="320"/>
      <c r="AI687" s="320"/>
      <c r="AJ687" s="320"/>
      <c r="AK687" s="320"/>
      <c r="AL687" s="320"/>
      <c r="AO687" s="305"/>
      <c r="AP687" s="305"/>
      <c r="AQ687" s="305"/>
      <c r="AR687" s="305"/>
    </row>
    <row r="688" spans="10:44" s="302" customFormat="1" ht="16.5" customHeight="1" x14ac:dyDescent="0.35">
      <c r="J688" s="321"/>
      <c r="K688" s="321"/>
      <c r="L688" s="321"/>
      <c r="M688" s="321"/>
      <c r="N688" s="319"/>
      <c r="O688" s="305"/>
      <c r="P688" s="323"/>
      <c r="Q688" s="327"/>
      <c r="R688" s="327"/>
      <c r="S688" s="326"/>
      <c r="T688" s="327"/>
      <c r="U688" s="389"/>
      <c r="V688" s="389"/>
      <c r="W688" s="389"/>
      <c r="X688" s="385"/>
      <c r="Y688" s="385"/>
      <c r="Z688" s="385"/>
      <c r="AA688" s="385"/>
      <c r="AB688" s="385"/>
      <c r="AC688" s="390"/>
      <c r="AG688" s="320"/>
      <c r="AH688" s="320"/>
      <c r="AI688" s="320"/>
      <c r="AJ688" s="320"/>
      <c r="AK688" s="320"/>
      <c r="AL688" s="320"/>
      <c r="AO688" s="305"/>
      <c r="AP688" s="305"/>
      <c r="AQ688" s="305"/>
      <c r="AR688" s="305"/>
    </row>
    <row r="689" spans="7:44" s="302" customFormat="1" ht="16.5" customHeight="1" x14ac:dyDescent="0.35">
      <c r="J689" s="321"/>
      <c r="K689" s="321"/>
      <c r="L689" s="321"/>
      <c r="M689" s="321"/>
      <c r="N689" s="319"/>
      <c r="O689" s="305"/>
      <c r="P689" s="323"/>
      <c r="Q689" s="327"/>
      <c r="R689" s="327"/>
      <c r="S689" s="326"/>
      <c r="T689" s="327"/>
      <c r="U689" s="389"/>
      <c r="V689" s="389"/>
      <c r="W689" s="389"/>
      <c r="X689" s="385"/>
      <c r="Y689" s="385"/>
      <c r="Z689" s="385"/>
      <c r="AA689" s="385"/>
      <c r="AB689" s="385"/>
      <c r="AC689" s="390"/>
      <c r="AG689" s="320"/>
      <c r="AH689" s="320"/>
      <c r="AI689" s="320"/>
      <c r="AJ689" s="320"/>
      <c r="AK689" s="320"/>
      <c r="AL689" s="320"/>
      <c r="AO689" s="305"/>
      <c r="AP689" s="305"/>
      <c r="AQ689" s="305"/>
      <c r="AR689" s="305"/>
    </row>
    <row r="690" spans="7:44" s="302" customFormat="1" ht="16.5" customHeight="1" x14ac:dyDescent="0.35">
      <c r="J690" s="321"/>
      <c r="K690" s="321"/>
      <c r="L690" s="321"/>
      <c r="M690" s="321"/>
      <c r="N690" s="319"/>
      <c r="O690" s="305"/>
      <c r="P690" s="323"/>
      <c r="Q690" s="327"/>
      <c r="R690" s="327"/>
      <c r="S690" s="326"/>
      <c r="T690" s="327"/>
      <c r="U690" s="389"/>
      <c r="V690" s="389"/>
      <c r="W690" s="389"/>
      <c r="X690" s="385"/>
      <c r="Y690" s="385"/>
      <c r="Z690" s="385"/>
      <c r="AA690" s="385"/>
      <c r="AB690" s="385"/>
      <c r="AC690" s="390"/>
      <c r="AG690" s="320"/>
      <c r="AH690" s="320"/>
      <c r="AI690" s="320"/>
      <c r="AJ690" s="320"/>
      <c r="AK690" s="320"/>
      <c r="AL690" s="320"/>
      <c r="AO690" s="305"/>
      <c r="AP690" s="305"/>
      <c r="AQ690" s="305"/>
      <c r="AR690" s="305"/>
    </row>
    <row r="691" spans="7:44" s="302" customFormat="1" ht="16.5" customHeight="1" x14ac:dyDescent="0.35">
      <c r="J691" s="321"/>
      <c r="K691" s="321"/>
      <c r="L691" s="321"/>
      <c r="M691" s="321"/>
      <c r="N691" s="319"/>
      <c r="O691" s="305"/>
      <c r="P691" s="323"/>
      <c r="Q691" s="327"/>
      <c r="R691" s="327"/>
      <c r="S691" s="326"/>
      <c r="T691" s="327"/>
      <c r="U691" s="389"/>
      <c r="V691" s="389"/>
      <c r="W691" s="389"/>
      <c r="X691" s="385"/>
      <c r="Y691" s="385"/>
      <c r="Z691" s="385"/>
      <c r="AA691" s="385"/>
      <c r="AB691" s="385"/>
      <c r="AC691" s="390"/>
      <c r="AG691" s="320"/>
      <c r="AH691" s="320"/>
      <c r="AI691" s="320"/>
      <c r="AJ691" s="320"/>
      <c r="AK691" s="320"/>
      <c r="AL691" s="320"/>
      <c r="AO691" s="305"/>
      <c r="AP691" s="305"/>
      <c r="AQ691" s="305"/>
      <c r="AR691" s="305"/>
    </row>
    <row r="692" spans="7:44" s="302" customFormat="1" ht="16.5" customHeight="1" x14ac:dyDescent="0.35">
      <c r="J692" s="321"/>
      <c r="K692" s="321"/>
      <c r="L692" s="321"/>
      <c r="M692" s="321"/>
      <c r="N692" s="319"/>
      <c r="O692" s="305"/>
      <c r="P692" s="323"/>
      <c r="Q692" s="327"/>
      <c r="R692" s="327"/>
      <c r="S692" s="326"/>
      <c r="T692" s="327"/>
      <c r="U692" s="389"/>
      <c r="V692" s="389"/>
      <c r="W692" s="389"/>
      <c r="X692" s="385"/>
      <c r="Y692" s="385"/>
      <c r="Z692" s="385"/>
      <c r="AA692" s="385"/>
      <c r="AB692" s="385"/>
      <c r="AC692" s="390"/>
      <c r="AG692" s="320"/>
      <c r="AH692" s="320"/>
      <c r="AI692" s="320"/>
      <c r="AJ692" s="320"/>
      <c r="AK692" s="320"/>
      <c r="AL692" s="320"/>
      <c r="AO692" s="305"/>
      <c r="AP692" s="305"/>
      <c r="AQ692" s="305"/>
      <c r="AR692" s="305"/>
    </row>
    <row r="693" spans="7:44" s="302" customFormat="1" ht="16.5" customHeight="1" x14ac:dyDescent="0.35">
      <c r="G693" s="416"/>
      <c r="J693" s="321"/>
      <c r="K693" s="321"/>
      <c r="L693" s="321"/>
      <c r="M693" s="321"/>
      <c r="N693" s="319"/>
      <c r="O693" s="305"/>
      <c r="P693" s="323"/>
      <c r="Q693" s="327"/>
      <c r="R693" s="327"/>
      <c r="S693" s="326"/>
      <c r="T693" s="327"/>
      <c r="U693" s="389"/>
      <c r="V693" s="389"/>
      <c r="W693" s="389"/>
      <c r="X693" s="385"/>
      <c r="Y693" s="385"/>
      <c r="Z693" s="385"/>
      <c r="AA693" s="385"/>
      <c r="AB693" s="385"/>
      <c r="AC693" s="390"/>
      <c r="AG693" s="320"/>
      <c r="AH693" s="320"/>
      <c r="AI693" s="320"/>
      <c r="AJ693" s="320"/>
      <c r="AK693" s="320"/>
      <c r="AL693" s="320"/>
      <c r="AO693" s="305"/>
      <c r="AP693" s="305"/>
      <c r="AQ693" s="305"/>
      <c r="AR693" s="305"/>
    </row>
    <row r="694" spans="7:44" s="302" customFormat="1" ht="16.5" customHeight="1" x14ac:dyDescent="0.35">
      <c r="G694" s="416"/>
      <c r="J694" s="321"/>
      <c r="K694" s="321"/>
      <c r="L694" s="321"/>
      <c r="M694" s="321"/>
      <c r="N694" s="319"/>
      <c r="O694" s="305"/>
      <c r="P694" s="323"/>
      <c r="Q694" s="327"/>
      <c r="R694" s="327"/>
      <c r="S694" s="326"/>
      <c r="T694" s="327"/>
      <c r="U694" s="389"/>
      <c r="V694" s="389"/>
      <c r="W694" s="389"/>
      <c r="X694" s="385"/>
      <c r="Y694" s="385"/>
      <c r="Z694" s="385"/>
      <c r="AA694" s="385"/>
      <c r="AB694" s="385"/>
      <c r="AC694" s="390"/>
      <c r="AG694" s="320"/>
      <c r="AH694" s="320"/>
      <c r="AI694" s="320"/>
      <c r="AJ694" s="320"/>
      <c r="AK694" s="320"/>
      <c r="AL694" s="320"/>
      <c r="AO694" s="305"/>
      <c r="AP694" s="305"/>
      <c r="AQ694" s="305"/>
      <c r="AR694" s="305"/>
    </row>
    <row r="695" spans="7:44" s="302" customFormat="1" ht="16.5" customHeight="1" x14ac:dyDescent="0.35">
      <c r="G695" s="416"/>
      <c r="J695" s="321"/>
      <c r="K695" s="321"/>
      <c r="L695" s="321"/>
      <c r="M695" s="321"/>
      <c r="N695" s="319"/>
      <c r="O695" s="305"/>
      <c r="P695" s="323"/>
      <c r="Q695" s="327"/>
      <c r="R695" s="327"/>
      <c r="S695" s="326"/>
      <c r="T695" s="327"/>
      <c r="U695" s="389"/>
      <c r="V695" s="389"/>
      <c r="W695" s="389"/>
      <c r="X695" s="385"/>
      <c r="Y695" s="385"/>
      <c r="Z695" s="385"/>
      <c r="AA695" s="385"/>
      <c r="AB695" s="385"/>
      <c r="AC695" s="390"/>
      <c r="AG695" s="320"/>
      <c r="AH695" s="320"/>
      <c r="AI695" s="320"/>
      <c r="AJ695" s="320"/>
      <c r="AK695" s="320"/>
      <c r="AL695" s="320"/>
      <c r="AO695" s="305"/>
      <c r="AP695" s="305"/>
      <c r="AQ695" s="305"/>
      <c r="AR695" s="305"/>
    </row>
    <row r="696" spans="7:44" s="302" customFormat="1" ht="16.5" customHeight="1" x14ac:dyDescent="0.35">
      <c r="G696" s="416"/>
      <c r="J696" s="321"/>
      <c r="K696" s="321"/>
      <c r="L696" s="321"/>
      <c r="M696" s="321"/>
      <c r="N696" s="319"/>
      <c r="O696" s="305"/>
      <c r="P696" s="323"/>
      <c r="Q696" s="327"/>
      <c r="R696" s="327"/>
      <c r="S696" s="326"/>
      <c r="T696" s="327"/>
      <c r="U696" s="389"/>
      <c r="V696" s="389"/>
      <c r="W696" s="389"/>
      <c r="X696" s="385"/>
      <c r="Y696" s="385"/>
      <c r="Z696" s="385"/>
      <c r="AA696" s="385"/>
      <c r="AB696" s="385"/>
      <c r="AC696" s="390"/>
      <c r="AG696" s="320"/>
      <c r="AH696" s="320"/>
      <c r="AI696" s="320"/>
      <c r="AJ696" s="320"/>
      <c r="AK696" s="320"/>
      <c r="AL696" s="320"/>
      <c r="AO696" s="305"/>
      <c r="AP696" s="305"/>
      <c r="AQ696" s="305"/>
      <c r="AR696" s="305"/>
    </row>
    <row r="697" spans="7:44" s="302" customFormat="1" ht="16.5" customHeight="1" x14ac:dyDescent="0.35">
      <c r="J697" s="321"/>
      <c r="K697" s="321"/>
      <c r="L697" s="321"/>
      <c r="M697" s="321"/>
      <c r="N697" s="319"/>
      <c r="O697" s="305"/>
      <c r="P697" s="323"/>
      <c r="Q697" s="327"/>
      <c r="R697" s="327"/>
      <c r="S697" s="326"/>
      <c r="T697" s="327"/>
      <c r="U697" s="389"/>
      <c r="V697" s="389"/>
      <c r="W697" s="389"/>
      <c r="X697" s="385"/>
      <c r="Y697" s="385"/>
      <c r="Z697" s="385"/>
      <c r="AA697" s="385"/>
      <c r="AB697" s="385"/>
      <c r="AC697" s="390"/>
      <c r="AG697" s="320"/>
      <c r="AH697" s="320"/>
      <c r="AI697" s="320"/>
      <c r="AJ697" s="320"/>
      <c r="AK697" s="320"/>
      <c r="AL697" s="320"/>
      <c r="AO697" s="305"/>
      <c r="AP697" s="305"/>
      <c r="AQ697" s="305"/>
      <c r="AR697" s="305"/>
    </row>
    <row r="698" spans="7:44" s="302" customFormat="1" ht="16.5" customHeight="1" x14ac:dyDescent="0.35">
      <c r="J698" s="321"/>
      <c r="K698" s="321"/>
      <c r="L698" s="321"/>
      <c r="M698" s="321"/>
      <c r="N698" s="319"/>
      <c r="O698" s="305"/>
      <c r="P698" s="323"/>
      <c r="Q698" s="327"/>
      <c r="R698" s="327"/>
      <c r="S698" s="326"/>
      <c r="T698" s="304"/>
      <c r="U698" s="389"/>
      <c r="V698" s="389"/>
      <c r="W698" s="389"/>
      <c r="X698" s="385"/>
      <c r="Y698" s="385"/>
      <c r="Z698" s="385"/>
      <c r="AA698" s="385"/>
      <c r="AB698" s="385"/>
      <c r="AC698" s="390"/>
      <c r="AG698" s="320"/>
      <c r="AH698" s="320"/>
      <c r="AI698" s="320"/>
      <c r="AJ698" s="320"/>
      <c r="AK698" s="320"/>
      <c r="AL698" s="320"/>
      <c r="AO698" s="305"/>
      <c r="AP698" s="305"/>
      <c r="AQ698" s="305"/>
      <c r="AR698" s="305"/>
    </row>
    <row r="699" spans="7:44" s="302" customFormat="1" ht="16.5" customHeight="1" x14ac:dyDescent="0.35">
      <c r="J699" s="321"/>
      <c r="K699" s="321"/>
      <c r="L699" s="321"/>
      <c r="M699" s="321"/>
      <c r="N699" s="319"/>
      <c r="O699" s="305"/>
      <c r="P699" s="323"/>
      <c r="Q699" s="327"/>
      <c r="R699" s="327"/>
      <c r="S699" s="326"/>
      <c r="T699" s="304"/>
      <c r="U699" s="389"/>
      <c r="V699" s="389"/>
      <c r="W699" s="389"/>
      <c r="X699" s="385"/>
      <c r="Y699" s="385"/>
      <c r="Z699" s="385"/>
      <c r="AA699" s="385"/>
      <c r="AB699" s="385"/>
      <c r="AC699" s="390"/>
      <c r="AG699" s="320"/>
      <c r="AH699" s="320"/>
      <c r="AI699" s="320"/>
      <c r="AJ699" s="320"/>
      <c r="AK699" s="320"/>
      <c r="AL699" s="320"/>
      <c r="AO699" s="305"/>
      <c r="AP699" s="305"/>
      <c r="AQ699" s="305"/>
      <c r="AR699" s="305"/>
    </row>
    <row r="700" spans="7:44" s="302" customFormat="1" ht="16.5" customHeight="1" x14ac:dyDescent="0.35">
      <c r="J700" s="321"/>
      <c r="K700" s="321"/>
      <c r="L700" s="321"/>
      <c r="M700" s="321"/>
      <c r="N700" s="319"/>
      <c r="O700" s="305"/>
      <c r="P700" s="323"/>
      <c r="Q700" s="327"/>
      <c r="R700" s="327"/>
      <c r="S700" s="326"/>
      <c r="T700" s="304"/>
      <c r="U700" s="389"/>
      <c r="V700" s="389"/>
      <c r="W700" s="389"/>
      <c r="X700" s="385"/>
      <c r="Y700" s="385"/>
      <c r="Z700" s="385"/>
      <c r="AA700" s="385"/>
      <c r="AB700" s="385"/>
      <c r="AC700" s="390"/>
      <c r="AG700" s="320"/>
      <c r="AH700" s="320"/>
      <c r="AI700" s="320"/>
      <c r="AJ700" s="320"/>
      <c r="AK700" s="320"/>
      <c r="AL700" s="320"/>
      <c r="AO700" s="305"/>
      <c r="AP700" s="305"/>
      <c r="AQ700" s="305"/>
      <c r="AR700" s="305"/>
    </row>
    <row r="701" spans="7:44" s="302" customFormat="1" ht="16.5" customHeight="1" x14ac:dyDescent="0.35">
      <c r="J701" s="321"/>
      <c r="K701" s="321"/>
      <c r="L701" s="321"/>
      <c r="M701" s="321"/>
      <c r="N701" s="319"/>
      <c r="O701" s="305"/>
      <c r="P701" s="323"/>
      <c r="Q701" s="327"/>
      <c r="R701" s="327"/>
      <c r="S701" s="326"/>
      <c r="T701" s="304"/>
      <c r="U701" s="389"/>
      <c r="V701" s="389"/>
      <c r="W701" s="389"/>
      <c r="X701" s="385"/>
      <c r="Y701" s="385"/>
      <c r="Z701" s="385"/>
      <c r="AA701" s="385"/>
      <c r="AB701" s="385"/>
      <c r="AC701" s="390"/>
      <c r="AG701" s="320"/>
      <c r="AH701" s="320"/>
      <c r="AI701" s="320"/>
      <c r="AJ701" s="320"/>
      <c r="AK701" s="320"/>
      <c r="AL701" s="320"/>
      <c r="AO701" s="305"/>
      <c r="AP701" s="305"/>
      <c r="AQ701" s="305"/>
      <c r="AR701" s="305"/>
    </row>
    <row r="702" spans="7:44" s="302" customFormat="1" ht="16.5" customHeight="1" x14ac:dyDescent="0.35">
      <c r="J702" s="321"/>
      <c r="K702" s="321"/>
      <c r="L702" s="321"/>
      <c r="M702" s="321"/>
      <c r="N702" s="319"/>
      <c r="O702" s="305"/>
      <c r="P702" s="323"/>
      <c r="Q702" s="327"/>
      <c r="R702" s="327"/>
      <c r="S702" s="326"/>
      <c r="T702" s="304"/>
      <c r="U702" s="389"/>
      <c r="V702" s="389"/>
      <c r="W702" s="389"/>
      <c r="X702" s="385"/>
      <c r="Y702" s="385"/>
      <c r="Z702" s="385"/>
      <c r="AA702" s="385"/>
      <c r="AB702" s="385"/>
      <c r="AC702" s="390"/>
      <c r="AG702" s="320"/>
      <c r="AH702" s="320"/>
      <c r="AI702" s="320"/>
      <c r="AJ702" s="320"/>
      <c r="AK702" s="320"/>
      <c r="AL702" s="320"/>
      <c r="AO702" s="305"/>
      <c r="AP702" s="305"/>
      <c r="AQ702" s="305"/>
      <c r="AR702" s="305"/>
    </row>
    <row r="703" spans="7:44" s="302" customFormat="1" ht="16.5" customHeight="1" x14ac:dyDescent="0.35">
      <c r="J703" s="321"/>
      <c r="K703" s="321"/>
      <c r="L703" s="321"/>
      <c r="M703" s="321"/>
      <c r="N703" s="319"/>
      <c r="O703" s="305"/>
      <c r="P703" s="323"/>
      <c r="Q703" s="327"/>
      <c r="R703" s="327"/>
      <c r="S703" s="326"/>
      <c r="T703" s="304"/>
      <c r="U703" s="389"/>
      <c r="V703" s="389"/>
      <c r="W703" s="389"/>
      <c r="X703" s="385"/>
      <c r="Y703" s="385"/>
      <c r="Z703" s="385"/>
      <c r="AA703" s="385"/>
      <c r="AB703" s="385"/>
      <c r="AC703" s="390"/>
      <c r="AG703" s="320"/>
      <c r="AH703" s="320"/>
      <c r="AI703" s="320"/>
      <c r="AJ703" s="320"/>
      <c r="AK703" s="320"/>
      <c r="AL703" s="320"/>
      <c r="AO703" s="305"/>
      <c r="AP703" s="305"/>
      <c r="AQ703" s="305"/>
      <c r="AR703" s="305"/>
    </row>
    <row r="704" spans="7:44" s="302" customFormat="1" ht="16.5" customHeight="1" x14ac:dyDescent="0.35">
      <c r="J704" s="321"/>
      <c r="K704" s="321"/>
      <c r="L704" s="321"/>
      <c r="M704" s="321"/>
      <c r="N704" s="319"/>
      <c r="O704" s="305"/>
      <c r="P704" s="323"/>
      <c r="Q704" s="327"/>
      <c r="R704" s="327"/>
      <c r="S704" s="326"/>
      <c r="T704" s="304"/>
      <c r="U704" s="389"/>
      <c r="V704" s="389"/>
      <c r="W704" s="389"/>
      <c r="X704" s="385"/>
      <c r="Y704" s="385"/>
      <c r="Z704" s="385"/>
      <c r="AA704" s="385"/>
      <c r="AB704" s="385"/>
      <c r="AC704" s="390"/>
      <c r="AG704" s="320"/>
      <c r="AH704" s="320"/>
      <c r="AI704" s="320"/>
      <c r="AJ704" s="320"/>
      <c r="AK704" s="320"/>
      <c r="AL704" s="320"/>
      <c r="AO704" s="305"/>
      <c r="AP704" s="305"/>
      <c r="AQ704" s="305"/>
      <c r="AR704" s="305"/>
    </row>
    <row r="705" spans="10:44" s="302" customFormat="1" ht="16.5" customHeight="1" x14ac:dyDescent="0.35">
      <c r="J705" s="321"/>
      <c r="K705" s="321"/>
      <c r="L705" s="321"/>
      <c r="M705" s="321"/>
      <c r="N705" s="319"/>
      <c r="O705" s="305"/>
      <c r="P705" s="323"/>
      <c r="Q705" s="327"/>
      <c r="R705" s="327"/>
      <c r="S705" s="326"/>
      <c r="T705" s="304"/>
      <c r="U705" s="389"/>
      <c r="V705" s="389"/>
      <c r="W705" s="389"/>
      <c r="X705" s="385"/>
      <c r="Y705" s="385"/>
      <c r="Z705" s="385"/>
      <c r="AA705" s="385"/>
      <c r="AB705" s="385"/>
      <c r="AC705" s="390"/>
      <c r="AG705" s="320"/>
      <c r="AH705" s="320"/>
      <c r="AI705" s="320"/>
      <c r="AJ705" s="320"/>
      <c r="AK705" s="320"/>
      <c r="AL705" s="320"/>
      <c r="AO705" s="305"/>
      <c r="AP705" s="305"/>
      <c r="AQ705" s="305"/>
      <c r="AR705" s="305"/>
    </row>
    <row r="706" spans="10:44" s="302" customFormat="1" ht="16.5" customHeight="1" x14ac:dyDescent="0.35">
      <c r="J706" s="321"/>
      <c r="K706" s="321"/>
      <c r="L706" s="321"/>
      <c r="M706" s="321"/>
      <c r="N706" s="319"/>
      <c r="O706" s="305"/>
      <c r="P706" s="323"/>
      <c r="Q706" s="327"/>
      <c r="R706" s="327"/>
      <c r="S706" s="326"/>
      <c r="T706" s="304"/>
      <c r="U706" s="389"/>
      <c r="V706" s="389"/>
      <c r="W706" s="389"/>
      <c r="X706" s="385"/>
      <c r="Y706" s="385"/>
      <c r="Z706" s="385"/>
      <c r="AA706" s="385"/>
      <c r="AB706" s="385"/>
      <c r="AC706" s="390"/>
      <c r="AG706" s="320"/>
      <c r="AH706" s="320"/>
      <c r="AI706" s="320"/>
      <c r="AJ706" s="320"/>
      <c r="AK706" s="320"/>
      <c r="AL706" s="320"/>
      <c r="AO706" s="305"/>
      <c r="AP706" s="305"/>
      <c r="AQ706" s="305"/>
      <c r="AR706" s="305"/>
    </row>
    <row r="707" spans="10:44" s="302" customFormat="1" ht="16.5" customHeight="1" x14ac:dyDescent="0.35">
      <c r="J707" s="321"/>
      <c r="K707" s="321"/>
      <c r="L707" s="321"/>
      <c r="M707" s="321"/>
      <c r="N707" s="319"/>
      <c r="O707" s="305"/>
      <c r="P707" s="323"/>
      <c r="Q707" s="327"/>
      <c r="R707" s="327"/>
      <c r="S707" s="326"/>
      <c r="T707" s="304"/>
      <c r="U707" s="389"/>
      <c r="V707" s="389"/>
      <c r="W707" s="389"/>
      <c r="X707" s="385"/>
      <c r="Y707" s="385"/>
      <c r="Z707" s="385"/>
      <c r="AA707" s="385"/>
      <c r="AB707" s="385"/>
      <c r="AC707" s="390"/>
      <c r="AG707" s="320"/>
      <c r="AH707" s="320"/>
      <c r="AI707" s="320"/>
      <c r="AJ707" s="320"/>
      <c r="AK707" s="320"/>
      <c r="AL707" s="320"/>
      <c r="AO707" s="305"/>
      <c r="AP707" s="305"/>
      <c r="AQ707" s="305"/>
      <c r="AR707" s="305"/>
    </row>
    <row r="708" spans="10:44" s="302" customFormat="1" ht="16.5" customHeight="1" x14ac:dyDescent="0.35">
      <c r="J708" s="321"/>
      <c r="K708" s="321"/>
      <c r="L708" s="321"/>
      <c r="M708" s="321"/>
      <c r="N708" s="319"/>
      <c r="O708" s="305"/>
      <c r="P708" s="323"/>
      <c r="Q708" s="327"/>
      <c r="R708" s="327"/>
      <c r="S708" s="326"/>
      <c r="T708" s="304"/>
      <c r="U708" s="389"/>
      <c r="V708" s="389"/>
      <c r="W708" s="389"/>
      <c r="X708" s="385"/>
      <c r="Y708" s="385"/>
      <c r="Z708" s="385"/>
      <c r="AA708" s="385"/>
      <c r="AB708" s="385"/>
      <c r="AC708" s="390"/>
      <c r="AG708" s="320"/>
      <c r="AH708" s="320"/>
      <c r="AI708" s="320"/>
      <c r="AJ708" s="320"/>
      <c r="AK708" s="320"/>
      <c r="AL708" s="320"/>
      <c r="AO708" s="305"/>
      <c r="AP708" s="305"/>
      <c r="AQ708" s="305"/>
      <c r="AR708" s="305"/>
    </row>
  </sheetData>
  <autoFilter ref="A4:BJ385" xr:uid="{27901B87-A512-46C8-A669-3DCA843FB70F}"/>
  <mergeCells count="15">
    <mergeCell ref="A518:A519"/>
    <mergeCell ref="C518:G518"/>
    <mergeCell ref="A590:B590"/>
    <mergeCell ref="P21:P26"/>
    <mergeCell ref="P243:P247"/>
    <mergeCell ref="P285:P290"/>
    <mergeCell ref="P346:P350"/>
    <mergeCell ref="P352:P355"/>
    <mergeCell ref="P363:P372"/>
    <mergeCell ref="A1:U1"/>
    <mergeCell ref="O7:O8"/>
    <mergeCell ref="P7:P8"/>
    <mergeCell ref="P12:P17"/>
    <mergeCell ref="O18:O19"/>
    <mergeCell ref="P18:P19"/>
  </mergeCells>
  <pageMargins left="0.5" right="0.5" top="0.5" bottom="0.75" header="0.3" footer="0.3"/>
  <pageSetup scale="58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8570-8A58-4DB3-B3EA-0149D407A00F}">
  <sheetPr filterMode="1">
    <pageSetUpPr fitToPage="1"/>
  </sheetPr>
  <dimension ref="A1:BL1048489"/>
  <sheetViews>
    <sheetView topLeftCell="C1" zoomScale="70" zoomScaleNormal="70" workbookViewId="0">
      <pane ySplit="4" topLeftCell="A5" activePane="bottomLeft" state="frozen"/>
      <selection activeCell="J367" sqref="J367"/>
      <selection pane="bottomLeft" activeCell="H199" sqref="H199"/>
    </sheetView>
  </sheetViews>
  <sheetFormatPr defaultColWidth="9.1796875" defaultRowHeight="14" x14ac:dyDescent="0.35"/>
  <cols>
    <col min="1" max="3" width="17.7265625" style="260" customWidth="1"/>
    <col min="4" max="4" width="36.81640625" style="260" customWidth="1"/>
    <col min="5" max="5" width="29.7265625" style="260" customWidth="1"/>
    <col min="6" max="6" width="23.453125" style="260" customWidth="1"/>
    <col min="7" max="7" width="30.26953125" style="260" customWidth="1"/>
    <col min="8" max="8" width="9.7265625" style="260" customWidth="1"/>
    <col min="9" max="10" width="9.1796875" style="260" customWidth="1"/>
    <col min="11" max="11" width="11.1796875" style="304" customWidth="1"/>
    <col min="12" max="13" width="10" style="304" customWidth="1"/>
    <col min="14" max="14" width="9.7265625" style="275" customWidth="1"/>
    <col min="15" max="15" width="13.54296875" style="276" customWidth="1"/>
    <col min="16" max="17" width="16.1796875" style="276" customWidth="1"/>
    <col min="18" max="18" width="15.453125" style="276" customWidth="1"/>
    <col min="19" max="19" width="12.453125" style="276" customWidth="1"/>
    <col min="20" max="20" width="18.81640625" style="304" customWidth="1"/>
    <col min="21" max="21" width="35.1796875" style="274" customWidth="1"/>
    <col min="22" max="22" width="38.7265625" style="274" customWidth="1"/>
    <col min="23" max="23" width="34.81640625" style="274" customWidth="1"/>
    <col min="24" max="24" width="13.26953125" style="274" customWidth="1"/>
    <col min="25" max="28" width="12.453125" style="274" customWidth="1"/>
    <col min="29" max="29" width="18.81640625" style="274" customWidth="1"/>
    <col min="30" max="30" width="12.453125" style="274" customWidth="1"/>
    <col min="31" max="31" width="36.453125" style="260" customWidth="1"/>
    <col min="32" max="32" width="18.26953125" style="260" customWidth="1"/>
    <col min="33" max="33" width="12.81640625" style="260" customWidth="1"/>
    <col min="34" max="34" width="12.7265625" style="260" customWidth="1"/>
    <col min="35" max="38" width="13.453125" style="260" customWidth="1"/>
    <col min="39" max="39" width="22.453125" style="260" customWidth="1"/>
    <col min="40" max="40" width="15" style="260" customWidth="1"/>
    <col min="41" max="43" width="13.54296875" style="305" customWidth="1"/>
    <col min="44" max="45" width="12.453125" style="274" customWidth="1"/>
    <col min="46" max="57" width="9.1796875" style="260" customWidth="1"/>
    <col min="58" max="58" width="14.1796875" style="260" customWidth="1"/>
    <col min="59" max="59" width="13.54296875" style="260" customWidth="1"/>
    <col min="60" max="60" width="16.1796875" style="260" customWidth="1"/>
    <col min="61" max="61" width="11.54296875" style="260" customWidth="1"/>
    <col min="62" max="62" width="10.54296875" style="260" customWidth="1"/>
    <col min="63" max="63" width="11.81640625" style="260" customWidth="1"/>
    <col min="64" max="64" width="14" style="260" customWidth="1"/>
    <col min="65" max="16384" width="9.1796875" style="260"/>
  </cols>
  <sheetData>
    <row r="1" spans="1:64" ht="21" customHeight="1" x14ac:dyDescent="0.35">
      <c r="A1" s="843" t="s">
        <v>4596</v>
      </c>
      <c r="B1" s="843"/>
      <c r="C1" s="843"/>
      <c r="D1" s="843"/>
      <c r="E1" s="843"/>
      <c r="F1" s="843"/>
      <c r="G1" s="843"/>
      <c r="H1" s="843"/>
      <c r="I1" s="843"/>
      <c r="J1" s="843"/>
      <c r="K1" s="843"/>
      <c r="L1" s="843"/>
      <c r="M1" s="843"/>
      <c r="N1" s="843"/>
      <c r="O1" s="843"/>
      <c r="P1" s="843"/>
      <c r="Q1" s="843"/>
      <c r="R1" s="843"/>
      <c r="S1" s="843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</row>
    <row r="2" spans="1:64" x14ac:dyDescent="0.35">
      <c r="BF2" s="302" t="str">
        <f>MID(E2,5,5)&amp;".2016"</f>
        <v>.2016</v>
      </c>
      <c r="BG2" s="302" t="str">
        <f>LEFT(BF2,2)&amp;"/"&amp;MID(BF2,4,2)&amp;"/"&amp;RIGHT(BF2,4)</f>
        <v>.2/16/2016</v>
      </c>
      <c r="BH2" s="306" t="e">
        <f>BG2+7</f>
        <v>#VALUE!</v>
      </c>
      <c r="BI2" s="302" t="e">
        <f ca="1">TODAY()-BH2</f>
        <v>#VALUE!</v>
      </c>
    </row>
    <row r="3" spans="1:64" x14ac:dyDescent="0.35">
      <c r="G3" s="280"/>
    </row>
    <row r="4" spans="1:64" ht="42.75" customHeight="1" x14ac:dyDescent="0.35">
      <c r="A4" s="271" t="s">
        <v>3728</v>
      </c>
      <c r="B4" s="261" t="s">
        <v>3729</v>
      </c>
      <c r="C4" s="261" t="s">
        <v>3730</v>
      </c>
      <c r="D4" s="417" t="s">
        <v>69</v>
      </c>
      <c r="E4" s="110" t="s">
        <v>4</v>
      </c>
      <c r="F4" s="261" t="s">
        <v>71</v>
      </c>
      <c r="G4" s="261" t="s">
        <v>72</v>
      </c>
      <c r="H4" s="261" t="s">
        <v>73</v>
      </c>
      <c r="I4" s="261" t="s">
        <v>74</v>
      </c>
      <c r="J4" s="262" t="s">
        <v>3731</v>
      </c>
      <c r="K4" s="262" t="s">
        <v>76</v>
      </c>
      <c r="L4" s="263" t="s">
        <v>2544</v>
      </c>
      <c r="M4" s="263" t="s">
        <v>2545</v>
      </c>
      <c r="N4" s="264" t="s">
        <v>79</v>
      </c>
      <c r="O4" s="292" t="s">
        <v>3734</v>
      </c>
      <c r="P4" s="307" t="s">
        <v>3735</v>
      </c>
      <c r="Q4" s="262" t="s">
        <v>3736</v>
      </c>
      <c r="R4" s="308" t="s">
        <v>3737</v>
      </c>
      <c r="S4" s="262" t="s">
        <v>3738</v>
      </c>
      <c r="T4" s="303" t="s">
        <v>3739</v>
      </c>
      <c r="U4" s="262" t="s">
        <v>83</v>
      </c>
      <c r="V4" s="262"/>
      <c r="W4" s="262" t="s">
        <v>85</v>
      </c>
      <c r="X4" s="266" t="s">
        <v>10</v>
      </c>
      <c r="Y4" s="267" t="s">
        <v>3741</v>
      </c>
      <c r="Z4" s="268" t="s">
        <v>3742</v>
      </c>
      <c r="AA4" s="269" t="s">
        <v>14</v>
      </c>
      <c r="AB4" s="270" t="s">
        <v>16</v>
      </c>
      <c r="AC4" s="262" t="s">
        <v>86</v>
      </c>
      <c r="AD4" s="262" t="s">
        <v>87</v>
      </c>
      <c r="AE4" s="261" t="s">
        <v>88</v>
      </c>
      <c r="AF4" s="261" t="s">
        <v>89</v>
      </c>
      <c r="AG4" s="271" t="s">
        <v>90</v>
      </c>
      <c r="AH4" s="271" t="s">
        <v>91</v>
      </c>
      <c r="AI4" s="271" t="s">
        <v>2553</v>
      </c>
      <c r="AJ4" s="271" t="s">
        <v>2554</v>
      </c>
      <c r="AK4" s="271" t="s">
        <v>2555</v>
      </c>
      <c r="AL4" s="271" t="s">
        <v>93</v>
      </c>
      <c r="AM4" s="261" t="s">
        <v>95</v>
      </c>
      <c r="AN4" s="261" t="s">
        <v>96</v>
      </c>
      <c r="AO4" s="272" t="s">
        <v>2556</v>
      </c>
      <c r="AP4" s="272" t="s">
        <v>2557</v>
      </c>
      <c r="AQ4" s="272" t="s">
        <v>2558</v>
      </c>
      <c r="AR4" s="262" t="s">
        <v>2559</v>
      </c>
      <c r="AS4" s="262"/>
      <c r="AU4" s="309" t="s">
        <v>4597</v>
      </c>
      <c r="AW4" s="309" t="s">
        <v>4598</v>
      </c>
      <c r="BB4" s="309"/>
      <c r="BC4" s="309"/>
      <c r="BE4" s="309" t="s">
        <v>111</v>
      </c>
      <c r="BF4" s="309"/>
      <c r="BG4" s="309"/>
      <c r="BH4" s="309"/>
      <c r="BI4" s="418"/>
      <c r="BK4" s="309" t="s">
        <v>3746</v>
      </c>
      <c r="BL4" s="309" t="s">
        <v>4599</v>
      </c>
    </row>
    <row r="5" spans="1:64" s="312" customFormat="1" ht="19.5" hidden="1" customHeight="1" x14ac:dyDescent="0.35">
      <c r="A5" s="311" t="s">
        <v>4600</v>
      </c>
      <c r="K5" s="314"/>
      <c r="L5" s="314"/>
      <c r="M5" s="314"/>
      <c r="N5" s="315"/>
      <c r="O5" s="316"/>
      <c r="P5" s="316"/>
      <c r="Q5" s="316"/>
      <c r="R5" s="316"/>
      <c r="S5" s="316"/>
      <c r="T5" s="314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O5" s="317"/>
      <c r="AP5" s="317"/>
      <c r="AQ5" s="317"/>
      <c r="AR5" s="313"/>
      <c r="AS5" s="313"/>
    </row>
    <row r="6" spans="1:64" hidden="1" x14ac:dyDescent="0.35"/>
    <row r="7" spans="1:64" s="302" customFormat="1" ht="21" hidden="1" customHeight="1" x14ac:dyDescent="0.35">
      <c r="A7" s="334">
        <v>43012</v>
      </c>
      <c r="B7" s="335">
        <f ca="1">IF(A7="",(IF(ISNUMBER(SUBSTITUTE(LEFT(RIGHT(E7,LEN(E7)-MIN(SEARCH({1,2,3,4,5,6,7,8,9,0},E7&amp;"1234567890"))+1),10),".","/"))=TRUE,AJ7-(SUBSTITUTE(LEFT(RIGHT(E7,LEN(E7)-MIN(SEARCH({1,2,3,4,5,6,7,8,9,0},E7&amp;"1234567890"))+1),10),".","/")),IF((SUBSTITUTE(LEFT(RIGHT(E7,LEN(E7)-MIN(SEARCH({1,2,3,4,5,6,7,8,9,0},E7&amp;"1234567890"))+1),10),".","/"))="","",(AJ7)-(MID(RIGHT((SUBSTITUTE(LEFT(RIGHT(E7,LEN(E7)-MIN(SEARCH({1,2,3,4,5,6,7,8,9,0},E7&amp;"1234567890"))+1),10),".","/")),10),4,2)&amp;"/"&amp;LEFT((RIGHT((SUBSTITUTE(LEFT(RIGHT(E7,LEN(E7)-MIN(SEARCH({1,2,3,4,5,6,7,8,9,0},E7&amp;"1234567890"))+1),10),".","/")),10)),2)&amp;"/"&amp;RIGHT((SUBSTITUTE(LEFT(RIGHT(E7,LEN(E7)-MIN(SEARCH({1,2,3,4,5,6,7,8,9,0},E7&amp;"1234567890"))+1),10),".","/")),4))))),(AJ7-A7))</f>
        <v>1951</v>
      </c>
      <c r="C7" s="294"/>
      <c r="D7" s="294" t="str">
        <f t="shared" ref="D7:D14" si="0">IF(LEFT(V7,7)="MAT RET","R"&amp;"-"&amp;H7&amp;"/"&amp;I7&amp;"-"&amp;TEXT(K7,"0.00")&amp;"X"&amp;IF(Q7="",N7,Q7),IF(N7&lt;570,"FGMKW2","FGCKW2")&amp;"-"&amp;H7&amp;"/"&amp;I7&amp;"-"&amp;TEXT(K7,"0.00")&amp;"X"&amp;IF(Q7="",N7,Q7))</f>
        <v>FGMKW2-304/2B-002X116,8</v>
      </c>
      <c r="E7" s="294" t="s">
        <v>4601</v>
      </c>
      <c r="F7" s="294" t="s">
        <v>4602</v>
      </c>
      <c r="G7" s="294" t="s">
        <v>4603</v>
      </c>
      <c r="H7" s="294">
        <v>304</v>
      </c>
      <c r="I7" s="294" t="s">
        <v>116</v>
      </c>
      <c r="J7" s="294"/>
      <c r="K7" s="149">
        <v>1.5</v>
      </c>
      <c r="L7" s="149"/>
      <c r="M7" s="149"/>
      <c r="N7" s="335">
        <v>116.8</v>
      </c>
      <c r="O7" s="296">
        <v>0.57599999999999996</v>
      </c>
      <c r="P7" s="345"/>
      <c r="Q7" s="299">
        <v>116.8</v>
      </c>
      <c r="R7" s="294"/>
      <c r="S7" s="294"/>
      <c r="T7" s="299"/>
      <c r="U7" s="130" t="s">
        <v>3497</v>
      </c>
      <c r="V7" s="419" t="s">
        <v>4604</v>
      </c>
      <c r="W7" s="420"/>
      <c r="X7" s="421"/>
      <c r="Y7" s="421"/>
      <c r="Z7" s="421"/>
      <c r="AA7" s="421"/>
      <c r="AB7" s="421"/>
      <c r="AC7" s="422"/>
      <c r="AD7" s="294"/>
      <c r="AE7" s="294"/>
      <c r="AF7" s="294"/>
      <c r="AG7" s="334"/>
      <c r="AH7" s="334"/>
      <c r="AI7" s="334"/>
      <c r="AJ7" s="334">
        <f t="shared" ref="AJ7:AJ20" ca="1" si="1">TODAY()</f>
        <v>44963</v>
      </c>
      <c r="AK7" s="334"/>
      <c r="AL7" s="334"/>
      <c r="AM7" s="294"/>
      <c r="AN7" s="294"/>
      <c r="AO7" s="297"/>
      <c r="AP7" s="297"/>
      <c r="AQ7" s="297"/>
      <c r="AR7" s="297"/>
      <c r="AU7" s="302" t="s">
        <v>4605</v>
      </c>
      <c r="BA7" s="302" t="s">
        <v>4606</v>
      </c>
      <c r="BD7" s="423"/>
      <c r="BE7" s="423" t="s">
        <v>125</v>
      </c>
      <c r="BK7" s="302" t="s">
        <v>3514</v>
      </c>
      <c r="BL7" s="302" t="s">
        <v>3515</v>
      </c>
    </row>
    <row r="8" spans="1:64" s="381" customFormat="1" ht="21" hidden="1" customHeight="1" x14ac:dyDescent="0.35">
      <c r="A8" s="334">
        <v>43899</v>
      </c>
      <c r="B8" s="335">
        <f ca="1">IF(A8="",(IF(ISNUMBER(SUBSTITUTE(LEFT(RIGHT(E8,LEN(E8)-MIN(SEARCH({1,2,3,4,5,6,7,8,9,0},E8&amp;"1234567890"))+1),10),".","/"))=TRUE,AJ8-(SUBSTITUTE(LEFT(RIGHT(E8,LEN(E8)-MIN(SEARCH({1,2,3,4,5,6,7,8,9,0},E8&amp;"1234567890"))+1),10),".","/")),IF((SUBSTITUTE(LEFT(RIGHT(E8,LEN(E8)-MIN(SEARCH({1,2,3,4,5,6,7,8,9,0},E8&amp;"1234567890"))+1),10),".","/"))="","",(AJ8)-(MID(RIGHT((SUBSTITUTE(LEFT(RIGHT(E8,LEN(E8)-MIN(SEARCH({1,2,3,4,5,6,7,8,9,0},E8&amp;"1234567890"))+1),10),".","/")),10),4,2)&amp;"/"&amp;LEFT((RIGHT((SUBSTITUTE(LEFT(RIGHT(E8,LEN(E8)-MIN(SEARCH({1,2,3,4,5,6,7,8,9,0},E8&amp;"1234567890"))+1),10),".","/")),10)),2)&amp;"/"&amp;RIGHT((SUBSTITUTE(LEFT(RIGHT(E8,LEN(E8)-MIN(SEARCH({1,2,3,4,5,6,7,8,9,0},E8&amp;"1234567890"))+1),10),".","/")),4))))),(AJ8-A8))</f>
        <v>1064</v>
      </c>
      <c r="C8" s="336"/>
      <c r="D8" s="294" t="str">
        <f t="shared" si="0"/>
        <v>FGMKW2-304/2B-001X380</v>
      </c>
      <c r="E8" s="294" t="s">
        <v>4607</v>
      </c>
      <c r="F8" s="294" t="s">
        <v>4608</v>
      </c>
      <c r="G8" s="424" t="s">
        <v>4609</v>
      </c>
      <c r="H8" s="294">
        <v>304</v>
      </c>
      <c r="I8" s="294" t="s">
        <v>116</v>
      </c>
      <c r="J8" s="294"/>
      <c r="K8" s="149">
        <v>1.2</v>
      </c>
      <c r="L8" s="149">
        <v>1.1499999999999999</v>
      </c>
      <c r="M8" s="149">
        <v>1.17</v>
      </c>
      <c r="N8" s="339">
        <v>380</v>
      </c>
      <c r="O8" s="296">
        <v>0.80900000000000005</v>
      </c>
      <c r="P8" s="345">
        <v>0.81</v>
      </c>
      <c r="Q8" s="348">
        <v>380</v>
      </c>
      <c r="R8" s="336"/>
      <c r="S8" s="339"/>
      <c r="T8" s="299"/>
      <c r="U8" s="130" t="s">
        <v>3497</v>
      </c>
      <c r="V8" s="419" t="s">
        <v>4610</v>
      </c>
      <c r="W8" s="299" t="s">
        <v>116</v>
      </c>
      <c r="X8" s="421" t="s">
        <v>4611</v>
      </c>
      <c r="Y8" s="421" t="s">
        <v>4612</v>
      </c>
      <c r="Z8" s="421" t="s">
        <v>4613</v>
      </c>
      <c r="AA8" s="421" t="s">
        <v>4613</v>
      </c>
      <c r="AB8" s="421"/>
      <c r="AC8" s="422"/>
      <c r="AD8" s="294" t="s">
        <v>64</v>
      </c>
      <c r="AE8" s="294" t="s">
        <v>182</v>
      </c>
      <c r="AF8" s="294" t="s">
        <v>183</v>
      </c>
      <c r="AG8" s="334">
        <v>42751</v>
      </c>
      <c r="AH8" s="334">
        <v>42799</v>
      </c>
      <c r="AI8" s="334"/>
      <c r="AJ8" s="334">
        <f t="shared" ca="1" si="1"/>
        <v>44963</v>
      </c>
      <c r="AK8" s="334">
        <v>215</v>
      </c>
      <c r="AL8" s="334"/>
      <c r="AM8" s="294" t="s">
        <v>4614</v>
      </c>
      <c r="AN8" s="294" t="s">
        <v>4615</v>
      </c>
      <c r="AO8" s="297">
        <v>10.65</v>
      </c>
      <c r="AP8" s="297"/>
      <c r="AQ8" s="297"/>
      <c r="AR8" s="297">
        <v>10.737</v>
      </c>
      <c r="AS8" s="302"/>
      <c r="AT8" s="302"/>
      <c r="AU8" s="302" t="s">
        <v>4616</v>
      </c>
      <c r="AV8" s="302"/>
      <c r="AW8" s="302"/>
      <c r="AX8" s="302"/>
      <c r="AY8" s="302"/>
      <c r="AZ8" s="302"/>
      <c r="BA8" s="302" t="s">
        <v>4606</v>
      </c>
      <c r="BE8" s="423" t="s">
        <v>125</v>
      </c>
      <c r="BF8" s="302"/>
      <c r="BG8" s="423"/>
      <c r="BH8" s="423"/>
      <c r="BI8" s="302"/>
      <c r="BK8" s="331" t="s">
        <v>3514</v>
      </c>
      <c r="BL8" s="381" t="s">
        <v>3515</v>
      </c>
    </row>
    <row r="9" spans="1:64" s="331" customFormat="1" ht="19.5" hidden="1" customHeight="1" x14ac:dyDescent="0.35">
      <c r="A9" s="334"/>
      <c r="B9" s="335" t="e">
        <f ca="1">IF(A9="",(IF(ISNUMBER(SUBSTITUTE(LEFT(RIGHT(E9,LEN(E9)-MIN(SEARCH({1,2,3,4,5,6,7,8,9,0},E9&amp;"1234567890"))+1),10),".","/"))=TRUE,AJ9-(SUBSTITUTE(LEFT(RIGHT(E9,LEN(E9)-MIN(SEARCH({1,2,3,4,5,6,7,8,9,0},E9&amp;"1234567890"))+1),10),".","/")),IF((SUBSTITUTE(LEFT(RIGHT(E9,LEN(E9)-MIN(SEARCH({1,2,3,4,5,6,7,8,9,0},E9&amp;"1234567890"))+1),10),".","/"))="","",(AJ9)-(MID(RIGHT((SUBSTITUTE(LEFT(RIGHT(E9,LEN(E9)-MIN(SEARCH({1,2,3,4,5,6,7,8,9,0},E9&amp;"1234567890"))+1),10),".","/")),10),4,2)&amp;"/"&amp;LEFT((RIGHT((SUBSTITUTE(LEFT(RIGHT(E9,LEN(E9)-MIN(SEARCH({1,2,3,4,5,6,7,8,9,0},E9&amp;"1234567890"))+1),10),".","/")),10)),2)&amp;"/"&amp;RIGHT((SUBSTITUTE(LEFT(RIGHT(E9,LEN(E9)-MIN(SEARCH({1,2,3,4,5,6,7,8,9,0},E9&amp;"1234567890"))+1),10),".","/")),4))))),(AJ9-A9))</f>
        <v>#VALUE!</v>
      </c>
      <c r="C9" s="334"/>
      <c r="D9" s="294" t="str">
        <f t="shared" si="0"/>
        <v>FGCKW2-304/2B-001X197,3</v>
      </c>
      <c r="E9" s="294" t="s">
        <v>4617</v>
      </c>
      <c r="F9" s="294" t="s">
        <v>4618</v>
      </c>
      <c r="G9" s="294" t="s">
        <v>4619</v>
      </c>
      <c r="H9" s="294">
        <v>304</v>
      </c>
      <c r="I9" s="337" t="s">
        <v>116</v>
      </c>
      <c r="J9" s="149">
        <v>3.46</v>
      </c>
      <c r="K9" s="149">
        <v>1.17</v>
      </c>
      <c r="L9" s="149">
        <v>1.17</v>
      </c>
      <c r="M9" s="149">
        <v>1.19</v>
      </c>
      <c r="N9" s="335">
        <v>770</v>
      </c>
      <c r="O9" s="296">
        <f>3.325-2.47</f>
        <v>0.85499999999999998</v>
      </c>
      <c r="P9" s="345"/>
      <c r="Q9" s="138">
        <v>197.3</v>
      </c>
      <c r="R9" s="366"/>
      <c r="S9" s="339"/>
      <c r="T9" s="345"/>
      <c r="U9" s="130" t="s">
        <v>3497</v>
      </c>
      <c r="V9" s="130" t="s">
        <v>4620</v>
      </c>
      <c r="W9" s="282" t="s">
        <v>116</v>
      </c>
      <c r="X9" s="340">
        <v>43797</v>
      </c>
      <c r="Y9" s="340">
        <v>43797</v>
      </c>
      <c r="Z9" s="340">
        <v>43799</v>
      </c>
      <c r="AA9" s="340"/>
      <c r="AB9" s="340"/>
      <c r="AC9" s="341"/>
      <c r="AD9" s="342" t="s">
        <v>64</v>
      </c>
      <c r="AE9" s="342" t="s">
        <v>203</v>
      </c>
      <c r="AF9" s="284" t="s">
        <v>4621</v>
      </c>
      <c r="AG9" s="284"/>
      <c r="AH9" s="284">
        <v>43795</v>
      </c>
      <c r="AI9" s="284"/>
      <c r="AJ9" s="334">
        <f t="shared" ca="1" si="1"/>
        <v>44963</v>
      </c>
      <c r="AK9" s="342">
        <f ca="1">IF(AH9&lt;&gt;0,AJ9-AH9,0)</f>
        <v>1168</v>
      </c>
      <c r="AL9" s="342">
        <f ca="1">IF(ISNUMBER(Z9)=TRUE,AJ9-Z9,IF(Z9="","",(AJ9)-(MID(RIGHT(Z9,10),4,2)&amp;"/"&amp;LEFT((RIGHT(Z9,10)),2)&amp;"/"&amp;RIGHT(Z9,4))))</f>
        <v>1164</v>
      </c>
      <c r="AM9" s="284"/>
      <c r="AN9" s="284" t="s">
        <v>4622</v>
      </c>
      <c r="AO9" s="343">
        <v>10.574999999999999</v>
      </c>
      <c r="AP9" s="343">
        <v>10.585000000000001</v>
      </c>
      <c r="AQ9" s="343">
        <v>10.6</v>
      </c>
      <c r="AR9" s="343">
        <v>10.605</v>
      </c>
      <c r="AS9" s="331">
        <f ca="1">IF(ISNUMBER(Y9)=TRUE,AJ9-Y9,IF(Y9="","",(AJ9)-(MID(RIGHT(Y9,10),4,2)&amp;"/"&amp;LEFT((RIGHT(Y9,10)),2)&amp;"/"&amp;RIGHT(Y9,4))))</f>
        <v>1166</v>
      </c>
      <c r="AV9" s="331" t="s">
        <v>136</v>
      </c>
      <c r="BA9" s="302" t="s">
        <v>4606</v>
      </c>
      <c r="BE9" s="423" t="s">
        <v>125</v>
      </c>
      <c r="BK9" s="331" t="s">
        <v>3514</v>
      </c>
      <c r="BL9" s="331" t="s">
        <v>3515</v>
      </c>
    </row>
    <row r="10" spans="1:64" s="331" customFormat="1" ht="19.5" hidden="1" customHeight="1" x14ac:dyDescent="0.35">
      <c r="A10" s="334">
        <v>44301</v>
      </c>
      <c r="B10" s="335">
        <f ca="1">IF(A10="",(IF(ISNUMBER(SUBSTITUTE(LEFT(RIGHT(E10,LEN(E10)-MIN(SEARCH({1,2,3,4,5,6,7,8,9,0},E10&amp;"1234567890"))+1),10),".","/"))=TRUE,AJ10-(SUBSTITUTE(LEFT(RIGHT(E10,LEN(E10)-MIN(SEARCH({1,2,3,4,5,6,7,8,9,0},E10&amp;"1234567890"))+1),10),".","/")),IF((SUBSTITUTE(LEFT(RIGHT(E10,LEN(E10)-MIN(SEARCH({1,2,3,4,5,6,7,8,9,0},E10&amp;"1234567890"))+1),10),".","/"))="","",(AJ10)-(MID(RIGHT((SUBSTITUTE(LEFT(RIGHT(E10,LEN(E10)-MIN(SEARCH({1,2,3,4,5,6,7,8,9,0},E10&amp;"1234567890"))+1),10),".","/")),10),4,2)&amp;"/"&amp;LEFT((RIGHT((SUBSTITUTE(LEFT(RIGHT(E10,LEN(E10)-MIN(SEARCH({1,2,3,4,5,6,7,8,9,0},E10&amp;"1234567890"))+1),10),".","/")),10)),2)&amp;"/"&amp;RIGHT((SUBSTITUTE(LEFT(RIGHT(E10,LEN(E10)-MIN(SEARCH({1,2,3,4,5,6,7,8,9,0},E10&amp;"1234567890"))+1),10),".","/")),4))))),(AJ10-A10))</f>
        <v>662</v>
      </c>
      <c r="C10" s="334"/>
      <c r="D10" s="294" t="str">
        <f t="shared" si="0"/>
        <v>FGCKW2-430/2B-002X763</v>
      </c>
      <c r="E10" s="294" t="s">
        <v>4623</v>
      </c>
      <c r="F10" s="294" t="s">
        <v>4624</v>
      </c>
      <c r="G10" s="294" t="s">
        <v>4625</v>
      </c>
      <c r="H10" s="294">
        <v>430</v>
      </c>
      <c r="I10" s="337" t="s">
        <v>116</v>
      </c>
      <c r="J10" s="149">
        <v>4</v>
      </c>
      <c r="K10" s="149">
        <v>1.95</v>
      </c>
      <c r="L10" s="149">
        <v>1.92</v>
      </c>
      <c r="M10" s="149">
        <v>1.95</v>
      </c>
      <c r="N10" s="335">
        <v>763</v>
      </c>
      <c r="O10" s="296">
        <v>1.2050000000000001</v>
      </c>
      <c r="P10" s="345">
        <v>1.206</v>
      </c>
      <c r="Q10" s="138">
        <v>763</v>
      </c>
      <c r="R10" s="366"/>
      <c r="S10" s="339"/>
      <c r="T10" s="345"/>
      <c r="U10" s="130" t="s">
        <v>3497</v>
      </c>
      <c r="V10" s="282" t="s">
        <v>117</v>
      </c>
      <c r="W10" s="282"/>
      <c r="X10" s="340">
        <v>43446</v>
      </c>
      <c r="Y10" s="340">
        <v>43446</v>
      </c>
      <c r="Z10" s="340">
        <v>43448</v>
      </c>
      <c r="AA10" s="340">
        <v>43889</v>
      </c>
      <c r="AB10" s="340"/>
      <c r="AC10" s="341" t="s">
        <v>181</v>
      </c>
      <c r="AD10" s="342" t="s">
        <v>64</v>
      </c>
      <c r="AE10" s="342" t="s">
        <v>132</v>
      </c>
      <c r="AF10" s="284" t="s">
        <v>192</v>
      </c>
      <c r="AG10" s="284">
        <v>43329</v>
      </c>
      <c r="AH10" s="284">
        <v>43348</v>
      </c>
      <c r="AI10" s="284"/>
      <c r="AJ10" s="334">
        <f t="shared" ca="1" si="1"/>
        <v>44963</v>
      </c>
      <c r="AK10" s="342">
        <f ca="1">IF(AH10&lt;&gt;0,AJ10-AH10,0)</f>
        <v>1615</v>
      </c>
      <c r="AL10" s="342">
        <f ca="1">IF(ISNUMBER(Z10)=TRUE,AJ10-Z10,IF(Z10="","",(AJ10)-(MID(RIGHT(Z10,10),4,2)&amp;"/"&amp;LEFT((RIGHT(Z10,10)),2)&amp;"/"&amp;RIGHT(Z10,4))))</f>
        <v>1515</v>
      </c>
      <c r="AM10" s="284" t="s">
        <v>193</v>
      </c>
      <c r="AN10" s="284" t="s">
        <v>194</v>
      </c>
      <c r="AO10" s="343">
        <v>11.29</v>
      </c>
      <c r="AP10" s="343">
        <v>11.305</v>
      </c>
      <c r="AQ10" s="343">
        <v>11.315</v>
      </c>
      <c r="AR10" s="343">
        <v>11.32</v>
      </c>
      <c r="AS10" s="331">
        <f ca="1">IF(ISNUMBER(Y10)=TRUE,AJ10-Y10,IF(Y10="","",(AJ10)-(MID(RIGHT(Y10,10),4,2)&amp;"/"&amp;LEFT((RIGHT(Y10,10)),2)&amp;"/"&amp;RIGHT(Y10,4))))</f>
        <v>1517</v>
      </c>
      <c r="AT10" s="331">
        <v>134</v>
      </c>
      <c r="AV10" s="331" t="s">
        <v>195</v>
      </c>
      <c r="AZ10" s="331" t="s">
        <v>186</v>
      </c>
      <c r="BC10" s="331">
        <v>0</v>
      </c>
      <c r="BE10" s="302" t="s">
        <v>227</v>
      </c>
      <c r="BK10" s="331" t="s">
        <v>3514</v>
      </c>
      <c r="BL10" s="331" t="s">
        <v>3515</v>
      </c>
    </row>
    <row r="11" spans="1:64" s="331" customFormat="1" ht="18" hidden="1" customHeight="1" x14ac:dyDescent="0.3">
      <c r="A11" s="334">
        <v>44301</v>
      </c>
      <c r="B11" s="335">
        <f ca="1">IF(A11="",(IF(ISNUMBER(SUBSTITUTE(LEFT(RIGHT(E11,LEN(E11)-MIN(SEARCH({1,2,3,4,5,6,7,8,9,0},E11&amp;"1234567890"))+1),10),".","/"))=TRUE,AJ11-(SUBSTITUTE(LEFT(RIGHT(E11,LEN(E11)-MIN(SEARCH({1,2,3,4,5,6,7,8,9,0},E11&amp;"1234567890"))+1),10),".","/")),IF((SUBSTITUTE(LEFT(RIGHT(E11,LEN(E11)-MIN(SEARCH({1,2,3,4,5,6,7,8,9,0},E11&amp;"1234567890"))+1),10),".","/"))="","",(AJ11)-(MID(RIGHT((SUBSTITUTE(LEFT(RIGHT(E11,LEN(E11)-MIN(SEARCH({1,2,3,4,5,6,7,8,9,0},E11&amp;"1234567890"))+1),10),".","/")),10),4,2)&amp;"/"&amp;LEFT((RIGHT((SUBSTITUTE(LEFT(RIGHT(E11,LEN(E11)-MIN(SEARCH({1,2,3,4,5,6,7,8,9,0},E11&amp;"1234567890"))+1),10),".","/")),10)),2)&amp;"/"&amp;RIGHT((SUBSTITUTE(LEFT(RIGHT(E11,LEN(E11)-MIN(SEARCH({1,2,3,4,5,6,7,8,9,0},E11&amp;"1234567890"))+1),10),".","/")),4))))),(AJ11-A11))</f>
        <v>662</v>
      </c>
      <c r="C11" s="334"/>
      <c r="D11" s="294" t="str">
        <f t="shared" si="0"/>
        <v>FGCKW2-430/2B-002X750</v>
      </c>
      <c r="E11" s="294" t="s">
        <v>4626</v>
      </c>
      <c r="F11" s="294" t="s">
        <v>4627</v>
      </c>
      <c r="G11" s="294" t="s">
        <v>4628</v>
      </c>
      <c r="H11" s="294">
        <v>430</v>
      </c>
      <c r="I11" s="337" t="s">
        <v>116</v>
      </c>
      <c r="J11" s="149">
        <v>4</v>
      </c>
      <c r="K11" s="149">
        <v>1.6</v>
      </c>
      <c r="L11" s="149">
        <v>1.57</v>
      </c>
      <c r="M11" s="149">
        <v>1.59</v>
      </c>
      <c r="N11" s="335">
        <v>750</v>
      </c>
      <c r="O11" s="296">
        <v>0.375</v>
      </c>
      <c r="P11" s="345">
        <v>0.376</v>
      </c>
      <c r="Q11" s="138">
        <v>750</v>
      </c>
      <c r="R11" s="366"/>
      <c r="S11" s="339"/>
      <c r="T11" s="299"/>
      <c r="U11" s="282" t="s">
        <v>3497</v>
      </c>
      <c r="V11" s="282"/>
      <c r="W11" s="425" t="s">
        <v>4629</v>
      </c>
      <c r="X11" s="340">
        <v>43938</v>
      </c>
      <c r="Y11" s="340">
        <v>43941</v>
      </c>
      <c r="Z11" s="340">
        <v>43968</v>
      </c>
      <c r="AA11" s="340"/>
      <c r="AB11" s="340"/>
      <c r="AC11" s="341"/>
      <c r="AD11" s="342" t="s">
        <v>64</v>
      </c>
      <c r="AE11" s="342" t="s">
        <v>209</v>
      </c>
      <c r="AF11" s="284" t="s">
        <v>210</v>
      </c>
      <c r="AG11" s="284">
        <v>43313</v>
      </c>
      <c r="AH11" s="284">
        <v>43413</v>
      </c>
      <c r="AI11" s="284"/>
      <c r="AJ11" s="334">
        <f t="shared" ca="1" si="1"/>
        <v>44963</v>
      </c>
      <c r="AK11" s="342">
        <f ca="1">IF(AH11&lt;&gt;0,AJ11-AH11,0)</f>
        <v>1550</v>
      </c>
      <c r="AL11" s="342">
        <f ca="1">IF(ISNUMBER(Z11)=TRUE,AJ11-Z11,IF(Z11="","",(AJ11)-(MID(RIGHT(Z11,10),4,2)&amp;"/"&amp;LEFT((RIGHT(Z11,10)),2)&amp;"/"&amp;RIGHT(Z11,4))))</f>
        <v>995</v>
      </c>
      <c r="AM11" s="284" t="s">
        <v>4199</v>
      </c>
      <c r="AN11" s="284" t="s">
        <v>4627</v>
      </c>
      <c r="AO11" s="343">
        <v>10.051</v>
      </c>
      <c r="AP11" s="343">
        <v>10.081</v>
      </c>
      <c r="AQ11" s="343">
        <v>10.039999999999999</v>
      </c>
      <c r="AR11" s="343">
        <v>10.045</v>
      </c>
      <c r="AS11" s="331">
        <f ca="1">IF(ISNUMBER(Y11)=TRUE,AJ11-Y11,IF(Y11="","",(AJ11)-(MID(RIGHT(Y11,10),4,2)&amp;"/"&amp;LEFT((RIGHT(Y11,10)),2)&amp;"/"&amp;RIGHT(Y11,4))))</f>
        <v>1022</v>
      </c>
      <c r="AV11" s="331" t="s">
        <v>136</v>
      </c>
      <c r="BE11" s="331" t="s">
        <v>125</v>
      </c>
      <c r="BK11" s="331" t="s">
        <v>3514</v>
      </c>
      <c r="BL11" s="331" t="s">
        <v>3515</v>
      </c>
    </row>
    <row r="12" spans="1:64" s="331" customFormat="1" ht="18" hidden="1" customHeight="1" x14ac:dyDescent="0.3">
      <c r="A12" s="334"/>
      <c r="B12" s="335" t="e">
        <f ca="1">IF(A12="",(IF(ISNUMBER(SUBSTITUTE(LEFT(RIGHT(E12,LEN(E12)-MIN(SEARCH({1,2,3,4,5,6,7,8,9,0},E12&amp;"1234567890"))+1),10),".","/"))=TRUE,AJ12-(SUBSTITUTE(LEFT(RIGHT(E12,LEN(E12)-MIN(SEARCH({1,2,3,4,5,6,7,8,9,0},E12&amp;"1234567890"))+1),10),".","/")),IF((SUBSTITUTE(LEFT(RIGHT(E12,LEN(E12)-MIN(SEARCH({1,2,3,4,5,6,7,8,9,0},E12&amp;"1234567890"))+1),10),".","/"))="","",(AJ12)-(MID(RIGHT((SUBSTITUTE(LEFT(RIGHT(E12,LEN(E12)-MIN(SEARCH({1,2,3,4,5,6,7,8,9,0},E12&amp;"1234567890"))+1),10),".","/")),10),4,2)&amp;"/"&amp;LEFT((RIGHT((SUBSTITUTE(LEFT(RIGHT(E12,LEN(E12)-MIN(SEARCH({1,2,3,4,5,6,7,8,9,0},E12&amp;"1234567890"))+1),10),".","/")),10)),2)&amp;"/"&amp;RIGHT((SUBSTITUTE(LEFT(RIGHT(E12,LEN(E12)-MIN(SEARCH({1,2,3,4,5,6,7,8,9,0},E12&amp;"1234567890"))+1),10),".","/")),4))))),(AJ12-A12))</f>
        <v>#VALUE!</v>
      </c>
      <c r="C12" s="334"/>
      <c r="D12" s="294" t="str">
        <f t="shared" si="0"/>
        <v>FGCKW2-304/2B-001X77,8</v>
      </c>
      <c r="E12" s="294" t="s">
        <v>4630</v>
      </c>
      <c r="F12" s="294" t="s">
        <v>4175</v>
      </c>
      <c r="G12" s="294" t="s">
        <v>4631</v>
      </c>
      <c r="H12" s="294">
        <v>304</v>
      </c>
      <c r="I12" s="337" t="s">
        <v>116</v>
      </c>
      <c r="J12" s="149">
        <v>1.1399999999999999</v>
      </c>
      <c r="K12" s="149">
        <v>0.78</v>
      </c>
      <c r="L12" s="149">
        <v>0.77</v>
      </c>
      <c r="M12" s="149">
        <v>0.79</v>
      </c>
      <c r="N12" s="335">
        <v>730</v>
      </c>
      <c r="O12" s="296">
        <v>0.29499999999999998</v>
      </c>
      <c r="P12" s="345"/>
      <c r="Q12" s="138">
        <v>77.8</v>
      </c>
      <c r="R12" s="366"/>
      <c r="S12" s="339"/>
      <c r="T12" s="299"/>
      <c r="U12" s="282" t="s">
        <v>3497</v>
      </c>
      <c r="V12" s="282" t="s">
        <v>4632</v>
      </c>
      <c r="W12" s="426" t="s">
        <v>4633</v>
      </c>
      <c r="X12" s="340" t="s">
        <v>4177</v>
      </c>
      <c r="Y12" s="340" t="s">
        <v>4178</v>
      </c>
      <c r="Z12" s="340" t="s">
        <v>4179</v>
      </c>
      <c r="AA12" s="340"/>
      <c r="AB12" s="340"/>
      <c r="AC12" s="341"/>
      <c r="AD12" s="342" t="s">
        <v>65</v>
      </c>
      <c r="AE12" s="342" t="s">
        <v>132</v>
      </c>
      <c r="AF12" s="284" t="s">
        <v>4180</v>
      </c>
      <c r="AG12" s="284">
        <v>43284</v>
      </c>
      <c r="AH12" s="284">
        <v>43299</v>
      </c>
      <c r="AI12" s="284"/>
      <c r="AJ12" s="334">
        <f t="shared" ca="1" si="1"/>
        <v>44963</v>
      </c>
      <c r="AK12" s="342">
        <f ca="1">IF(AH12&lt;&gt;0,AJ12-AH12,0)</f>
        <v>1664</v>
      </c>
      <c r="AL12" s="342">
        <f ca="1">IF(ISNUMBER(Z12)=TRUE,AJ12-Z12,IF(Z12="","",(AJ12)-(MID(RIGHT(Z12,10),4,2)&amp;"/"&amp;LEFT((RIGHT(Z12,10)),2)&amp;"/"&amp;RIGHT(Z12,4))))</f>
        <v>946</v>
      </c>
      <c r="AM12" s="284"/>
      <c r="AN12" s="284" t="s">
        <v>4175</v>
      </c>
      <c r="AO12" s="343">
        <v>8.9849999999999994</v>
      </c>
      <c r="AP12" s="343">
        <v>9</v>
      </c>
      <c r="AQ12" s="343">
        <v>8.9949999999999992</v>
      </c>
      <c r="AR12" s="343">
        <v>9</v>
      </c>
      <c r="AS12" s="331">
        <f ca="1">IF(ISNUMBER(Y12)=TRUE,AJ12-Y12,IF(Y12="","",(AJ12)-(MID(RIGHT(Y12,10),4,2)&amp;"/"&amp;LEFT((RIGHT(Y12,10)),2)&amp;"/"&amp;RIGHT(Y12,4))))</f>
        <v>1037</v>
      </c>
      <c r="AV12" s="331" t="s">
        <v>136</v>
      </c>
      <c r="BB12" s="331" t="s">
        <v>4181</v>
      </c>
      <c r="BE12" s="331" t="s">
        <v>125</v>
      </c>
      <c r="BK12" s="331" t="s">
        <v>3514</v>
      </c>
      <c r="BL12" s="331" t="s">
        <v>3572</v>
      </c>
    </row>
    <row r="13" spans="1:64" s="331" customFormat="1" ht="18" hidden="1" customHeight="1" x14ac:dyDescent="0.3">
      <c r="A13" s="334">
        <v>44301</v>
      </c>
      <c r="B13" s="335">
        <f ca="1">IF(A13="",(IF(ISNUMBER(SUBSTITUTE(LEFT(RIGHT(E13,LEN(E13)-MIN(SEARCH({1,2,3,4,5,6,7,8,9,0},E13&amp;"1234567890"))+1),10),".","/"))=TRUE,AJ13-(SUBSTITUTE(LEFT(RIGHT(E13,LEN(E13)-MIN(SEARCH({1,2,3,4,5,6,7,8,9,0},E13&amp;"1234567890"))+1),10),".","/")),IF((SUBSTITUTE(LEFT(RIGHT(E13,LEN(E13)-MIN(SEARCH({1,2,3,4,5,6,7,8,9,0},E13&amp;"1234567890"))+1),10),".","/"))="","",(AJ13)-(MID(RIGHT((SUBSTITUTE(LEFT(RIGHT(E13,LEN(E13)-MIN(SEARCH({1,2,3,4,5,6,7,8,9,0},E13&amp;"1234567890"))+1),10),".","/")),10),4,2)&amp;"/"&amp;LEFT((RIGHT((SUBSTITUTE(LEFT(RIGHT(E13,LEN(E13)-MIN(SEARCH({1,2,3,4,5,6,7,8,9,0},E13&amp;"1234567890"))+1),10),".","/")),10)),2)&amp;"/"&amp;RIGHT((SUBSTITUTE(LEFT(RIGHT(E13,LEN(E13)-MIN(SEARCH({1,2,3,4,5,6,7,8,9,0},E13&amp;"1234567890"))+1),10),".","/")),4))))),(AJ13-A13))</f>
        <v>662</v>
      </c>
      <c r="C13" s="334"/>
      <c r="D13" s="294" t="str">
        <f t="shared" si="0"/>
        <v>FGCKW2-304/2B-001X725</v>
      </c>
      <c r="E13" s="294" t="s">
        <v>4634</v>
      </c>
      <c r="F13" s="294" t="s">
        <v>4635</v>
      </c>
      <c r="G13" s="294" t="s">
        <v>4636</v>
      </c>
      <c r="H13" s="294">
        <v>304</v>
      </c>
      <c r="I13" s="337" t="s">
        <v>116</v>
      </c>
      <c r="J13" s="149"/>
      <c r="K13" s="149">
        <v>0.5</v>
      </c>
      <c r="L13" s="149">
        <v>0.45</v>
      </c>
      <c r="M13" s="149">
        <v>0.45</v>
      </c>
      <c r="N13" s="335">
        <v>725</v>
      </c>
      <c r="O13" s="296">
        <v>0.60499999999999998</v>
      </c>
      <c r="P13" s="345">
        <v>0.60599999999999998</v>
      </c>
      <c r="Q13" s="138">
        <v>725</v>
      </c>
      <c r="R13" s="366"/>
      <c r="S13" s="339"/>
      <c r="T13" s="299"/>
      <c r="U13" s="282" t="s">
        <v>3497</v>
      </c>
      <c r="V13" s="427" t="s">
        <v>4637</v>
      </c>
      <c r="W13" s="426" t="s">
        <v>4638</v>
      </c>
      <c r="X13" s="340"/>
      <c r="Y13" s="340"/>
      <c r="Z13" s="340"/>
      <c r="AA13" s="340"/>
      <c r="AB13" s="340"/>
      <c r="AC13" s="341"/>
      <c r="AD13" s="342"/>
      <c r="AE13" s="342"/>
      <c r="AF13" s="284"/>
      <c r="AG13" s="284"/>
      <c r="AH13" s="284"/>
      <c r="AI13" s="284"/>
      <c r="AJ13" s="334">
        <f t="shared" ca="1" si="1"/>
        <v>44963</v>
      </c>
      <c r="AK13" s="342"/>
      <c r="AL13" s="342"/>
      <c r="AM13" s="284"/>
      <c r="AN13" s="284"/>
      <c r="AO13" s="343"/>
      <c r="AP13" s="343"/>
      <c r="AQ13" s="343"/>
      <c r="AR13" s="343"/>
      <c r="BK13" s="331" t="s">
        <v>3514</v>
      </c>
      <c r="BL13" s="331" t="s">
        <v>3572</v>
      </c>
    </row>
    <row r="14" spans="1:64" s="331" customFormat="1" ht="18" hidden="1" customHeight="1" x14ac:dyDescent="0.35">
      <c r="A14" s="334">
        <v>44301</v>
      </c>
      <c r="B14" s="335">
        <f ca="1">IF(A14="",(IF(ISNUMBER(SUBSTITUTE(LEFT(RIGHT(E14,LEN(E14)-MIN(SEARCH({1,2,3,4,5,6,7,8,9,0},E14&amp;"1234567890"))+1),10),".","/"))=TRUE,AJ14-(SUBSTITUTE(LEFT(RIGHT(E14,LEN(E14)-MIN(SEARCH({1,2,3,4,5,6,7,8,9,0},E14&amp;"1234567890"))+1),10),".","/")),IF((SUBSTITUTE(LEFT(RIGHT(E14,LEN(E14)-MIN(SEARCH({1,2,3,4,5,6,7,8,9,0},E14&amp;"1234567890"))+1),10),".","/"))="","",(AJ14)-(MID(RIGHT((SUBSTITUTE(LEFT(RIGHT(E14,LEN(E14)-MIN(SEARCH({1,2,3,4,5,6,7,8,9,0},E14&amp;"1234567890"))+1),10),".","/")),10),4,2)&amp;"/"&amp;LEFT((RIGHT((SUBSTITUTE(LEFT(RIGHT(E14,LEN(E14)-MIN(SEARCH({1,2,3,4,5,6,7,8,9,0},E14&amp;"1234567890"))+1),10),".","/")),10)),2)&amp;"/"&amp;RIGHT((SUBSTITUTE(LEFT(RIGHT(E14,LEN(E14)-MIN(SEARCH({1,2,3,4,5,6,7,8,9,0},E14&amp;"1234567890"))+1),10),".","/")),4))))),(AJ14-A14))</f>
        <v>662</v>
      </c>
      <c r="C14" s="334"/>
      <c r="D14" s="294" t="str">
        <f t="shared" si="0"/>
        <v>FGCKW2-430/2B-002X763</v>
      </c>
      <c r="E14" s="294" t="s">
        <v>4639</v>
      </c>
      <c r="F14" s="294" t="s">
        <v>4624</v>
      </c>
      <c r="G14" s="294" t="s">
        <v>4640</v>
      </c>
      <c r="H14" s="294">
        <v>430</v>
      </c>
      <c r="I14" s="337" t="s">
        <v>116</v>
      </c>
      <c r="J14" s="149">
        <v>4</v>
      </c>
      <c r="K14" s="149">
        <v>1.95</v>
      </c>
      <c r="L14" s="149">
        <v>1.92</v>
      </c>
      <c r="M14" s="149">
        <v>1.95</v>
      </c>
      <c r="N14" s="335">
        <v>763</v>
      </c>
      <c r="O14" s="296">
        <v>1.825</v>
      </c>
      <c r="P14" s="345">
        <v>1.8260000000000001</v>
      </c>
      <c r="Q14" s="138">
        <v>763</v>
      </c>
      <c r="R14" s="366"/>
      <c r="S14" s="339"/>
      <c r="T14" s="299"/>
      <c r="U14" s="282" t="s">
        <v>3497</v>
      </c>
      <c r="V14" s="282" t="s">
        <v>4641</v>
      </c>
      <c r="W14" s="428" t="s">
        <v>4642</v>
      </c>
      <c r="X14" s="340">
        <v>43446</v>
      </c>
      <c r="Y14" s="340">
        <v>43446</v>
      </c>
      <c r="Z14" s="340">
        <v>43448</v>
      </c>
      <c r="AA14" s="340">
        <v>43889</v>
      </c>
      <c r="AB14" s="340"/>
      <c r="AC14" s="341" t="s">
        <v>181</v>
      </c>
      <c r="AD14" s="342" t="s">
        <v>64</v>
      </c>
      <c r="AE14" s="342" t="s">
        <v>132</v>
      </c>
      <c r="AF14" s="284" t="s">
        <v>192</v>
      </c>
      <c r="AG14" s="284">
        <v>43329</v>
      </c>
      <c r="AH14" s="284">
        <v>43348</v>
      </c>
      <c r="AI14" s="284"/>
      <c r="AJ14" s="334">
        <f t="shared" ca="1" si="1"/>
        <v>44963</v>
      </c>
      <c r="AK14" s="342">
        <f t="shared" ref="AK14:AK20" ca="1" si="2">IF(AH14&lt;&gt;0,AJ14-AH14,0)</f>
        <v>1615</v>
      </c>
      <c r="AL14" s="342">
        <f t="shared" ref="AL14:AL20" ca="1" si="3">IF(ISNUMBER(Z14)=TRUE,AJ14-Z14,IF(Z14="","",(AJ14)-(MID(RIGHT(Z14,10),4,2)&amp;"/"&amp;LEFT((RIGHT(Z14,10)),2)&amp;"/"&amp;RIGHT(Z14,4))))</f>
        <v>1515</v>
      </c>
      <c r="AM14" s="284" t="s">
        <v>193</v>
      </c>
      <c r="AN14" s="284" t="s">
        <v>194</v>
      </c>
      <c r="AO14" s="343">
        <v>11.29</v>
      </c>
      <c r="AP14" s="343">
        <v>11.305</v>
      </c>
      <c r="AQ14" s="343">
        <v>11.315</v>
      </c>
      <c r="AR14" s="343">
        <v>11.32</v>
      </c>
      <c r="AS14" s="331">
        <f t="shared" ref="AS14:AS20" ca="1" si="4">IF(ISNUMBER(Y14)=TRUE,AJ14-Y14,IF(Y14="","",(AJ14)-(MID(RIGHT(Y14,10),4,2)&amp;"/"&amp;LEFT((RIGHT(Y14,10)),2)&amp;"/"&amp;RIGHT(Y14,4))))</f>
        <v>1517</v>
      </c>
      <c r="AT14" s="331">
        <v>134</v>
      </c>
      <c r="AU14" s="331" t="s">
        <v>4643</v>
      </c>
      <c r="AV14" s="331" t="s">
        <v>195</v>
      </c>
      <c r="AX14" s="331" t="s">
        <v>186</v>
      </c>
      <c r="BG14" s="331">
        <v>0</v>
      </c>
      <c r="BI14" s="331" t="s">
        <v>125</v>
      </c>
      <c r="BK14" s="331" t="s">
        <v>3514</v>
      </c>
      <c r="BL14" s="331" t="s">
        <v>4339</v>
      </c>
    </row>
    <row r="15" spans="1:64" s="331" customFormat="1" ht="18" hidden="1" customHeight="1" x14ac:dyDescent="0.35">
      <c r="A15" s="334"/>
      <c r="B15" s="335">
        <f ca="1">IF(A15="",(IF(ISNUMBER(SUBSTITUTE(LEFT(RIGHT(E15,LEN(E15)-MIN(SEARCH({1,2,3,4,5,6,7,8,9,0},E15&amp;"1234567890"))+1),10),".","/"))=TRUE,AJ15-(SUBSTITUTE(LEFT(RIGHT(E15,LEN(E15)-MIN(SEARCH({1,2,3,4,5,6,7,8,9,0},E15&amp;"1234567890"))+1),10),".","/")),IF((SUBSTITUTE(LEFT(RIGHT(E15,LEN(E15)-MIN(SEARCH({1,2,3,4,5,6,7,8,9,0},E15&amp;"1234567890"))+1),10),".","/"))="","",(AJ15)-(MID(RIGHT((SUBSTITUTE(LEFT(RIGHT(E15,LEN(E15)-MIN(SEARCH({1,2,3,4,5,6,7,8,9,0},E15&amp;"1234567890"))+1),10),".","/")),10),4,2)&amp;"/"&amp;LEFT((RIGHT((SUBSTITUTE(LEFT(RIGHT(E15,LEN(E15)-MIN(SEARCH({1,2,3,4,5,6,7,8,9,0},E15&amp;"1234567890"))+1),10),".","/")),10)),2)&amp;"/"&amp;RIGHT((SUBSTITUTE(LEFT(RIGHT(E15,LEN(E15)-MIN(SEARCH({1,2,3,4,5,6,7,8,9,0},E15&amp;"1234567890"))+1),10),".","/")),4))))),(AJ15-A15))</f>
        <v>973</v>
      </c>
      <c r="C15" s="334"/>
      <c r="D15" s="294" t="str">
        <f>IF(LEFT(U15,7)="MAT RET","R"&amp;"-"&amp;H15&amp;"/"&amp;I15&amp;"-"&amp;TEXT(K15,"0.00")&amp;"X"&amp;IF(Q15="",N15,Q15),IF(N15&lt;570,"FGMKW2","FGCKW2")&amp;"-"&amp;H15&amp;"/"&amp;I15&amp;"-"&amp;TEXT(K15,"0.00")&amp;"X"&amp;IF(Q15="",N15,Q15))</f>
        <v>FGCKW2-304/2B-001X98</v>
      </c>
      <c r="E15" s="294" t="s">
        <v>4644</v>
      </c>
      <c r="F15" s="294" t="s">
        <v>4645</v>
      </c>
      <c r="G15" s="294" t="s">
        <v>4646</v>
      </c>
      <c r="H15" s="294">
        <v>304</v>
      </c>
      <c r="I15" s="337" t="s">
        <v>116</v>
      </c>
      <c r="J15" s="149">
        <v>1.44</v>
      </c>
      <c r="K15" s="149">
        <v>0.92</v>
      </c>
      <c r="L15" s="149">
        <v>0.9</v>
      </c>
      <c r="M15" s="149">
        <v>0.92</v>
      </c>
      <c r="N15" s="335">
        <v>730</v>
      </c>
      <c r="O15" s="296">
        <f>4.36-3.77</f>
        <v>0.5900000000000003</v>
      </c>
      <c r="P15" s="345"/>
      <c r="Q15" s="138">
        <v>98</v>
      </c>
      <c r="R15" s="366"/>
      <c r="S15" s="339"/>
      <c r="T15" s="299"/>
      <c r="U15" s="282" t="s">
        <v>117</v>
      </c>
      <c r="V15" s="282" t="s">
        <v>4647</v>
      </c>
      <c r="W15" s="282" t="s">
        <v>4648</v>
      </c>
      <c r="X15" s="340" t="s">
        <v>4649</v>
      </c>
      <c r="Y15" s="340" t="s">
        <v>4649</v>
      </c>
      <c r="Z15" s="340" t="s">
        <v>4650</v>
      </c>
      <c r="AA15" s="340">
        <v>44040</v>
      </c>
      <c r="AB15" s="340"/>
      <c r="AC15" s="341"/>
      <c r="AD15" s="342" t="s">
        <v>64</v>
      </c>
      <c r="AE15" s="342" t="s">
        <v>122</v>
      </c>
      <c r="AF15" s="284" t="s">
        <v>123</v>
      </c>
      <c r="AG15" s="284">
        <v>43187</v>
      </c>
      <c r="AH15" s="284">
        <v>43220</v>
      </c>
      <c r="AI15" s="284"/>
      <c r="AJ15" s="334">
        <f t="shared" ca="1" si="1"/>
        <v>44963</v>
      </c>
      <c r="AK15" s="342">
        <f t="shared" ca="1" si="2"/>
        <v>1743</v>
      </c>
      <c r="AL15" s="342" t="e">
        <f t="shared" ca="1" si="3"/>
        <v>#VALUE!</v>
      </c>
      <c r="AM15" s="284"/>
      <c r="AN15" s="284" t="s">
        <v>4645</v>
      </c>
      <c r="AO15" s="343">
        <v>8.99</v>
      </c>
      <c r="AP15" s="343">
        <v>9.0050000000000008</v>
      </c>
      <c r="AQ15" s="343">
        <v>9.01</v>
      </c>
      <c r="AR15" s="343">
        <v>9.0150000000000006</v>
      </c>
      <c r="AS15" s="331" t="e">
        <f t="shared" ca="1" si="4"/>
        <v>#VALUE!</v>
      </c>
      <c r="AV15" s="331" t="s">
        <v>136</v>
      </c>
      <c r="BK15" s="331" t="s">
        <v>3514</v>
      </c>
      <c r="BL15" s="331" t="s">
        <v>3515</v>
      </c>
    </row>
    <row r="16" spans="1:64" s="331" customFormat="1" ht="18" hidden="1" customHeight="1" x14ac:dyDescent="0.35">
      <c r="A16" s="334"/>
      <c r="B16" s="335">
        <f ca="1">IF(A16="",(IF(ISNUMBER(SUBSTITUTE(LEFT(RIGHT(E16,LEN(E16)-MIN(SEARCH({1,2,3,4,5,6,7,8,9,0},E16&amp;"1234567890"))+1),10),".","/"))=TRUE,AJ16-(SUBSTITUTE(LEFT(RIGHT(E16,LEN(E16)-MIN(SEARCH({1,2,3,4,5,6,7,8,9,0},E16&amp;"1234567890"))+1),10),".","/")),IF((SUBSTITUTE(LEFT(RIGHT(E16,LEN(E16)-MIN(SEARCH({1,2,3,4,5,6,7,8,9,0},E16&amp;"1234567890"))+1),10),".","/"))="","",(AJ16)-(MID(RIGHT((SUBSTITUTE(LEFT(RIGHT(E16,LEN(E16)-MIN(SEARCH({1,2,3,4,5,6,7,8,9,0},E16&amp;"1234567890"))+1),10),".","/")),10),4,2)&amp;"/"&amp;LEFT((RIGHT((SUBSTITUTE(LEFT(RIGHT(E16,LEN(E16)-MIN(SEARCH({1,2,3,4,5,6,7,8,9,0},E16&amp;"1234567890"))+1),10),".","/")),10)),2)&amp;"/"&amp;RIGHT((SUBSTITUTE(LEFT(RIGHT(E16,LEN(E16)-MIN(SEARCH({1,2,3,4,5,6,7,8,9,0},E16&amp;"1234567890"))+1),10),".","/")),4))))),(AJ16-A16))</f>
        <v>973</v>
      </c>
      <c r="C16" s="334"/>
      <c r="D16" s="294" t="str">
        <f>IF(LEFT(U16,7)="MAT RET","R"&amp;"-"&amp;H16&amp;"/"&amp;I16&amp;"-"&amp;TEXT(K16,"0.00")&amp;"X"&amp;IF(Q16="",N16,Q16),IF(N16&lt;570,"FGMKW2","FGCKW2")&amp;"-"&amp;H16&amp;"/"&amp;I16&amp;"-"&amp;TEXT(K16,"0.00")&amp;"X"&amp;IF(Q16="",N16,Q16))</f>
        <v>FGCKW2-304/2B-001X98</v>
      </c>
      <c r="E16" s="294" t="s">
        <v>4644</v>
      </c>
      <c r="F16" s="294" t="s">
        <v>4645</v>
      </c>
      <c r="G16" s="294" t="s">
        <v>4651</v>
      </c>
      <c r="H16" s="294">
        <v>304</v>
      </c>
      <c r="I16" s="337" t="s">
        <v>116</v>
      </c>
      <c r="J16" s="149">
        <v>1.44</v>
      </c>
      <c r="K16" s="149">
        <v>0.92</v>
      </c>
      <c r="L16" s="149">
        <v>0.9</v>
      </c>
      <c r="M16" s="149">
        <v>0.92</v>
      </c>
      <c r="N16" s="335">
        <v>730</v>
      </c>
      <c r="O16" s="296">
        <f>4.37-3.78</f>
        <v>0.5900000000000003</v>
      </c>
      <c r="P16" s="345"/>
      <c r="Q16" s="138">
        <v>98</v>
      </c>
      <c r="R16" s="366"/>
      <c r="S16" s="339"/>
      <c r="T16" s="299"/>
      <c r="U16" s="282" t="s">
        <v>117</v>
      </c>
      <c r="V16" s="282" t="s">
        <v>4647</v>
      </c>
      <c r="W16" s="282" t="s">
        <v>4648</v>
      </c>
      <c r="X16" s="340" t="s">
        <v>4649</v>
      </c>
      <c r="Y16" s="340" t="s">
        <v>4649</v>
      </c>
      <c r="Z16" s="340" t="s">
        <v>4650</v>
      </c>
      <c r="AA16" s="340">
        <v>44040</v>
      </c>
      <c r="AB16" s="340"/>
      <c r="AC16" s="341"/>
      <c r="AD16" s="342" t="s">
        <v>64</v>
      </c>
      <c r="AE16" s="342" t="s">
        <v>122</v>
      </c>
      <c r="AF16" s="284" t="s">
        <v>123</v>
      </c>
      <c r="AG16" s="284">
        <v>43187</v>
      </c>
      <c r="AH16" s="284">
        <v>43220</v>
      </c>
      <c r="AI16" s="284"/>
      <c r="AJ16" s="334">
        <f t="shared" ca="1" si="1"/>
        <v>44963</v>
      </c>
      <c r="AK16" s="342">
        <f t="shared" ca="1" si="2"/>
        <v>1743</v>
      </c>
      <c r="AL16" s="342" t="e">
        <f t="shared" ca="1" si="3"/>
        <v>#VALUE!</v>
      </c>
      <c r="AM16" s="284"/>
      <c r="AN16" s="284" t="s">
        <v>4645</v>
      </c>
      <c r="AO16" s="343">
        <v>8.99</v>
      </c>
      <c r="AP16" s="343">
        <v>9.0050000000000008</v>
      </c>
      <c r="AQ16" s="343">
        <v>9.01</v>
      </c>
      <c r="AR16" s="343">
        <v>9.0150000000000006</v>
      </c>
      <c r="AS16" s="331" t="e">
        <f t="shared" ca="1" si="4"/>
        <v>#VALUE!</v>
      </c>
      <c r="AV16" s="331" t="s">
        <v>136</v>
      </c>
      <c r="BK16" s="331" t="s">
        <v>3514</v>
      </c>
      <c r="BL16" s="331" t="s">
        <v>3515</v>
      </c>
    </row>
    <row r="17" spans="1:64" s="331" customFormat="1" ht="18" hidden="1" customHeight="1" thickBot="1" x14ac:dyDescent="0.4">
      <c r="A17" s="334"/>
      <c r="B17" s="335">
        <f ca="1">IF(A17="",(IF(ISNUMBER(SUBSTITUTE(LEFT(RIGHT(E17,LEN(E17)-MIN(SEARCH({1,2,3,4,5,6,7,8,9,0},E17&amp;"1234567890"))+1),10),".","/"))=TRUE,AJ17-(SUBSTITUTE(LEFT(RIGHT(E17,LEN(E17)-MIN(SEARCH({1,2,3,4,5,6,7,8,9,0},E17&amp;"1234567890"))+1),10),".","/")),IF((SUBSTITUTE(LEFT(RIGHT(E17,LEN(E17)-MIN(SEARCH({1,2,3,4,5,6,7,8,9,0},E17&amp;"1234567890"))+1),10),".","/"))="","",(AJ17)-(MID(RIGHT((SUBSTITUTE(LEFT(RIGHT(E17,LEN(E17)-MIN(SEARCH({1,2,3,4,5,6,7,8,9,0},E17&amp;"1234567890"))+1),10),".","/")),10),4,2)&amp;"/"&amp;LEFT((RIGHT((SUBSTITUTE(LEFT(RIGHT(E17,LEN(E17)-MIN(SEARCH({1,2,3,4,5,6,7,8,9,0},E17&amp;"1234567890"))+1),10),".","/")),10)),2)&amp;"/"&amp;RIGHT((SUBSTITUTE(LEFT(RIGHT(E17,LEN(E17)-MIN(SEARCH({1,2,3,4,5,6,7,8,9,0},E17&amp;"1234567890"))+1),10),".","/")),4))))),(AJ17-A17))</f>
        <v>942</v>
      </c>
      <c r="C17" s="334"/>
      <c r="D17" s="294" t="str">
        <f>IF(LEFT(U17,7)="MAT RET","R"&amp;"-"&amp;H17&amp;"/"&amp;I17&amp;"-"&amp;TEXT(K17,"0.00")&amp;"X"&amp;IF(Q17="",N17,Q17),IF(N17&lt;570,"FGMKW2","FGCKW2")&amp;"-"&amp;H17&amp;"/"&amp;I17&amp;"-"&amp;TEXT(K17,"0.00")&amp;"X"&amp;IF(Q17="",N17,Q17))</f>
        <v>FGCKW2-304/2B-001X800</v>
      </c>
      <c r="E17" s="294" t="s">
        <v>4652</v>
      </c>
      <c r="F17" s="294" t="s">
        <v>175</v>
      </c>
      <c r="G17" s="294" t="s">
        <v>4653</v>
      </c>
      <c r="H17" s="294">
        <v>304</v>
      </c>
      <c r="I17" s="337" t="s">
        <v>116</v>
      </c>
      <c r="J17" s="149">
        <v>1.2</v>
      </c>
      <c r="K17" s="149">
        <v>0.8</v>
      </c>
      <c r="L17" s="149">
        <v>0.75</v>
      </c>
      <c r="M17" s="149">
        <v>0.77</v>
      </c>
      <c r="N17" s="335">
        <v>800</v>
      </c>
      <c r="O17" s="296">
        <v>2.35</v>
      </c>
      <c r="P17" s="345"/>
      <c r="Q17" s="138">
        <v>800</v>
      </c>
      <c r="R17" s="366"/>
      <c r="S17" s="339"/>
      <c r="T17" s="299"/>
      <c r="U17" s="282" t="s">
        <v>3497</v>
      </c>
      <c r="V17" s="282" t="s">
        <v>4654</v>
      </c>
      <c r="W17" s="429" t="s">
        <v>4655</v>
      </c>
      <c r="X17" s="340" t="s">
        <v>4656</v>
      </c>
      <c r="Y17" s="340" t="s">
        <v>4657</v>
      </c>
      <c r="Z17" s="340" t="s">
        <v>4658</v>
      </c>
      <c r="AA17" s="340">
        <v>42927</v>
      </c>
      <c r="AB17" s="340"/>
      <c r="AC17" s="341" t="s">
        <v>181</v>
      </c>
      <c r="AD17" s="342" t="s">
        <v>64</v>
      </c>
      <c r="AE17" s="342" t="s">
        <v>182</v>
      </c>
      <c r="AF17" s="284" t="s">
        <v>183</v>
      </c>
      <c r="AG17" s="284">
        <v>42751</v>
      </c>
      <c r="AH17" s="284">
        <v>42798</v>
      </c>
      <c r="AI17" s="284"/>
      <c r="AJ17" s="334">
        <f t="shared" ca="1" si="1"/>
        <v>44963</v>
      </c>
      <c r="AK17" s="342">
        <f t="shared" ca="1" si="2"/>
        <v>2165</v>
      </c>
      <c r="AL17" s="342">
        <f t="shared" ca="1" si="3"/>
        <v>1917</v>
      </c>
      <c r="AM17" s="284" t="s">
        <v>184</v>
      </c>
      <c r="AN17" s="284" t="s">
        <v>185</v>
      </c>
      <c r="AO17" s="343">
        <v>10.7</v>
      </c>
      <c r="AP17" s="343"/>
      <c r="AQ17" s="343"/>
      <c r="AR17" s="343">
        <v>10.811</v>
      </c>
      <c r="AS17" s="331">
        <f t="shared" ca="1" si="4"/>
        <v>2224</v>
      </c>
      <c r="AT17" s="331">
        <v>44</v>
      </c>
      <c r="AX17" s="430" t="s">
        <v>4659</v>
      </c>
      <c r="BA17" s="331" t="s">
        <v>4660</v>
      </c>
      <c r="BC17" s="331" t="s">
        <v>4661</v>
      </c>
      <c r="BE17" s="331" t="s">
        <v>4662</v>
      </c>
      <c r="BG17" s="331">
        <v>0</v>
      </c>
      <c r="BI17" s="331" t="s">
        <v>125</v>
      </c>
      <c r="BK17" s="331" t="s">
        <v>3514</v>
      </c>
      <c r="BL17" s="331" t="s">
        <v>137</v>
      </c>
    </row>
    <row r="18" spans="1:64" s="331" customFormat="1" ht="18" hidden="1" customHeight="1" x14ac:dyDescent="0.35">
      <c r="A18" s="334">
        <v>44301</v>
      </c>
      <c r="B18" s="335">
        <f ca="1">IF(A18="",(IF(ISNUMBER(SUBSTITUTE(LEFT(RIGHT(E18,LEN(E18)-MIN(SEARCH({1,2,3,4,5,6,7,8,9,0},E18&amp;"1234567890"))+1),10),".","/"))=TRUE,AJ18-(SUBSTITUTE(LEFT(RIGHT(E18,LEN(E18)-MIN(SEARCH({1,2,3,4,5,6,7,8,9,0},E18&amp;"1234567890"))+1),10),".","/")),IF((SUBSTITUTE(LEFT(RIGHT(E18,LEN(E18)-MIN(SEARCH({1,2,3,4,5,6,7,8,9,0},E18&amp;"1234567890"))+1),10),".","/"))="","",(AJ18)-(MID(RIGHT((SUBSTITUTE(LEFT(RIGHT(E18,LEN(E18)-MIN(SEARCH({1,2,3,4,5,6,7,8,9,0},E18&amp;"1234567890"))+1),10),".","/")),10),4,2)&amp;"/"&amp;LEFT((RIGHT((SUBSTITUTE(LEFT(RIGHT(E18,LEN(E18)-MIN(SEARCH({1,2,3,4,5,6,7,8,9,0},E18&amp;"1234567890"))+1),10),".","/")),10)),2)&amp;"/"&amp;RIGHT((SUBSTITUTE(LEFT(RIGHT(E18,LEN(E18)-MIN(SEARCH({1,2,3,4,5,6,7,8,9,0},E18&amp;"1234567890"))+1),10),".","/")),4))))),(AJ18-A18))</f>
        <v>662</v>
      </c>
      <c r="C18" s="334"/>
      <c r="D18" s="294" t="str">
        <f>IF(LEFT(U18,7)="MAT RET","R"&amp;"-"&amp;H18&amp;"/"&amp;I18&amp;"-"&amp;TEXT(K18,"0.00")&amp;"X"&amp;IF(Q18="",N18,Q18),IF(N18&lt;570,"FGMKW2","FGCKW2")&amp;"-"&amp;H18&amp;"/"&amp;I18&amp;"-"&amp;TEXT(K18,"0.00")&amp;"X"&amp;IF(Q18="",N18,Q18))</f>
        <v>FGCKW2-409L/2B-001X630</v>
      </c>
      <c r="E18" s="294" t="s">
        <v>4663</v>
      </c>
      <c r="F18" s="294" t="s">
        <v>4664</v>
      </c>
      <c r="G18" s="294" t="s">
        <v>4665</v>
      </c>
      <c r="H18" s="294" t="s">
        <v>33</v>
      </c>
      <c r="I18" s="337" t="s">
        <v>116</v>
      </c>
      <c r="J18" s="149">
        <v>1.2</v>
      </c>
      <c r="K18" s="149">
        <v>1.2</v>
      </c>
      <c r="L18" s="149"/>
      <c r="M18" s="149"/>
      <c r="N18" s="335">
        <v>630</v>
      </c>
      <c r="O18" s="296">
        <v>0.315</v>
      </c>
      <c r="P18" s="345">
        <v>0.316</v>
      </c>
      <c r="Q18" s="138">
        <v>630</v>
      </c>
      <c r="R18" s="366"/>
      <c r="S18" s="339"/>
      <c r="T18" s="299"/>
      <c r="U18" s="282" t="s">
        <v>3497</v>
      </c>
      <c r="V18" s="282"/>
      <c r="W18" s="282"/>
      <c r="X18" s="340"/>
      <c r="Y18" s="340"/>
      <c r="Z18" s="340"/>
      <c r="AA18" s="340"/>
      <c r="AB18" s="340"/>
      <c r="AC18" s="341"/>
      <c r="AD18" s="342" t="s">
        <v>116</v>
      </c>
      <c r="AE18" s="342" t="s">
        <v>322</v>
      </c>
      <c r="AF18" s="284" t="s">
        <v>4666</v>
      </c>
      <c r="AG18" s="284"/>
      <c r="AH18" s="284">
        <v>44097</v>
      </c>
      <c r="AI18" s="284"/>
      <c r="AJ18" s="334">
        <f t="shared" ca="1" si="1"/>
        <v>44963</v>
      </c>
      <c r="AK18" s="342">
        <f t="shared" ca="1" si="2"/>
        <v>866</v>
      </c>
      <c r="AL18" s="342" t="str">
        <f t="shared" si="3"/>
        <v/>
      </c>
      <c r="AM18" s="284"/>
      <c r="AN18" s="284" t="s">
        <v>4667</v>
      </c>
      <c r="AO18" s="343">
        <v>3.923</v>
      </c>
      <c r="AP18" s="343">
        <v>3.9630000000000001</v>
      </c>
      <c r="AQ18" s="343">
        <v>3.988</v>
      </c>
      <c r="AR18" s="343">
        <v>3.9929999999999999</v>
      </c>
      <c r="AS18" s="331" t="str">
        <f t="shared" si="4"/>
        <v/>
      </c>
      <c r="AV18" s="331" t="s">
        <v>136</v>
      </c>
      <c r="BK18" s="331" t="s">
        <v>3514</v>
      </c>
      <c r="BL18" s="331" t="s">
        <v>4339</v>
      </c>
    </row>
    <row r="19" spans="1:64" s="331" customFormat="1" ht="18" hidden="1" customHeight="1" x14ac:dyDescent="0.35">
      <c r="A19" s="334">
        <v>44173</v>
      </c>
      <c r="B19" s="335">
        <f ca="1">IF(A19="",(IF(ISNUMBER(SUBSTITUTE(LEFT(RIGHT(E19,LEN(E19)-MIN(SEARCH({1,2,3,4,5,6,7,8,9,0},E19&amp;"1234567890"))+1),10),".","/"))=TRUE,AJ19-(SUBSTITUTE(LEFT(RIGHT(E19,LEN(E19)-MIN(SEARCH({1,2,3,4,5,6,7,8,9,0},E19&amp;"1234567890"))+1),10),".","/")),IF((SUBSTITUTE(LEFT(RIGHT(E19,LEN(E19)-MIN(SEARCH({1,2,3,4,5,6,7,8,9,0},E19&amp;"1234567890"))+1),10),".","/"))="","",(AJ19)-(MID(RIGHT((SUBSTITUTE(LEFT(RIGHT(E19,LEN(E19)-MIN(SEARCH({1,2,3,4,5,6,7,8,9,0},E19&amp;"1234567890"))+1),10),".","/")),10),4,2)&amp;"/"&amp;LEFT((RIGHT((SUBSTITUTE(LEFT(RIGHT(E19,LEN(E19)-MIN(SEARCH({1,2,3,4,5,6,7,8,9,0},E19&amp;"1234567890"))+1),10),".","/")),10)),2)&amp;"/"&amp;RIGHT((SUBSTITUTE(LEFT(RIGHT(E19,LEN(E19)-MIN(SEARCH({1,2,3,4,5,6,7,8,9,0},E19&amp;"1234567890"))+1),10),".","/")),4))))),(AJ19-A19))</f>
        <v>790</v>
      </c>
      <c r="C19" s="334"/>
      <c r="D19" s="294" t="str">
        <f>IF(LEFT(U19,7)="MAT RET","R"&amp;"-"&amp;H19&amp;"/"&amp;I19&amp;"-"&amp;TEXT(K19,"0.00")&amp;"X"&amp;IF(Q19="",N19,Q19),IF(N19&lt;570,"FGMKW2","FGCKW2")&amp;"-"&amp;H19&amp;"/"&amp;I19&amp;"-"&amp;TEXT(K19,"0.00")&amp;"X"&amp;IF(Q19="",N19,Q19))</f>
        <v>FGCKW2-J4/2B-000X100</v>
      </c>
      <c r="E19" s="294" t="s">
        <v>4668</v>
      </c>
      <c r="F19" s="294" t="s">
        <v>4669</v>
      </c>
      <c r="G19" s="294" t="s">
        <v>4670</v>
      </c>
      <c r="H19" s="294" t="s">
        <v>30</v>
      </c>
      <c r="I19" s="337" t="s">
        <v>116</v>
      </c>
      <c r="J19" s="149">
        <v>0.63</v>
      </c>
      <c r="K19" s="149">
        <v>0.28000000000000003</v>
      </c>
      <c r="L19" s="149">
        <v>0.27</v>
      </c>
      <c r="M19" s="149">
        <v>0.28000000000000003</v>
      </c>
      <c r="N19" s="335">
        <v>720</v>
      </c>
      <c r="O19" s="296">
        <v>0.36499999999999999</v>
      </c>
      <c r="P19" s="345"/>
      <c r="Q19" s="138">
        <v>100</v>
      </c>
      <c r="R19" s="366"/>
      <c r="S19" s="339"/>
      <c r="T19" s="299"/>
      <c r="U19" s="282" t="s">
        <v>3497</v>
      </c>
      <c r="V19" s="282" t="s">
        <v>4671</v>
      </c>
      <c r="W19" s="282" t="s">
        <v>208</v>
      </c>
      <c r="X19" s="340">
        <v>44144</v>
      </c>
      <c r="Y19" s="340">
        <v>44145</v>
      </c>
      <c r="Z19" s="340" t="s">
        <v>4672</v>
      </c>
      <c r="AA19" s="340">
        <v>44144</v>
      </c>
      <c r="AB19" s="340"/>
      <c r="AC19" s="341" t="s">
        <v>181</v>
      </c>
      <c r="AD19" s="342" t="s">
        <v>65</v>
      </c>
      <c r="AE19" s="342" t="s">
        <v>132</v>
      </c>
      <c r="AF19" s="284" t="s">
        <v>4253</v>
      </c>
      <c r="AG19" s="284">
        <v>43385</v>
      </c>
      <c r="AH19" s="284">
        <v>43410</v>
      </c>
      <c r="AI19" s="284"/>
      <c r="AJ19" s="334">
        <f t="shared" ca="1" si="1"/>
        <v>44963</v>
      </c>
      <c r="AK19" s="342">
        <f t="shared" ca="1" si="2"/>
        <v>1553</v>
      </c>
      <c r="AL19" s="342">
        <f t="shared" ca="1" si="3"/>
        <v>848</v>
      </c>
      <c r="AM19" s="284" t="s">
        <v>4673</v>
      </c>
      <c r="AN19" s="284" t="s">
        <v>4674</v>
      </c>
      <c r="AO19" s="343">
        <v>11.605</v>
      </c>
      <c r="AP19" s="343">
        <v>11.620000000000001</v>
      </c>
      <c r="AQ19" s="343">
        <v>11.625</v>
      </c>
      <c r="AR19" s="343">
        <v>11.63</v>
      </c>
      <c r="AS19" s="331">
        <f t="shared" ca="1" si="4"/>
        <v>818</v>
      </c>
      <c r="AT19" s="331">
        <v>144</v>
      </c>
      <c r="AV19" s="331" t="s">
        <v>124</v>
      </c>
      <c r="BC19" s="331" t="s">
        <v>186</v>
      </c>
      <c r="BK19" s="331" t="s">
        <v>3514</v>
      </c>
      <c r="BL19" s="331" t="s">
        <v>3572</v>
      </c>
    </row>
    <row r="20" spans="1:64" s="331" customFormat="1" ht="18" hidden="1" customHeight="1" x14ac:dyDescent="0.35">
      <c r="A20" s="334"/>
      <c r="B20" s="335" t="e">
        <f ca="1">IF(A20="",(IF(ISNUMBER(SUBSTITUTE(LEFT(RIGHT(E20,LEN(E20)-MIN(SEARCH({1,2,3,4,5,6,7,8,9,0},E20&amp;"1234567890"))+1),10),".","/"))=TRUE,AJ20-(SUBSTITUTE(LEFT(RIGHT(E20,LEN(E20)-MIN(SEARCH({1,2,3,4,5,6,7,8,9,0},E20&amp;"1234567890"))+1),10),".","/")),IF((SUBSTITUTE(LEFT(RIGHT(E20,LEN(E20)-MIN(SEARCH({1,2,3,4,5,6,7,8,9,0},E20&amp;"1234567890"))+1),10),".","/"))="","",(AJ20)-(MID(RIGHT((SUBSTITUTE(LEFT(RIGHT(E20,LEN(E20)-MIN(SEARCH({1,2,3,4,5,6,7,8,9,0},E20&amp;"1234567890"))+1),10),".","/")),10),4,2)&amp;"/"&amp;LEFT((RIGHT((SUBSTITUTE(LEFT(RIGHT(E20,LEN(E20)-MIN(SEARCH({1,2,3,4,5,6,7,8,9,0},E20&amp;"1234567890"))+1),10),".","/")),10)),2)&amp;"/"&amp;RIGHT((SUBSTITUTE(LEFT(RIGHT(E20,LEN(E20)-MIN(SEARCH({1,2,3,4,5,6,7,8,9,0},E20&amp;"1234567890"))+1),10),".","/")),4))))),(AJ20-A20))</f>
        <v>#VALUE!</v>
      </c>
      <c r="C20" s="334"/>
      <c r="D20" s="294" t="str">
        <f>IF(Q20="MULTI","FGM","FGC")&amp;"-"&amp;H20&amp;"/"&amp;I20&amp;"-"&amp;TEXT(K20,"0.00")&amp;"X"&amp;IF(Q20="MULTI",N20,Q20)</f>
        <v>FGC-J4/2B-000X100</v>
      </c>
      <c r="E20" s="294" t="s">
        <v>4675</v>
      </c>
      <c r="F20" s="294" t="s">
        <v>4669</v>
      </c>
      <c r="G20" s="294" t="s">
        <v>4676</v>
      </c>
      <c r="H20" s="294" t="s">
        <v>30</v>
      </c>
      <c r="I20" s="337" t="s">
        <v>116</v>
      </c>
      <c r="J20" s="149">
        <v>0.63</v>
      </c>
      <c r="K20" s="149">
        <v>0.28000000000000003</v>
      </c>
      <c r="L20" s="149">
        <v>0.27</v>
      </c>
      <c r="M20" s="149">
        <v>0.28000000000000003</v>
      </c>
      <c r="N20" s="335">
        <v>720</v>
      </c>
      <c r="O20" s="296">
        <v>0.34</v>
      </c>
      <c r="P20" s="345"/>
      <c r="Q20" s="138">
        <v>100</v>
      </c>
      <c r="R20" s="366"/>
      <c r="S20" s="339"/>
      <c r="T20" s="299"/>
      <c r="U20" s="282" t="s">
        <v>117</v>
      </c>
      <c r="V20" s="282" t="s">
        <v>3580</v>
      </c>
      <c r="W20" s="282" t="s">
        <v>208</v>
      </c>
      <c r="X20" s="340">
        <v>44144</v>
      </c>
      <c r="Y20" s="340">
        <v>44145</v>
      </c>
      <c r="Z20" s="340" t="s">
        <v>4672</v>
      </c>
      <c r="AA20" s="340">
        <v>44144</v>
      </c>
      <c r="AB20" s="340"/>
      <c r="AC20" s="341" t="s">
        <v>181</v>
      </c>
      <c r="AD20" s="342" t="s">
        <v>65</v>
      </c>
      <c r="AE20" s="342" t="s">
        <v>132</v>
      </c>
      <c r="AF20" s="284" t="s">
        <v>4253</v>
      </c>
      <c r="AG20" s="284">
        <v>43385</v>
      </c>
      <c r="AH20" s="284">
        <v>43410</v>
      </c>
      <c r="AI20" s="284"/>
      <c r="AJ20" s="334">
        <f t="shared" ca="1" si="1"/>
        <v>44963</v>
      </c>
      <c r="AK20" s="342">
        <f t="shared" ca="1" si="2"/>
        <v>1553</v>
      </c>
      <c r="AL20" s="342">
        <f t="shared" ca="1" si="3"/>
        <v>848</v>
      </c>
      <c r="AM20" s="284" t="s">
        <v>4673</v>
      </c>
      <c r="AN20" s="284" t="s">
        <v>4674</v>
      </c>
      <c r="AO20" s="343">
        <v>11.605</v>
      </c>
      <c r="AP20" s="343">
        <v>11.620000000000001</v>
      </c>
      <c r="AQ20" s="343">
        <v>11.625</v>
      </c>
      <c r="AR20" s="343">
        <v>11.63</v>
      </c>
      <c r="AS20" s="331">
        <f t="shared" ca="1" si="4"/>
        <v>818</v>
      </c>
      <c r="AT20" s="331">
        <v>144</v>
      </c>
      <c r="AV20" s="331" t="s">
        <v>124</v>
      </c>
      <c r="BC20" s="331" t="s">
        <v>186</v>
      </c>
      <c r="BK20" s="331" t="s">
        <v>3514</v>
      </c>
      <c r="BL20" s="331" t="s">
        <v>3572</v>
      </c>
    </row>
    <row r="21" spans="1:64" s="331" customFormat="1" ht="18" hidden="1" customHeight="1" x14ac:dyDescent="0.35">
      <c r="A21" s="334"/>
      <c r="B21" s="335"/>
      <c r="C21" s="334"/>
      <c r="D21" s="294"/>
      <c r="E21" s="294" t="s">
        <v>4677</v>
      </c>
      <c r="F21" s="294" t="s">
        <v>4678</v>
      </c>
      <c r="G21" s="294" t="s">
        <v>4679</v>
      </c>
      <c r="H21" s="294" t="s">
        <v>230</v>
      </c>
      <c r="I21" s="337" t="s">
        <v>116</v>
      </c>
      <c r="J21" s="149">
        <v>0.5</v>
      </c>
      <c r="K21" s="149">
        <v>0.5</v>
      </c>
      <c r="L21" s="149"/>
      <c r="M21" s="149"/>
      <c r="N21" s="335">
        <v>770</v>
      </c>
      <c r="O21" s="296">
        <v>0.26500000000000001</v>
      </c>
      <c r="P21" s="345"/>
      <c r="Q21" s="138">
        <v>50</v>
      </c>
      <c r="R21" s="366"/>
      <c r="S21" s="339"/>
      <c r="T21" s="299"/>
      <c r="U21" s="282" t="s">
        <v>3497</v>
      </c>
      <c r="V21" s="282"/>
      <c r="W21" s="282">
        <v>4</v>
      </c>
      <c r="X21" s="340">
        <v>767</v>
      </c>
      <c r="Y21" s="340" t="s">
        <v>4680</v>
      </c>
      <c r="Z21" s="340"/>
      <c r="AA21" s="340"/>
      <c r="AB21" s="340"/>
      <c r="AC21" s="341"/>
      <c r="AD21" s="342" t="s">
        <v>139</v>
      </c>
      <c r="AE21" s="342" t="s">
        <v>203</v>
      </c>
      <c r="AF21" s="284" t="s">
        <v>4681</v>
      </c>
      <c r="AG21" s="284"/>
      <c r="AH21" s="284">
        <v>43818</v>
      </c>
      <c r="AI21" s="284"/>
      <c r="AJ21" s="334"/>
      <c r="AK21" s="342"/>
      <c r="AL21" s="342"/>
      <c r="AM21" s="284"/>
      <c r="AN21" s="284" t="s">
        <v>4682</v>
      </c>
      <c r="AO21" s="343">
        <v>10.47</v>
      </c>
      <c r="AP21" s="343">
        <v>10.48</v>
      </c>
      <c r="AQ21" s="343">
        <v>10.51</v>
      </c>
      <c r="AR21" s="343">
        <v>10.515000000000001</v>
      </c>
      <c r="BK21" s="331" t="s">
        <v>3514</v>
      </c>
      <c r="BL21" s="331" t="s">
        <v>3515</v>
      </c>
    </row>
    <row r="22" spans="1:64" s="331" customFormat="1" ht="18" hidden="1" customHeight="1" x14ac:dyDescent="0.35">
      <c r="A22" s="334"/>
      <c r="B22" s="335"/>
      <c r="C22" s="334"/>
      <c r="D22" s="294"/>
      <c r="E22" s="294" t="s">
        <v>4677</v>
      </c>
      <c r="F22" s="294" t="s">
        <v>4683</v>
      </c>
      <c r="G22" s="294" t="s">
        <v>4684</v>
      </c>
      <c r="H22" s="294" t="s">
        <v>29</v>
      </c>
      <c r="I22" s="337" t="s">
        <v>116</v>
      </c>
      <c r="J22" s="149">
        <v>0.5</v>
      </c>
      <c r="K22" s="149">
        <v>0.5</v>
      </c>
      <c r="L22" s="149"/>
      <c r="M22" s="149"/>
      <c r="N22" s="335">
        <v>730</v>
      </c>
      <c r="O22" s="296">
        <v>0.252</v>
      </c>
      <c r="P22" s="345"/>
      <c r="Q22" s="299">
        <v>58</v>
      </c>
      <c r="R22" s="366"/>
      <c r="S22" s="339"/>
      <c r="T22" s="299"/>
      <c r="U22" s="282" t="s">
        <v>3497</v>
      </c>
      <c r="V22" s="282" t="s">
        <v>4685</v>
      </c>
      <c r="W22" s="282"/>
      <c r="X22" s="340"/>
      <c r="Y22" s="340"/>
      <c r="Z22" s="340"/>
      <c r="AA22" s="340"/>
      <c r="AB22" s="340"/>
      <c r="AC22" s="341"/>
      <c r="AD22" s="342" t="s">
        <v>65</v>
      </c>
      <c r="AE22" s="342" t="s">
        <v>4686</v>
      </c>
      <c r="AF22" s="284" t="s">
        <v>4687</v>
      </c>
      <c r="AG22" s="284">
        <v>42628</v>
      </c>
      <c r="AH22" s="284">
        <v>42664</v>
      </c>
      <c r="AI22" s="284"/>
      <c r="AJ22" s="334"/>
      <c r="AK22" s="342"/>
      <c r="AL22" s="342"/>
      <c r="AM22" s="284"/>
      <c r="AN22" s="284" t="s">
        <v>4688</v>
      </c>
      <c r="AO22" s="343">
        <v>11.331</v>
      </c>
      <c r="AP22" s="343"/>
      <c r="AQ22" s="343"/>
      <c r="AR22" s="343"/>
      <c r="BK22" s="331" t="s">
        <v>3514</v>
      </c>
      <c r="BL22" s="331" t="s">
        <v>3515</v>
      </c>
    </row>
    <row r="23" spans="1:64" s="331" customFormat="1" ht="18" hidden="1" customHeight="1" x14ac:dyDescent="0.35">
      <c r="A23" s="334"/>
      <c r="B23" s="335"/>
      <c r="C23" s="334"/>
      <c r="D23" s="294"/>
      <c r="E23" s="294" t="s">
        <v>4677</v>
      </c>
      <c r="F23" s="294" t="s">
        <v>4689</v>
      </c>
      <c r="G23" s="294" t="s">
        <v>4690</v>
      </c>
      <c r="H23" s="294" t="s">
        <v>29</v>
      </c>
      <c r="I23" s="337" t="s">
        <v>116</v>
      </c>
      <c r="J23" s="149">
        <v>0.5</v>
      </c>
      <c r="K23" s="149">
        <v>0.5</v>
      </c>
      <c r="L23" s="149"/>
      <c r="M23" s="149"/>
      <c r="N23" s="335">
        <v>730</v>
      </c>
      <c r="O23" s="296">
        <v>0.10100000000000001</v>
      </c>
      <c r="P23" s="345"/>
      <c r="Q23" s="299">
        <v>88.7</v>
      </c>
      <c r="R23" s="366"/>
      <c r="S23" s="339"/>
      <c r="T23" s="299"/>
      <c r="U23" s="282" t="s">
        <v>3497</v>
      </c>
      <c r="V23" s="282"/>
      <c r="W23" s="282"/>
      <c r="X23" s="340"/>
      <c r="Y23" s="340"/>
      <c r="Z23" s="340"/>
      <c r="AA23" s="340"/>
      <c r="AB23" s="340"/>
      <c r="AC23" s="341"/>
      <c r="AD23" s="342" t="s">
        <v>65</v>
      </c>
      <c r="AE23" s="342" t="s">
        <v>4686</v>
      </c>
      <c r="AF23" s="284" t="s">
        <v>4687</v>
      </c>
      <c r="AG23" s="284">
        <v>42628</v>
      </c>
      <c r="AH23" s="284">
        <v>42664</v>
      </c>
      <c r="AI23" s="284"/>
      <c r="AJ23" s="334"/>
      <c r="AK23" s="342"/>
      <c r="AL23" s="342"/>
      <c r="AM23" s="284"/>
      <c r="AN23" s="284" t="s">
        <v>4691</v>
      </c>
      <c r="AO23" s="343">
        <v>11.483000000000001</v>
      </c>
      <c r="AP23" s="343"/>
      <c r="AQ23" s="343"/>
      <c r="AR23" s="343"/>
      <c r="BK23" s="331" t="s">
        <v>3514</v>
      </c>
      <c r="BL23" s="331" t="s">
        <v>3572</v>
      </c>
    </row>
    <row r="24" spans="1:64" s="331" customFormat="1" ht="18" hidden="1" customHeight="1" x14ac:dyDescent="0.35">
      <c r="A24" s="334"/>
      <c r="B24" s="335"/>
      <c r="C24" s="334"/>
      <c r="D24" s="294"/>
      <c r="E24" s="294" t="s">
        <v>4677</v>
      </c>
      <c r="F24" s="294" t="s">
        <v>4114</v>
      </c>
      <c r="G24" s="294" t="s">
        <v>4692</v>
      </c>
      <c r="H24" s="294">
        <v>304</v>
      </c>
      <c r="I24" s="337" t="s">
        <v>116</v>
      </c>
      <c r="J24" s="149">
        <v>1.35</v>
      </c>
      <c r="K24" s="149">
        <v>1.35</v>
      </c>
      <c r="L24" s="149"/>
      <c r="M24" s="149"/>
      <c r="N24" s="335">
        <v>730</v>
      </c>
      <c r="O24" s="296">
        <v>0.48699999999999999</v>
      </c>
      <c r="P24" s="345"/>
      <c r="Q24" s="138">
        <v>78.3</v>
      </c>
      <c r="R24" s="366"/>
      <c r="S24" s="339"/>
      <c r="T24" s="299"/>
      <c r="U24" s="282" t="s">
        <v>3497</v>
      </c>
      <c r="V24" s="282"/>
      <c r="W24" s="282"/>
      <c r="X24" s="340"/>
      <c r="Y24" s="340"/>
      <c r="Z24" s="340"/>
      <c r="AA24" s="340"/>
      <c r="AB24" s="340"/>
      <c r="AC24" s="341"/>
      <c r="AD24" s="342" t="s">
        <v>139</v>
      </c>
      <c r="AE24" s="342" t="s">
        <v>3542</v>
      </c>
      <c r="AF24" s="284" t="s">
        <v>3543</v>
      </c>
      <c r="AG24" s="284">
        <v>43113</v>
      </c>
      <c r="AH24" s="284">
        <v>43146</v>
      </c>
      <c r="AI24" s="284"/>
      <c r="AJ24" s="334"/>
      <c r="AK24" s="342"/>
      <c r="AL24" s="342"/>
      <c r="AM24" s="284" t="s">
        <v>4117</v>
      </c>
      <c r="AN24" s="284" t="s">
        <v>4114</v>
      </c>
      <c r="AO24" s="343">
        <v>9.3219999999999992</v>
      </c>
      <c r="AP24" s="343">
        <v>9.3519999999999985</v>
      </c>
      <c r="AQ24" s="343">
        <v>9.35</v>
      </c>
      <c r="AR24" s="343">
        <v>9.3550000000000004</v>
      </c>
      <c r="BK24" s="331" t="s">
        <v>3514</v>
      </c>
    </row>
    <row r="25" spans="1:64" s="331" customFormat="1" ht="18" hidden="1" customHeight="1" x14ac:dyDescent="0.35">
      <c r="A25" s="334"/>
      <c r="B25" s="335"/>
      <c r="C25" s="334"/>
      <c r="D25" s="294"/>
      <c r="E25" s="294" t="s">
        <v>4677</v>
      </c>
      <c r="F25" s="294" t="s">
        <v>4693</v>
      </c>
      <c r="G25" s="294" t="s">
        <v>4694</v>
      </c>
      <c r="H25" s="294">
        <v>430</v>
      </c>
      <c r="I25" s="337" t="s">
        <v>116</v>
      </c>
      <c r="J25" s="431"/>
      <c r="K25" s="431"/>
      <c r="L25" s="149"/>
      <c r="M25" s="149"/>
      <c r="N25" s="335">
        <v>900</v>
      </c>
      <c r="O25" s="432"/>
      <c r="P25" s="345"/>
      <c r="Q25" s="433"/>
      <c r="R25" s="366"/>
      <c r="S25" s="339"/>
      <c r="T25" s="299"/>
      <c r="U25" s="282" t="s">
        <v>3497</v>
      </c>
      <c r="V25" s="282"/>
      <c r="W25" s="282"/>
      <c r="X25" s="340"/>
      <c r="Y25" s="340"/>
      <c r="Z25" s="340"/>
      <c r="AA25" s="340"/>
      <c r="AB25" s="340"/>
      <c r="AC25" s="341"/>
      <c r="AD25" s="342" t="s">
        <v>139</v>
      </c>
      <c r="AE25" s="342" t="s">
        <v>4695</v>
      </c>
      <c r="AF25" s="284" t="s">
        <v>4696</v>
      </c>
      <c r="AG25" s="284">
        <v>42527</v>
      </c>
      <c r="AH25" s="284">
        <v>42551</v>
      </c>
      <c r="AI25" s="284"/>
      <c r="AJ25" s="334"/>
      <c r="AK25" s="342"/>
      <c r="AL25" s="342"/>
      <c r="AM25" s="284"/>
      <c r="AN25" s="284" t="s">
        <v>4697</v>
      </c>
      <c r="AO25" s="343">
        <v>12.555</v>
      </c>
      <c r="AP25" s="343"/>
      <c r="AQ25" s="343"/>
      <c r="AR25" s="343">
        <v>12.496</v>
      </c>
      <c r="BK25" s="331" t="s">
        <v>3514</v>
      </c>
      <c r="BL25" s="331" t="s">
        <v>174</v>
      </c>
    </row>
    <row r="26" spans="1:64" s="331" customFormat="1" ht="18" hidden="1" customHeight="1" x14ac:dyDescent="0.35">
      <c r="A26" s="334"/>
      <c r="B26" s="335"/>
      <c r="C26" s="334"/>
      <c r="D26" s="294"/>
      <c r="E26" s="294" t="s">
        <v>4677</v>
      </c>
      <c r="F26" s="294" t="s">
        <v>4698</v>
      </c>
      <c r="G26" s="294" t="s">
        <v>4699</v>
      </c>
      <c r="H26" s="294">
        <v>304</v>
      </c>
      <c r="I26" s="337" t="s">
        <v>116</v>
      </c>
      <c r="J26" s="431"/>
      <c r="K26" s="431"/>
      <c r="L26" s="149"/>
      <c r="M26" s="149"/>
      <c r="N26" s="335">
        <v>760</v>
      </c>
      <c r="O26" s="432"/>
      <c r="P26" s="345"/>
      <c r="Q26" s="433"/>
      <c r="R26" s="366"/>
      <c r="S26" s="339"/>
      <c r="T26" s="299"/>
      <c r="U26" s="282" t="s">
        <v>3497</v>
      </c>
      <c r="V26" s="282"/>
      <c r="W26" s="282"/>
      <c r="X26" s="340"/>
      <c r="Y26" s="340"/>
      <c r="Z26" s="340"/>
      <c r="AA26" s="340"/>
      <c r="AB26" s="340"/>
      <c r="AC26" s="341"/>
      <c r="AD26" s="342" t="s">
        <v>139</v>
      </c>
      <c r="AE26" s="342" t="s">
        <v>203</v>
      </c>
      <c r="AF26" s="284" t="s">
        <v>204</v>
      </c>
      <c r="AG26" s="284"/>
      <c r="AH26" s="284">
        <v>43386</v>
      </c>
      <c r="AI26" s="284"/>
      <c r="AJ26" s="334"/>
      <c r="AK26" s="342"/>
      <c r="AL26" s="342"/>
      <c r="AM26" s="284"/>
      <c r="AN26" s="284" t="s">
        <v>4700</v>
      </c>
      <c r="AO26" s="343">
        <v>10.315</v>
      </c>
      <c r="AP26" s="343">
        <v>10.324999999999999</v>
      </c>
      <c r="AQ26" s="343">
        <v>10.354999999999999</v>
      </c>
      <c r="AR26" s="343">
        <v>10.36</v>
      </c>
      <c r="BK26" s="331" t="s">
        <v>3514</v>
      </c>
      <c r="BL26" s="331" t="s">
        <v>174</v>
      </c>
    </row>
    <row r="27" spans="1:64" s="331" customFormat="1" ht="18" hidden="1" customHeight="1" x14ac:dyDescent="0.35">
      <c r="A27" s="334"/>
      <c r="B27" s="335"/>
      <c r="C27" s="334"/>
      <c r="D27" s="294"/>
      <c r="E27" s="294" t="s">
        <v>4677</v>
      </c>
      <c r="F27" s="294" t="s">
        <v>4701</v>
      </c>
      <c r="G27" s="294" t="s">
        <v>4702</v>
      </c>
      <c r="H27" s="294" t="s">
        <v>29</v>
      </c>
      <c r="I27" s="337" t="s">
        <v>116</v>
      </c>
      <c r="J27" s="431"/>
      <c r="K27" s="431"/>
      <c r="L27" s="149"/>
      <c r="M27" s="149"/>
      <c r="N27" s="335">
        <v>730</v>
      </c>
      <c r="O27" s="296">
        <v>0.14000000000000001</v>
      </c>
      <c r="P27" s="345"/>
      <c r="Q27" s="433"/>
      <c r="R27" s="366"/>
      <c r="S27" s="339"/>
      <c r="T27" s="299"/>
      <c r="U27" s="282" t="s">
        <v>3497</v>
      </c>
      <c r="V27" s="282"/>
      <c r="W27" s="282"/>
      <c r="X27" s="340"/>
      <c r="Y27" s="340"/>
      <c r="Z27" s="340"/>
      <c r="AA27" s="340"/>
      <c r="AB27" s="340"/>
      <c r="AC27" s="341"/>
      <c r="AD27" s="342" t="s">
        <v>65</v>
      </c>
      <c r="AE27" s="342" t="s">
        <v>141</v>
      </c>
      <c r="AF27" s="284" t="s">
        <v>4703</v>
      </c>
      <c r="AG27" s="284">
        <v>42579</v>
      </c>
      <c r="AH27" s="284">
        <v>42614</v>
      </c>
      <c r="AI27" s="284"/>
      <c r="AJ27" s="334"/>
      <c r="AK27" s="342"/>
      <c r="AL27" s="342"/>
      <c r="AM27" s="284" t="s">
        <v>4704</v>
      </c>
      <c r="AN27" s="284" t="s">
        <v>4705</v>
      </c>
      <c r="AO27" s="343">
        <v>11.361000000000001</v>
      </c>
      <c r="AP27" s="343"/>
      <c r="AQ27" s="343"/>
      <c r="AR27" s="343"/>
      <c r="BK27" s="331" t="s">
        <v>3514</v>
      </c>
      <c r="BL27" s="331" t="s">
        <v>3572</v>
      </c>
    </row>
    <row r="28" spans="1:64" s="331" customFormat="1" ht="18" hidden="1" customHeight="1" x14ac:dyDescent="0.35">
      <c r="A28" s="334"/>
      <c r="B28" s="335"/>
      <c r="C28" s="334"/>
      <c r="D28" s="294"/>
      <c r="E28" s="294" t="s">
        <v>4677</v>
      </c>
      <c r="F28" s="294" t="s">
        <v>4701</v>
      </c>
      <c r="G28" s="294" t="s">
        <v>4706</v>
      </c>
      <c r="H28" s="294" t="s">
        <v>29</v>
      </c>
      <c r="I28" s="337" t="s">
        <v>116</v>
      </c>
      <c r="J28" s="431"/>
      <c r="K28" s="431"/>
      <c r="L28" s="149"/>
      <c r="M28" s="149"/>
      <c r="N28" s="335">
        <v>730</v>
      </c>
      <c r="O28" s="296">
        <v>0.14000000000000001</v>
      </c>
      <c r="P28" s="345"/>
      <c r="Q28" s="433"/>
      <c r="R28" s="366"/>
      <c r="S28" s="339"/>
      <c r="T28" s="299"/>
      <c r="U28" s="282" t="s">
        <v>3497</v>
      </c>
      <c r="V28" s="282"/>
      <c r="W28" s="282"/>
      <c r="X28" s="340"/>
      <c r="Y28" s="340"/>
      <c r="Z28" s="340"/>
      <c r="AA28" s="340"/>
      <c r="AB28" s="340"/>
      <c r="AC28" s="341"/>
      <c r="AD28" s="342" t="s">
        <v>65</v>
      </c>
      <c r="AE28" s="342" t="s">
        <v>141</v>
      </c>
      <c r="AF28" s="284" t="s">
        <v>4703</v>
      </c>
      <c r="AG28" s="284">
        <v>42579</v>
      </c>
      <c r="AH28" s="284">
        <v>42614</v>
      </c>
      <c r="AI28" s="284"/>
      <c r="AJ28" s="334"/>
      <c r="AK28" s="342"/>
      <c r="AL28" s="342"/>
      <c r="AM28" s="284" t="s">
        <v>4704</v>
      </c>
      <c r="AN28" s="284" t="s">
        <v>4705</v>
      </c>
      <c r="AO28" s="343">
        <v>11.361000000000001</v>
      </c>
      <c r="AP28" s="343"/>
      <c r="AQ28" s="343"/>
      <c r="AR28" s="343"/>
      <c r="BK28" s="331" t="s">
        <v>3514</v>
      </c>
      <c r="BL28" s="331" t="s">
        <v>3572</v>
      </c>
    </row>
    <row r="29" spans="1:64" s="331" customFormat="1" ht="18" hidden="1" customHeight="1" x14ac:dyDescent="0.35">
      <c r="A29" s="334"/>
      <c r="B29" s="335"/>
      <c r="C29" s="334"/>
      <c r="D29" s="294"/>
      <c r="E29" s="294" t="s">
        <v>4677</v>
      </c>
      <c r="F29" s="294" t="s">
        <v>4701</v>
      </c>
      <c r="G29" s="294" t="s">
        <v>4707</v>
      </c>
      <c r="H29" s="294" t="s">
        <v>29</v>
      </c>
      <c r="I29" s="337" t="s">
        <v>116</v>
      </c>
      <c r="J29" s="431"/>
      <c r="K29" s="431"/>
      <c r="L29" s="149"/>
      <c r="M29" s="149"/>
      <c r="N29" s="335">
        <v>730</v>
      </c>
      <c r="O29" s="296">
        <v>0.14000000000000001</v>
      </c>
      <c r="P29" s="345"/>
      <c r="Q29" s="433"/>
      <c r="R29" s="366"/>
      <c r="S29" s="339"/>
      <c r="T29" s="299"/>
      <c r="U29" s="282" t="s">
        <v>3497</v>
      </c>
      <c r="V29" s="282"/>
      <c r="W29" s="282"/>
      <c r="X29" s="340"/>
      <c r="Y29" s="340"/>
      <c r="Z29" s="340"/>
      <c r="AA29" s="340"/>
      <c r="AB29" s="340"/>
      <c r="AC29" s="341"/>
      <c r="AD29" s="342" t="s">
        <v>65</v>
      </c>
      <c r="AE29" s="342" t="s">
        <v>141</v>
      </c>
      <c r="AF29" s="284" t="s">
        <v>4703</v>
      </c>
      <c r="AG29" s="284">
        <v>42579</v>
      </c>
      <c r="AH29" s="284">
        <v>42614</v>
      </c>
      <c r="AI29" s="284"/>
      <c r="AJ29" s="334"/>
      <c r="AK29" s="342"/>
      <c r="AL29" s="342"/>
      <c r="AM29" s="284" t="s">
        <v>4704</v>
      </c>
      <c r="AN29" s="284" t="s">
        <v>4705</v>
      </c>
      <c r="AO29" s="343">
        <v>11.361000000000001</v>
      </c>
      <c r="AP29" s="343"/>
      <c r="AQ29" s="343"/>
      <c r="AR29" s="343"/>
      <c r="BK29" s="331" t="s">
        <v>3514</v>
      </c>
      <c r="BL29" s="331" t="s">
        <v>3572</v>
      </c>
    </row>
    <row r="30" spans="1:64" s="331" customFormat="1" ht="18" hidden="1" customHeight="1" x14ac:dyDescent="0.35">
      <c r="A30" s="334"/>
      <c r="B30" s="335"/>
      <c r="C30" s="334"/>
      <c r="D30" s="294"/>
      <c r="E30" s="294" t="s">
        <v>4677</v>
      </c>
      <c r="F30" s="294" t="s">
        <v>4708</v>
      </c>
      <c r="G30" s="294" t="s">
        <v>4709</v>
      </c>
      <c r="H30" s="294" t="s">
        <v>230</v>
      </c>
      <c r="I30" s="337" t="s">
        <v>116</v>
      </c>
      <c r="J30" s="149">
        <v>1.1499999999999999</v>
      </c>
      <c r="K30" s="149">
        <v>1.1499999999999999</v>
      </c>
      <c r="L30" s="149"/>
      <c r="M30" s="149"/>
      <c r="N30" s="335">
        <v>770</v>
      </c>
      <c r="O30" s="296">
        <v>0.43</v>
      </c>
      <c r="P30" s="345"/>
      <c r="Q30" s="299">
        <v>157</v>
      </c>
      <c r="R30" s="366"/>
      <c r="S30" s="339"/>
      <c r="T30" s="299"/>
      <c r="U30" s="282" t="s">
        <v>3497</v>
      </c>
      <c r="V30" s="282"/>
      <c r="W30" s="282"/>
      <c r="X30" s="340"/>
      <c r="Y30" s="340"/>
      <c r="Z30" s="340"/>
      <c r="AA30" s="340"/>
      <c r="AB30" s="340"/>
      <c r="AC30" s="341"/>
      <c r="AD30" s="342" t="s">
        <v>139</v>
      </c>
      <c r="AE30" s="342" t="s">
        <v>203</v>
      </c>
      <c r="AF30" s="284" t="s">
        <v>4710</v>
      </c>
      <c r="AG30" s="284"/>
      <c r="AH30" s="284">
        <v>43747</v>
      </c>
      <c r="AI30" s="284"/>
      <c r="AJ30" s="334"/>
      <c r="AK30" s="342"/>
      <c r="AL30" s="342"/>
      <c r="AM30" s="284"/>
      <c r="AN30" s="284" t="s">
        <v>4711</v>
      </c>
      <c r="AO30" s="343">
        <v>12.005000000000001</v>
      </c>
      <c r="AP30" s="343">
        <v>12.015000000000001</v>
      </c>
      <c r="AQ30" s="343">
        <v>12.059999999999999</v>
      </c>
      <c r="AR30" s="343">
        <v>12.065</v>
      </c>
      <c r="BK30" s="331" t="s">
        <v>3514</v>
      </c>
      <c r="BL30" s="331" t="s">
        <v>3515</v>
      </c>
    </row>
    <row r="31" spans="1:64" s="331" customFormat="1" ht="18" hidden="1" customHeight="1" x14ac:dyDescent="0.35">
      <c r="A31" s="334"/>
      <c r="B31" s="335"/>
      <c r="C31" s="334"/>
      <c r="D31" s="294"/>
      <c r="E31" s="294" t="s">
        <v>4677</v>
      </c>
      <c r="F31" s="294" t="s">
        <v>4708</v>
      </c>
      <c r="G31" s="294" t="s">
        <v>4712</v>
      </c>
      <c r="H31" s="294" t="s">
        <v>230</v>
      </c>
      <c r="I31" s="337" t="s">
        <v>116</v>
      </c>
      <c r="J31" s="149">
        <v>1.18</v>
      </c>
      <c r="K31" s="149">
        <v>1.18</v>
      </c>
      <c r="L31" s="149"/>
      <c r="M31" s="149"/>
      <c r="N31" s="335">
        <v>770</v>
      </c>
      <c r="O31" s="296">
        <v>0.42699999999999999</v>
      </c>
      <c r="P31" s="345"/>
      <c r="Q31" s="299">
        <v>157.19999999999999</v>
      </c>
      <c r="R31" s="366"/>
      <c r="S31" s="339"/>
      <c r="T31" s="299"/>
      <c r="U31" s="282" t="s">
        <v>3497</v>
      </c>
      <c r="V31" s="282"/>
      <c r="W31" s="282"/>
      <c r="X31" s="340"/>
      <c r="Y31" s="340"/>
      <c r="Z31" s="340"/>
      <c r="AA31" s="340"/>
      <c r="AB31" s="340"/>
      <c r="AC31" s="341"/>
      <c r="AD31" s="342" t="s">
        <v>139</v>
      </c>
      <c r="AE31" s="342" t="s">
        <v>203</v>
      </c>
      <c r="AF31" s="284" t="s">
        <v>4710</v>
      </c>
      <c r="AG31" s="284"/>
      <c r="AH31" s="284">
        <v>43747</v>
      </c>
      <c r="AI31" s="284"/>
      <c r="AJ31" s="334"/>
      <c r="AK31" s="342"/>
      <c r="AL31" s="342"/>
      <c r="AM31" s="284"/>
      <c r="AN31" s="284" t="s">
        <v>4711</v>
      </c>
      <c r="AO31" s="343">
        <v>12.005000000000001</v>
      </c>
      <c r="AP31" s="343">
        <v>12.015000000000001</v>
      </c>
      <c r="AQ31" s="343">
        <v>12.059999999999999</v>
      </c>
      <c r="AR31" s="343">
        <v>12.065</v>
      </c>
      <c r="BK31" s="331" t="s">
        <v>3514</v>
      </c>
      <c r="BL31" s="331" t="s">
        <v>3515</v>
      </c>
    </row>
    <row r="32" spans="1:64" s="331" customFormat="1" ht="18" hidden="1" customHeight="1" x14ac:dyDescent="0.35">
      <c r="A32" s="334"/>
      <c r="B32" s="335"/>
      <c r="C32" s="334"/>
      <c r="D32" s="294"/>
      <c r="E32" s="294" t="s">
        <v>4677</v>
      </c>
      <c r="F32" s="294" t="s">
        <v>4713</v>
      </c>
      <c r="G32" s="294" t="s">
        <v>4714</v>
      </c>
      <c r="H32" s="294" t="s">
        <v>29</v>
      </c>
      <c r="I32" s="337" t="s">
        <v>116</v>
      </c>
      <c r="J32" s="149">
        <v>0.38</v>
      </c>
      <c r="K32" s="149">
        <v>0.38</v>
      </c>
      <c r="L32" s="149"/>
      <c r="M32" s="149"/>
      <c r="N32" s="335">
        <v>590</v>
      </c>
      <c r="O32" s="296">
        <v>7.0000000000000007E-2</v>
      </c>
      <c r="P32" s="345"/>
      <c r="Q32" s="299">
        <v>59</v>
      </c>
      <c r="R32" s="366"/>
      <c r="S32" s="339"/>
      <c r="T32" s="299"/>
      <c r="U32" s="282" t="s">
        <v>3497</v>
      </c>
      <c r="V32" s="282"/>
      <c r="W32" s="282"/>
      <c r="X32" s="340"/>
      <c r="Y32" s="340"/>
      <c r="Z32" s="340"/>
      <c r="AA32" s="340"/>
      <c r="AB32" s="340"/>
      <c r="AC32" s="341"/>
      <c r="AD32" s="342" t="s">
        <v>139</v>
      </c>
      <c r="AE32" s="342" t="s">
        <v>132</v>
      </c>
      <c r="AF32" s="284" t="s">
        <v>4715</v>
      </c>
      <c r="AG32" s="284">
        <v>43294</v>
      </c>
      <c r="AH32" s="284">
        <v>43312</v>
      </c>
      <c r="AI32" s="284"/>
      <c r="AJ32" s="334"/>
      <c r="AK32" s="342"/>
      <c r="AL32" s="342"/>
      <c r="AM32" s="284"/>
      <c r="AN32" s="284" t="s">
        <v>4716</v>
      </c>
      <c r="AO32" s="343">
        <v>9.1780000000000008</v>
      </c>
      <c r="AP32" s="343">
        <v>9.1930000000000014</v>
      </c>
      <c r="AQ32" s="343">
        <v>9.2099999999999991</v>
      </c>
      <c r="AR32" s="343">
        <v>9.2149999999999999</v>
      </c>
      <c r="BK32" s="331" t="s">
        <v>3514</v>
      </c>
      <c r="BL32" s="331" t="s">
        <v>3572</v>
      </c>
    </row>
    <row r="33" spans="1:64" s="331" customFormat="1" ht="18" hidden="1" customHeight="1" x14ac:dyDescent="0.35">
      <c r="A33" s="334"/>
      <c r="B33" s="335"/>
      <c r="C33" s="334"/>
      <c r="D33" s="294"/>
      <c r="E33" s="294" t="s">
        <v>4677</v>
      </c>
      <c r="F33" s="294" t="s">
        <v>4717</v>
      </c>
      <c r="G33" s="294" t="s">
        <v>4718</v>
      </c>
      <c r="H33" s="294" t="s">
        <v>29</v>
      </c>
      <c r="I33" s="337" t="s">
        <v>116</v>
      </c>
      <c r="J33" s="149">
        <v>0.45</v>
      </c>
      <c r="K33" s="149">
        <v>0.45</v>
      </c>
      <c r="L33" s="149"/>
      <c r="M33" s="149"/>
      <c r="N33" s="335">
        <v>730</v>
      </c>
      <c r="O33" s="296">
        <v>0.09</v>
      </c>
      <c r="P33" s="345"/>
      <c r="Q33" s="299">
        <v>119.3</v>
      </c>
      <c r="R33" s="366"/>
      <c r="S33" s="339"/>
      <c r="T33" s="299"/>
      <c r="U33" s="282" t="s">
        <v>3497</v>
      </c>
      <c r="V33" s="282" t="s">
        <v>4685</v>
      </c>
      <c r="W33" s="282"/>
      <c r="X33" s="340"/>
      <c r="Y33" s="340"/>
      <c r="Z33" s="340"/>
      <c r="AA33" s="340"/>
      <c r="AB33" s="340"/>
      <c r="AC33" s="341"/>
      <c r="AD33" s="342" t="s">
        <v>65</v>
      </c>
      <c r="AE33" s="342" t="s">
        <v>4719</v>
      </c>
      <c r="AF33" s="284" t="s">
        <v>4720</v>
      </c>
      <c r="AG33" s="284">
        <v>42796</v>
      </c>
      <c r="AH33" s="284">
        <v>42840</v>
      </c>
      <c r="AI33" s="284"/>
      <c r="AJ33" s="334"/>
      <c r="AK33" s="342"/>
      <c r="AL33" s="342"/>
      <c r="AM33" s="284"/>
      <c r="AN33" s="284" t="s">
        <v>4721</v>
      </c>
      <c r="AO33" s="343">
        <v>11.547000000000001</v>
      </c>
      <c r="AP33" s="343"/>
      <c r="AQ33" s="343"/>
      <c r="AR33" s="343">
        <v>11.592000000000001</v>
      </c>
      <c r="BK33" s="331" t="s">
        <v>3514</v>
      </c>
      <c r="BL33" s="331" t="s">
        <v>3572</v>
      </c>
    </row>
    <row r="34" spans="1:64" s="331" customFormat="1" ht="18" hidden="1" customHeight="1" x14ac:dyDescent="0.35">
      <c r="A34" s="334"/>
      <c r="B34" s="335"/>
      <c r="C34" s="334"/>
      <c r="D34" s="294"/>
      <c r="E34" s="294" t="s">
        <v>4677</v>
      </c>
      <c r="F34" s="294" t="s">
        <v>4717</v>
      </c>
      <c r="G34" s="294" t="s">
        <v>4722</v>
      </c>
      <c r="H34" s="294" t="s">
        <v>29</v>
      </c>
      <c r="I34" s="337" t="s">
        <v>116</v>
      </c>
      <c r="J34" s="149">
        <v>0.45</v>
      </c>
      <c r="K34" s="149">
        <v>0.45</v>
      </c>
      <c r="L34" s="149"/>
      <c r="M34" s="149"/>
      <c r="N34" s="335">
        <v>730</v>
      </c>
      <c r="O34" s="296">
        <v>0.14399999999999999</v>
      </c>
      <c r="P34" s="345"/>
      <c r="Q34" s="299">
        <v>88.9</v>
      </c>
      <c r="R34" s="366"/>
      <c r="S34" s="339"/>
      <c r="T34" s="299"/>
      <c r="U34" s="282" t="s">
        <v>3497</v>
      </c>
      <c r="V34" s="282" t="s">
        <v>4685</v>
      </c>
      <c r="W34" s="282"/>
      <c r="X34" s="340"/>
      <c r="Y34" s="340"/>
      <c r="Z34" s="340"/>
      <c r="AA34" s="340"/>
      <c r="AB34" s="340"/>
      <c r="AC34" s="341"/>
      <c r="AD34" s="342" t="s">
        <v>65</v>
      </c>
      <c r="AE34" s="342" t="s">
        <v>4719</v>
      </c>
      <c r="AF34" s="284" t="s">
        <v>4720</v>
      </c>
      <c r="AG34" s="284">
        <v>42796</v>
      </c>
      <c r="AH34" s="284">
        <v>42840</v>
      </c>
      <c r="AI34" s="284"/>
      <c r="AJ34" s="334"/>
      <c r="AK34" s="342"/>
      <c r="AL34" s="342"/>
      <c r="AM34" s="284"/>
      <c r="AN34" s="284" t="s">
        <v>4721</v>
      </c>
      <c r="AO34" s="343">
        <v>11.547000000000001</v>
      </c>
      <c r="AP34" s="343"/>
      <c r="AQ34" s="343"/>
      <c r="AR34" s="343">
        <v>11.592000000000001</v>
      </c>
      <c r="BK34" s="331" t="s">
        <v>3514</v>
      </c>
      <c r="BL34" s="331" t="s">
        <v>3515</v>
      </c>
    </row>
    <row r="35" spans="1:64" s="331" customFormat="1" ht="18" hidden="1" customHeight="1" x14ac:dyDescent="0.35">
      <c r="A35" s="334"/>
      <c r="B35" s="335"/>
      <c r="C35" s="334"/>
      <c r="D35" s="294"/>
      <c r="E35" s="294" t="s">
        <v>4677</v>
      </c>
      <c r="F35" s="294" t="s">
        <v>4723</v>
      </c>
      <c r="G35" s="294" t="s">
        <v>4724</v>
      </c>
      <c r="H35" s="294">
        <v>304</v>
      </c>
      <c r="I35" s="337" t="s">
        <v>116</v>
      </c>
      <c r="J35" s="149">
        <v>0.75</v>
      </c>
      <c r="K35" s="149">
        <v>0.75</v>
      </c>
      <c r="L35" s="149"/>
      <c r="M35" s="149"/>
      <c r="N35" s="335">
        <v>730</v>
      </c>
      <c r="O35" s="296">
        <v>0.219</v>
      </c>
      <c r="P35" s="345"/>
      <c r="Q35" s="299">
        <v>29.8</v>
      </c>
      <c r="R35" s="366"/>
      <c r="S35" s="339"/>
      <c r="T35" s="299"/>
      <c r="U35" s="282" t="s">
        <v>3497</v>
      </c>
      <c r="V35" s="282"/>
      <c r="W35" s="282"/>
      <c r="X35" s="340"/>
      <c r="Y35" s="340"/>
      <c r="Z35" s="340"/>
      <c r="AA35" s="340"/>
      <c r="AB35" s="340"/>
      <c r="AC35" s="341"/>
      <c r="AD35" s="342" t="s">
        <v>139</v>
      </c>
      <c r="AE35" s="342" t="s">
        <v>4725</v>
      </c>
      <c r="AF35" s="284" t="s">
        <v>4726</v>
      </c>
      <c r="AG35" s="284">
        <v>43218</v>
      </c>
      <c r="AH35" s="284">
        <v>43242</v>
      </c>
      <c r="AI35" s="284"/>
      <c r="AJ35" s="334"/>
      <c r="AK35" s="342"/>
      <c r="AL35" s="342"/>
      <c r="AM35" s="284"/>
      <c r="AN35" s="284" t="s">
        <v>4727</v>
      </c>
      <c r="AO35" s="343">
        <v>10.938000000000001</v>
      </c>
      <c r="AP35" s="343">
        <v>10.958</v>
      </c>
      <c r="AQ35" s="343">
        <v>10.975</v>
      </c>
      <c r="AR35" s="343">
        <v>10.98</v>
      </c>
      <c r="BK35" s="331" t="s">
        <v>3514</v>
      </c>
      <c r="BL35" s="331" t="s">
        <v>3515</v>
      </c>
    </row>
    <row r="36" spans="1:64" s="331" customFormat="1" ht="18" hidden="1" customHeight="1" x14ac:dyDescent="0.35">
      <c r="A36" s="334"/>
      <c r="B36" s="335"/>
      <c r="C36" s="334"/>
      <c r="D36" s="294"/>
      <c r="E36" s="294" t="s">
        <v>4677</v>
      </c>
      <c r="F36" s="294" t="s">
        <v>4723</v>
      </c>
      <c r="G36" s="294" t="s">
        <v>4728</v>
      </c>
      <c r="H36" s="294">
        <v>304</v>
      </c>
      <c r="I36" s="337" t="s">
        <v>116</v>
      </c>
      <c r="J36" s="149">
        <v>0.75</v>
      </c>
      <c r="K36" s="149">
        <v>0.75</v>
      </c>
      <c r="L36" s="149"/>
      <c r="M36" s="149"/>
      <c r="N36" s="335">
        <v>730</v>
      </c>
      <c r="O36" s="296">
        <v>0.17699999999999999</v>
      </c>
      <c r="P36" s="345"/>
      <c r="Q36" s="299">
        <v>29.8</v>
      </c>
      <c r="R36" s="366"/>
      <c r="S36" s="339"/>
      <c r="T36" s="299"/>
      <c r="U36" s="282" t="s">
        <v>3497</v>
      </c>
      <c r="V36" s="282"/>
      <c r="W36" s="282"/>
      <c r="X36" s="340"/>
      <c r="Y36" s="340"/>
      <c r="Z36" s="340"/>
      <c r="AA36" s="340"/>
      <c r="AB36" s="340"/>
      <c r="AC36" s="341"/>
      <c r="AD36" s="342" t="s">
        <v>139</v>
      </c>
      <c r="AE36" s="342" t="s">
        <v>4725</v>
      </c>
      <c r="AF36" s="284" t="s">
        <v>4726</v>
      </c>
      <c r="AG36" s="284">
        <v>43218</v>
      </c>
      <c r="AH36" s="284">
        <v>43242</v>
      </c>
      <c r="AI36" s="284"/>
      <c r="AJ36" s="334"/>
      <c r="AK36" s="342"/>
      <c r="AL36" s="342"/>
      <c r="AM36" s="284"/>
      <c r="AN36" s="284" t="s">
        <v>4727</v>
      </c>
      <c r="AO36" s="343">
        <v>10.938000000000001</v>
      </c>
      <c r="AP36" s="343">
        <v>10.958</v>
      </c>
      <c r="AQ36" s="343">
        <v>10.975</v>
      </c>
      <c r="AR36" s="343">
        <v>10.98</v>
      </c>
      <c r="BK36" s="331" t="s">
        <v>3514</v>
      </c>
      <c r="BL36" s="331" t="s">
        <v>3515</v>
      </c>
    </row>
    <row r="37" spans="1:64" s="331" customFormat="1" ht="18" hidden="1" customHeight="1" x14ac:dyDescent="0.35">
      <c r="A37" s="334"/>
      <c r="B37" s="335"/>
      <c r="C37" s="334"/>
      <c r="D37" s="294"/>
      <c r="E37" s="294" t="s">
        <v>4677</v>
      </c>
      <c r="F37" s="294" t="s">
        <v>4723</v>
      </c>
      <c r="G37" s="294" t="s">
        <v>4729</v>
      </c>
      <c r="H37" s="294">
        <v>304</v>
      </c>
      <c r="I37" s="337" t="s">
        <v>116</v>
      </c>
      <c r="J37" s="149">
        <v>0.75</v>
      </c>
      <c r="K37" s="149">
        <v>0.75</v>
      </c>
      <c r="L37" s="149"/>
      <c r="M37" s="149"/>
      <c r="N37" s="335">
        <v>730</v>
      </c>
      <c r="O37" s="296">
        <v>0.17899999999999999</v>
      </c>
      <c r="P37" s="345"/>
      <c r="Q37" s="299">
        <v>29.8</v>
      </c>
      <c r="R37" s="366"/>
      <c r="S37" s="339"/>
      <c r="T37" s="299"/>
      <c r="U37" s="282" t="s">
        <v>3497</v>
      </c>
      <c r="V37" s="282"/>
      <c r="W37" s="282"/>
      <c r="X37" s="340"/>
      <c r="Y37" s="340"/>
      <c r="Z37" s="340"/>
      <c r="AA37" s="340"/>
      <c r="AB37" s="340"/>
      <c r="AC37" s="341"/>
      <c r="AD37" s="342" t="s">
        <v>139</v>
      </c>
      <c r="AE37" s="342" t="s">
        <v>4725</v>
      </c>
      <c r="AF37" s="284" t="s">
        <v>4726</v>
      </c>
      <c r="AG37" s="284">
        <v>43218</v>
      </c>
      <c r="AH37" s="284">
        <v>43242</v>
      </c>
      <c r="AI37" s="284"/>
      <c r="AJ37" s="334"/>
      <c r="AK37" s="342"/>
      <c r="AL37" s="342"/>
      <c r="AM37" s="284"/>
      <c r="AN37" s="284" t="s">
        <v>4727</v>
      </c>
      <c r="AO37" s="343">
        <v>10.938000000000001</v>
      </c>
      <c r="AP37" s="343">
        <v>10.958</v>
      </c>
      <c r="AQ37" s="343">
        <v>10.975</v>
      </c>
      <c r="AR37" s="343">
        <v>10.98</v>
      </c>
      <c r="BK37" s="331" t="s">
        <v>3514</v>
      </c>
      <c r="BL37" s="331" t="s">
        <v>3515</v>
      </c>
    </row>
    <row r="38" spans="1:64" s="331" customFormat="1" ht="18" hidden="1" customHeight="1" x14ac:dyDescent="0.35">
      <c r="A38" s="334"/>
      <c r="B38" s="335"/>
      <c r="C38" s="334"/>
      <c r="D38" s="294"/>
      <c r="E38" s="294" t="s">
        <v>4677</v>
      </c>
      <c r="F38" s="294" t="s">
        <v>4730</v>
      </c>
      <c r="G38" s="294" t="s">
        <v>4731</v>
      </c>
      <c r="H38" s="294" t="s">
        <v>29</v>
      </c>
      <c r="I38" s="337" t="s">
        <v>116</v>
      </c>
      <c r="J38" s="149">
        <v>0.95</v>
      </c>
      <c r="K38" s="149">
        <v>0.95</v>
      </c>
      <c r="L38" s="149"/>
      <c r="M38" s="149"/>
      <c r="N38" s="335">
        <v>595</v>
      </c>
      <c r="O38" s="296">
        <v>3.5000000000000003E-2</v>
      </c>
      <c r="P38" s="345"/>
      <c r="Q38" s="138">
        <v>48</v>
      </c>
      <c r="R38" s="366"/>
      <c r="S38" s="339"/>
      <c r="T38" s="299"/>
      <c r="U38" s="282" t="s">
        <v>3497</v>
      </c>
      <c r="V38" s="282"/>
      <c r="W38" s="282"/>
      <c r="X38" s="340"/>
      <c r="Y38" s="340"/>
      <c r="Z38" s="340"/>
      <c r="AA38" s="340"/>
      <c r="AB38" s="340"/>
      <c r="AC38" s="341"/>
      <c r="AD38" s="342" t="s">
        <v>139</v>
      </c>
      <c r="AE38" s="342" t="s">
        <v>4732</v>
      </c>
      <c r="AF38" s="284" t="s">
        <v>4733</v>
      </c>
      <c r="AG38" s="284">
        <v>43543</v>
      </c>
      <c r="AH38" s="284">
        <v>43563</v>
      </c>
      <c r="AI38" s="284"/>
      <c r="AJ38" s="334"/>
      <c r="AK38" s="342"/>
      <c r="AL38" s="342"/>
      <c r="AM38" s="284" t="s">
        <v>4734</v>
      </c>
      <c r="AN38" s="284" t="s">
        <v>4730</v>
      </c>
      <c r="AO38" s="343">
        <v>7.1420000000000003</v>
      </c>
      <c r="AP38" s="343">
        <v>7.1619999999999999</v>
      </c>
      <c r="AQ38" s="343">
        <v>7.14</v>
      </c>
      <c r="AR38" s="343">
        <v>7.1449999999999996</v>
      </c>
      <c r="BK38" s="331" t="s">
        <v>3514</v>
      </c>
      <c r="BL38" s="331" t="s">
        <v>3572</v>
      </c>
    </row>
    <row r="39" spans="1:64" s="331" customFormat="1" ht="18" hidden="1" customHeight="1" x14ac:dyDescent="0.35">
      <c r="A39" s="334"/>
      <c r="B39" s="335"/>
      <c r="C39" s="334"/>
      <c r="D39" s="294"/>
      <c r="E39" s="294" t="s">
        <v>4677</v>
      </c>
      <c r="F39" s="294" t="s">
        <v>4735</v>
      </c>
      <c r="G39" s="294" t="s">
        <v>4736</v>
      </c>
      <c r="H39" s="294" t="s">
        <v>29</v>
      </c>
      <c r="I39" s="337" t="s">
        <v>116</v>
      </c>
      <c r="J39" s="149">
        <v>0.38</v>
      </c>
      <c r="K39" s="149">
        <v>0.38</v>
      </c>
      <c r="L39" s="149"/>
      <c r="M39" s="149"/>
      <c r="N39" s="335">
        <v>730</v>
      </c>
      <c r="O39" s="296">
        <v>9.5000000000000001E-2</v>
      </c>
      <c r="P39" s="345"/>
      <c r="Q39" s="299">
        <v>59</v>
      </c>
      <c r="R39" s="366"/>
      <c r="S39" s="339"/>
      <c r="T39" s="299"/>
      <c r="U39" s="282" t="s">
        <v>3497</v>
      </c>
      <c r="V39" s="282"/>
      <c r="W39" s="282"/>
      <c r="X39" s="340"/>
      <c r="Y39" s="340"/>
      <c r="Z39" s="340"/>
      <c r="AA39" s="340"/>
      <c r="AB39" s="340"/>
      <c r="AC39" s="341"/>
      <c r="AD39" s="342" t="s">
        <v>65</v>
      </c>
      <c r="AE39" s="342" t="s">
        <v>132</v>
      </c>
      <c r="AF39" s="284" t="s">
        <v>4737</v>
      </c>
      <c r="AG39" s="284">
        <v>43193</v>
      </c>
      <c r="AH39" s="284">
        <v>43218</v>
      </c>
      <c r="AI39" s="284"/>
      <c r="AJ39" s="334"/>
      <c r="AK39" s="342"/>
      <c r="AL39" s="342"/>
      <c r="AM39" s="284"/>
      <c r="AN39" s="284" t="s">
        <v>4738</v>
      </c>
      <c r="AO39" s="343">
        <v>11.483000000000001</v>
      </c>
      <c r="AP39" s="343">
        <v>11.498000000000001</v>
      </c>
      <c r="AQ39" s="343">
        <v>11.505000000000001</v>
      </c>
      <c r="AR39" s="343">
        <v>11.51</v>
      </c>
      <c r="BK39" s="331" t="s">
        <v>3514</v>
      </c>
    </row>
    <row r="40" spans="1:64" s="331" customFormat="1" ht="18" hidden="1" customHeight="1" x14ac:dyDescent="0.35">
      <c r="A40" s="334"/>
      <c r="B40" s="335"/>
      <c r="C40" s="334"/>
      <c r="D40" s="294"/>
      <c r="E40" s="294" t="s">
        <v>4677</v>
      </c>
      <c r="F40" s="294" t="s">
        <v>4739</v>
      </c>
      <c r="G40" s="294" t="s">
        <v>4740</v>
      </c>
      <c r="H40" s="294" t="s">
        <v>230</v>
      </c>
      <c r="I40" s="337" t="s">
        <v>116</v>
      </c>
      <c r="J40" s="149">
        <v>1.02</v>
      </c>
      <c r="K40" s="149">
        <v>1.02</v>
      </c>
      <c r="L40" s="149"/>
      <c r="M40" s="149"/>
      <c r="N40" s="335">
        <v>766</v>
      </c>
      <c r="O40" s="296">
        <v>0.39500000000000002</v>
      </c>
      <c r="P40" s="345"/>
      <c r="Q40" s="299">
        <v>67</v>
      </c>
      <c r="R40" s="366"/>
      <c r="S40" s="339"/>
      <c r="T40" s="299"/>
      <c r="U40" s="282" t="s">
        <v>3497</v>
      </c>
      <c r="V40" s="282"/>
      <c r="W40" s="282"/>
      <c r="X40" s="340"/>
      <c r="Y40" s="340"/>
      <c r="Z40" s="340"/>
      <c r="AA40" s="340"/>
      <c r="AB40" s="340"/>
      <c r="AC40" s="341"/>
      <c r="AD40" s="342" t="s">
        <v>139</v>
      </c>
      <c r="AE40" s="342" t="s">
        <v>203</v>
      </c>
      <c r="AF40" s="284" t="s">
        <v>4741</v>
      </c>
      <c r="AG40" s="284"/>
      <c r="AH40" s="284">
        <v>43646</v>
      </c>
      <c r="AI40" s="284"/>
      <c r="AJ40" s="334"/>
      <c r="AK40" s="342"/>
      <c r="AL40" s="342"/>
      <c r="AM40" s="284"/>
      <c r="AN40" s="284" t="s">
        <v>4742</v>
      </c>
      <c r="AO40" s="343">
        <v>12.185</v>
      </c>
      <c r="AP40" s="343">
        <v>12.195</v>
      </c>
      <c r="AQ40" s="343">
        <v>12.229999999999999</v>
      </c>
      <c r="AR40" s="343">
        <v>12.234999999999999</v>
      </c>
      <c r="BK40" s="331" t="s">
        <v>3514</v>
      </c>
      <c r="BL40" s="331" t="s">
        <v>3515</v>
      </c>
    </row>
    <row r="41" spans="1:64" s="331" customFormat="1" ht="18" hidden="1" customHeight="1" x14ac:dyDescent="0.35">
      <c r="A41" s="334"/>
      <c r="B41" s="335"/>
      <c r="C41" s="334"/>
      <c r="D41" s="294"/>
      <c r="E41" s="294" t="s">
        <v>4677</v>
      </c>
      <c r="F41" s="294" t="s">
        <v>4743</v>
      </c>
      <c r="G41" s="294" t="s">
        <v>4744</v>
      </c>
      <c r="H41" s="294" t="s">
        <v>230</v>
      </c>
      <c r="I41" s="337" t="s">
        <v>116</v>
      </c>
      <c r="J41" s="149">
        <v>0.5</v>
      </c>
      <c r="K41" s="149">
        <v>0.5</v>
      </c>
      <c r="L41" s="149"/>
      <c r="M41" s="149"/>
      <c r="N41" s="335">
        <v>760</v>
      </c>
      <c r="O41" s="296">
        <v>0.19</v>
      </c>
      <c r="P41" s="345"/>
      <c r="Q41" s="138">
        <v>174</v>
      </c>
      <c r="R41" s="366"/>
      <c r="S41" s="339"/>
      <c r="T41" s="299"/>
      <c r="U41" s="282" t="s">
        <v>3497</v>
      </c>
      <c r="V41" s="282"/>
      <c r="W41" s="282"/>
      <c r="X41" s="340"/>
      <c r="Y41" s="340"/>
      <c r="Z41" s="340"/>
      <c r="AA41" s="340"/>
      <c r="AB41" s="340"/>
      <c r="AC41" s="341"/>
      <c r="AD41" s="342" t="s">
        <v>139</v>
      </c>
      <c r="AE41" s="342" t="s">
        <v>203</v>
      </c>
      <c r="AF41" s="284" t="s">
        <v>4745</v>
      </c>
      <c r="AG41" s="284"/>
      <c r="AH41" s="284">
        <v>43630</v>
      </c>
      <c r="AI41" s="284"/>
      <c r="AJ41" s="334"/>
      <c r="AK41" s="342"/>
      <c r="AL41" s="342"/>
      <c r="AM41" s="284"/>
      <c r="AN41" s="284" t="s">
        <v>4746</v>
      </c>
      <c r="AO41" s="343">
        <v>10.16</v>
      </c>
      <c r="AP41" s="343">
        <v>10.17</v>
      </c>
      <c r="AQ41" s="343">
        <v>10.18</v>
      </c>
      <c r="AR41" s="343">
        <v>10.185</v>
      </c>
      <c r="BK41" s="331" t="s">
        <v>3514</v>
      </c>
      <c r="BL41" s="331" t="s">
        <v>3572</v>
      </c>
    </row>
    <row r="42" spans="1:64" s="331" customFormat="1" ht="18" hidden="1" customHeight="1" x14ac:dyDescent="0.35">
      <c r="A42" s="334"/>
      <c r="B42" s="335"/>
      <c r="C42" s="334"/>
      <c r="D42" s="294"/>
      <c r="E42" s="294" t="s">
        <v>4677</v>
      </c>
      <c r="F42" s="294" t="s">
        <v>4747</v>
      </c>
      <c r="G42" s="294" t="s">
        <v>4748</v>
      </c>
      <c r="H42" s="294">
        <v>304</v>
      </c>
      <c r="I42" s="337" t="s">
        <v>116</v>
      </c>
      <c r="J42" s="149">
        <v>0.5</v>
      </c>
      <c r="K42" s="149">
        <v>0.5</v>
      </c>
      <c r="L42" s="149"/>
      <c r="M42" s="149"/>
      <c r="N42" s="335">
        <v>730</v>
      </c>
      <c r="O42" s="296">
        <v>0.13600000000000001</v>
      </c>
      <c r="P42" s="345"/>
      <c r="Q42" s="138">
        <v>64</v>
      </c>
      <c r="R42" s="366"/>
      <c r="S42" s="339"/>
      <c r="T42" s="299"/>
      <c r="U42" s="282" t="s">
        <v>3497</v>
      </c>
      <c r="V42" s="282"/>
      <c r="W42" s="282"/>
      <c r="X42" s="340"/>
      <c r="Y42" s="340"/>
      <c r="Z42" s="340"/>
      <c r="AA42" s="340"/>
      <c r="AB42" s="340"/>
      <c r="AC42" s="341"/>
      <c r="AD42" s="342" t="s">
        <v>139</v>
      </c>
      <c r="AE42" s="342" t="s">
        <v>4719</v>
      </c>
      <c r="AF42" s="284" t="s">
        <v>4749</v>
      </c>
      <c r="AG42" s="284">
        <v>43067</v>
      </c>
      <c r="AH42" s="284">
        <v>43098</v>
      </c>
      <c r="AI42" s="284"/>
      <c r="AJ42" s="334"/>
      <c r="AK42" s="342"/>
      <c r="AL42" s="342"/>
      <c r="AM42" s="284" t="s">
        <v>4750</v>
      </c>
      <c r="AN42" s="284" t="s">
        <v>4747</v>
      </c>
      <c r="AO42" s="343">
        <v>9.0939999999999994</v>
      </c>
      <c r="AP42" s="343">
        <v>9.1239999999999988</v>
      </c>
      <c r="AQ42" s="343"/>
      <c r="AR42" s="343">
        <v>9.1300000000000008</v>
      </c>
      <c r="BK42" s="331" t="s">
        <v>3514</v>
      </c>
      <c r="BL42" s="331" t="s">
        <v>3572</v>
      </c>
    </row>
    <row r="43" spans="1:64" s="331" customFormat="1" ht="18" hidden="1" customHeight="1" x14ac:dyDescent="0.35">
      <c r="A43" s="334"/>
      <c r="B43" s="335"/>
      <c r="C43" s="334"/>
      <c r="D43" s="294"/>
      <c r="E43" s="294" t="s">
        <v>4677</v>
      </c>
      <c r="F43" s="294" t="s">
        <v>4747</v>
      </c>
      <c r="G43" s="294" t="s">
        <v>4751</v>
      </c>
      <c r="H43" s="294">
        <v>304</v>
      </c>
      <c r="I43" s="337" t="s">
        <v>116</v>
      </c>
      <c r="J43" s="149">
        <v>0.5</v>
      </c>
      <c r="K43" s="149">
        <v>0.5</v>
      </c>
      <c r="L43" s="149"/>
      <c r="M43" s="149"/>
      <c r="N43" s="335">
        <v>730</v>
      </c>
      <c r="O43" s="296">
        <v>0.13600000000000001</v>
      </c>
      <c r="P43" s="345"/>
      <c r="Q43" s="299">
        <v>64</v>
      </c>
      <c r="R43" s="366"/>
      <c r="S43" s="339"/>
      <c r="T43" s="299"/>
      <c r="U43" s="282" t="s">
        <v>3497</v>
      </c>
      <c r="V43" s="282"/>
      <c r="W43" s="282"/>
      <c r="X43" s="340"/>
      <c r="Y43" s="340"/>
      <c r="Z43" s="340"/>
      <c r="AA43" s="340"/>
      <c r="AB43" s="340"/>
      <c r="AC43" s="341"/>
      <c r="AD43" s="342" t="s">
        <v>139</v>
      </c>
      <c r="AE43" s="342" t="s">
        <v>4719</v>
      </c>
      <c r="AF43" s="284" t="s">
        <v>4749</v>
      </c>
      <c r="AG43" s="284">
        <v>43067</v>
      </c>
      <c r="AH43" s="284">
        <v>43098</v>
      </c>
      <c r="AI43" s="284"/>
      <c r="AJ43" s="334"/>
      <c r="AK43" s="342"/>
      <c r="AL43" s="342"/>
      <c r="AM43" s="284" t="s">
        <v>4750</v>
      </c>
      <c r="AN43" s="284" t="s">
        <v>4747</v>
      </c>
      <c r="AO43" s="343">
        <v>9.0939999999999994</v>
      </c>
      <c r="AP43" s="343">
        <v>9.1239999999999988</v>
      </c>
      <c r="AQ43" s="343"/>
      <c r="AR43" s="343">
        <v>9.1300000000000008</v>
      </c>
      <c r="BK43" s="331" t="s">
        <v>3514</v>
      </c>
      <c r="BL43" s="331" t="s">
        <v>3572</v>
      </c>
    </row>
    <row r="44" spans="1:64" s="331" customFormat="1" ht="18" hidden="1" customHeight="1" x14ac:dyDescent="0.35">
      <c r="A44" s="334"/>
      <c r="B44" s="335"/>
      <c r="C44" s="334"/>
      <c r="D44" s="294"/>
      <c r="E44" s="294" t="s">
        <v>4677</v>
      </c>
      <c r="F44" s="294" t="s">
        <v>4752</v>
      </c>
      <c r="G44" s="294" t="s">
        <v>4753</v>
      </c>
      <c r="H44" s="294" t="s">
        <v>29</v>
      </c>
      <c r="I44" s="337" t="s">
        <v>116</v>
      </c>
      <c r="J44" s="149">
        <v>0.5</v>
      </c>
      <c r="K44" s="149">
        <v>0.5</v>
      </c>
      <c r="L44" s="149"/>
      <c r="M44" s="149"/>
      <c r="N44" s="335">
        <v>730</v>
      </c>
      <c r="O44" s="296">
        <v>0.14000000000000001</v>
      </c>
      <c r="P44" s="345"/>
      <c r="Q44" s="433"/>
      <c r="R44" s="366"/>
      <c r="S44" s="339"/>
      <c r="T44" s="299"/>
      <c r="U44" s="282" t="s">
        <v>3497</v>
      </c>
      <c r="V44" s="282" t="s">
        <v>4685</v>
      </c>
      <c r="W44" s="282"/>
      <c r="X44" s="340"/>
      <c r="Y44" s="340"/>
      <c r="Z44" s="340"/>
      <c r="AA44" s="340"/>
      <c r="AB44" s="340"/>
      <c r="AC44" s="341"/>
      <c r="AD44" s="342" t="s">
        <v>65</v>
      </c>
      <c r="AE44" s="342" t="s">
        <v>4719</v>
      </c>
      <c r="AF44" s="284" t="s">
        <v>4720</v>
      </c>
      <c r="AG44" s="284">
        <v>42796</v>
      </c>
      <c r="AH44" s="284">
        <v>42839</v>
      </c>
      <c r="AI44" s="284"/>
      <c r="AJ44" s="334"/>
      <c r="AK44" s="342"/>
      <c r="AL44" s="342"/>
      <c r="AM44" s="284"/>
      <c r="AN44" s="284" t="s">
        <v>4754</v>
      </c>
      <c r="AO44" s="343">
        <v>11.613</v>
      </c>
      <c r="AP44" s="343"/>
      <c r="AQ44" s="343"/>
      <c r="AR44" s="343">
        <v>11.662000000000001</v>
      </c>
      <c r="BK44" s="331" t="s">
        <v>3514</v>
      </c>
      <c r="BL44" s="331" t="s">
        <v>3572</v>
      </c>
    </row>
    <row r="45" spans="1:64" s="331" customFormat="1" ht="18" hidden="1" customHeight="1" x14ac:dyDescent="0.35">
      <c r="A45" s="334"/>
      <c r="B45" s="335"/>
      <c r="C45" s="334"/>
      <c r="D45" s="294"/>
      <c r="E45" s="294" t="s">
        <v>4677</v>
      </c>
      <c r="F45" s="294" t="s">
        <v>4755</v>
      </c>
      <c r="G45" s="294" t="s">
        <v>4756</v>
      </c>
      <c r="H45" s="294">
        <v>304</v>
      </c>
      <c r="I45" s="337" t="s">
        <v>116</v>
      </c>
      <c r="J45" s="149">
        <v>0.5</v>
      </c>
      <c r="K45" s="149">
        <v>0.5</v>
      </c>
      <c r="L45" s="149"/>
      <c r="M45" s="149"/>
      <c r="N45" s="335">
        <v>730</v>
      </c>
      <c r="O45" s="296">
        <v>0.17799999999999999</v>
      </c>
      <c r="P45" s="345"/>
      <c r="Q45" s="433"/>
      <c r="R45" s="366"/>
      <c r="S45" s="339"/>
      <c r="T45" s="299"/>
      <c r="U45" s="282" t="s">
        <v>3497</v>
      </c>
      <c r="V45" s="282"/>
      <c r="W45" s="282"/>
      <c r="X45" s="340"/>
      <c r="Y45" s="340"/>
      <c r="Z45" s="340"/>
      <c r="AA45" s="340"/>
      <c r="AB45" s="340"/>
      <c r="AC45" s="341"/>
      <c r="AD45" s="342" t="s">
        <v>139</v>
      </c>
      <c r="AE45" s="342" t="s">
        <v>4757</v>
      </c>
      <c r="AF45" s="284" t="s">
        <v>4758</v>
      </c>
      <c r="AG45" s="284">
        <v>43146</v>
      </c>
      <c r="AH45" s="284">
        <v>43166</v>
      </c>
      <c r="AI45" s="284"/>
      <c r="AJ45" s="334"/>
      <c r="AK45" s="342"/>
      <c r="AL45" s="342"/>
      <c r="AM45" s="284"/>
      <c r="AN45" s="284" t="s">
        <v>4755</v>
      </c>
      <c r="AO45" s="343">
        <v>9.18</v>
      </c>
      <c r="AP45" s="343">
        <v>9.2099999999999991</v>
      </c>
      <c r="AQ45" s="343">
        <v>9.2099999999999991</v>
      </c>
      <c r="AR45" s="343">
        <v>9.2149999999999999</v>
      </c>
      <c r="BK45" s="331" t="s">
        <v>3514</v>
      </c>
      <c r="BL45" s="331" t="s">
        <v>3515</v>
      </c>
    </row>
    <row r="46" spans="1:64" s="331" customFormat="1" ht="18" hidden="1" customHeight="1" x14ac:dyDescent="0.35">
      <c r="A46" s="334"/>
      <c r="B46" s="335"/>
      <c r="C46" s="282"/>
      <c r="D46" s="294" t="s">
        <v>4759</v>
      </c>
      <c r="E46" s="294" t="s">
        <v>4677</v>
      </c>
      <c r="F46" s="294" t="s">
        <v>4760</v>
      </c>
      <c r="G46" s="294" t="s">
        <v>4761</v>
      </c>
      <c r="H46" s="294">
        <v>201</v>
      </c>
      <c r="I46" s="337" t="s">
        <v>116</v>
      </c>
      <c r="J46" s="149">
        <v>1</v>
      </c>
      <c r="K46" s="149">
        <v>1</v>
      </c>
      <c r="L46" s="149"/>
      <c r="M46" s="149"/>
      <c r="N46" s="299">
        <v>29</v>
      </c>
      <c r="O46" s="296">
        <v>0.214</v>
      </c>
      <c r="P46" s="345"/>
      <c r="Q46" s="138">
        <v>29</v>
      </c>
      <c r="R46" s="366"/>
      <c r="S46" s="339"/>
      <c r="T46" s="299"/>
      <c r="U46" s="282" t="s">
        <v>3497</v>
      </c>
      <c r="V46" s="282"/>
      <c r="W46" s="282"/>
      <c r="X46" s="340"/>
      <c r="Y46" s="340"/>
      <c r="Z46" s="340"/>
      <c r="AA46" s="340"/>
      <c r="AB46" s="340"/>
      <c r="AC46" s="341"/>
      <c r="AD46" s="342" t="s">
        <v>139</v>
      </c>
      <c r="AE46" s="342" t="s">
        <v>141</v>
      </c>
      <c r="AF46" s="284" t="s">
        <v>4762</v>
      </c>
      <c r="AG46" s="284">
        <v>42520</v>
      </c>
      <c r="AH46" s="284">
        <v>42529</v>
      </c>
      <c r="AI46" s="284"/>
      <c r="AJ46" s="334"/>
      <c r="AK46" s="342"/>
      <c r="AL46" s="342"/>
      <c r="AM46" s="284" t="s">
        <v>4763</v>
      </c>
      <c r="AN46" s="284" t="s">
        <v>4764</v>
      </c>
      <c r="AO46" s="343">
        <v>6.69</v>
      </c>
      <c r="AP46" s="343"/>
      <c r="AQ46" s="343"/>
      <c r="AR46" s="343"/>
      <c r="BK46" s="331" t="s">
        <v>3514</v>
      </c>
    </row>
    <row r="47" spans="1:64" s="331" customFormat="1" ht="18" hidden="1" customHeight="1" x14ac:dyDescent="0.35">
      <c r="A47" s="334"/>
      <c r="B47" s="335"/>
      <c r="C47" s="282"/>
      <c r="D47" s="294" t="s">
        <v>4765</v>
      </c>
      <c r="E47" s="294" t="s">
        <v>4677</v>
      </c>
      <c r="F47" s="294" t="s">
        <v>4766</v>
      </c>
      <c r="G47" s="294" t="s">
        <v>4767</v>
      </c>
      <c r="H47" s="294" t="s">
        <v>27</v>
      </c>
      <c r="I47" s="337" t="s">
        <v>116</v>
      </c>
      <c r="J47" s="149">
        <v>0.5</v>
      </c>
      <c r="K47" s="149">
        <v>0.5</v>
      </c>
      <c r="L47" s="149"/>
      <c r="M47" s="149"/>
      <c r="N47" s="299">
        <v>119.3</v>
      </c>
      <c r="O47" s="296">
        <v>0.39300000000000002</v>
      </c>
      <c r="P47" s="345"/>
      <c r="Q47" s="138">
        <v>119.3</v>
      </c>
      <c r="R47" s="366"/>
      <c r="S47" s="339"/>
      <c r="T47" s="299"/>
      <c r="U47" s="282" t="s">
        <v>3497</v>
      </c>
      <c r="V47" s="282" t="s">
        <v>4768</v>
      </c>
      <c r="W47" s="282"/>
      <c r="X47" s="340"/>
      <c r="Y47" s="340"/>
      <c r="Z47" s="340"/>
      <c r="AA47" s="340"/>
      <c r="AB47" s="340"/>
      <c r="AC47" s="341"/>
      <c r="AD47" s="342" t="s">
        <v>65</v>
      </c>
      <c r="AE47" s="342" t="s">
        <v>141</v>
      </c>
      <c r="AF47" s="284" t="s">
        <v>4769</v>
      </c>
      <c r="AG47" s="284">
        <v>42587</v>
      </c>
      <c r="AH47" s="284">
        <v>42622</v>
      </c>
      <c r="AI47" s="284"/>
      <c r="AJ47" s="334"/>
      <c r="AK47" s="342"/>
      <c r="AL47" s="342"/>
      <c r="AM47" s="284" t="s">
        <v>4770</v>
      </c>
      <c r="AN47" s="284" t="s">
        <v>4771</v>
      </c>
      <c r="AO47" s="343">
        <v>9.8889999999999993</v>
      </c>
      <c r="AP47" s="343"/>
      <c r="AQ47" s="343"/>
      <c r="AR47" s="343"/>
      <c r="BK47" s="331" t="s">
        <v>3514</v>
      </c>
    </row>
    <row r="48" spans="1:64" s="331" customFormat="1" ht="18" hidden="1" customHeight="1" x14ac:dyDescent="0.35">
      <c r="A48" s="334"/>
      <c r="B48" s="335"/>
      <c r="C48" s="282"/>
      <c r="D48" s="294" t="s">
        <v>4772</v>
      </c>
      <c r="E48" s="294" t="s">
        <v>4677</v>
      </c>
      <c r="F48" s="294" t="s">
        <v>4760</v>
      </c>
      <c r="G48" s="294" t="s">
        <v>4773</v>
      </c>
      <c r="H48" s="294">
        <v>201</v>
      </c>
      <c r="I48" s="337" t="s">
        <v>116</v>
      </c>
      <c r="J48" s="149">
        <v>1</v>
      </c>
      <c r="K48" s="149">
        <v>1</v>
      </c>
      <c r="L48" s="149"/>
      <c r="M48" s="149"/>
      <c r="N48" s="299">
        <v>76.599999999999994</v>
      </c>
      <c r="O48" s="296">
        <v>6.2E-2</v>
      </c>
      <c r="P48" s="345"/>
      <c r="Q48" s="138">
        <v>76.599999999999994</v>
      </c>
      <c r="R48" s="366"/>
      <c r="S48" s="339"/>
      <c r="T48" s="299"/>
      <c r="U48" s="282" t="s">
        <v>3497</v>
      </c>
      <c r="V48" s="282" t="s">
        <v>4774</v>
      </c>
      <c r="W48" s="282"/>
      <c r="X48" s="340"/>
      <c r="Y48" s="340"/>
      <c r="Z48" s="340"/>
      <c r="AA48" s="340"/>
      <c r="AB48" s="340"/>
      <c r="AC48" s="341"/>
      <c r="AD48" s="342" t="s">
        <v>139</v>
      </c>
      <c r="AE48" s="342" t="s">
        <v>141</v>
      </c>
      <c r="AF48" s="284" t="s">
        <v>4762</v>
      </c>
      <c r="AG48" s="284">
        <v>42520</v>
      </c>
      <c r="AH48" s="284">
        <v>42529</v>
      </c>
      <c r="AI48" s="284"/>
      <c r="AJ48" s="334"/>
      <c r="AK48" s="342"/>
      <c r="AL48" s="342"/>
      <c r="AM48" s="284" t="s">
        <v>4763</v>
      </c>
      <c r="AN48" s="284" t="s">
        <v>4764</v>
      </c>
      <c r="AO48" s="343">
        <v>6.69</v>
      </c>
      <c r="AP48" s="343"/>
      <c r="AQ48" s="343"/>
      <c r="AR48" s="343"/>
      <c r="BK48" s="331" t="s">
        <v>3514</v>
      </c>
      <c r="BL48" s="331" t="s">
        <v>3515</v>
      </c>
    </row>
    <row r="49" spans="1:64" s="331" customFormat="1" ht="18" hidden="1" customHeight="1" x14ac:dyDescent="0.35">
      <c r="A49" s="334"/>
      <c r="B49" s="335"/>
      <c r="C49" s="282"/>
      <c r="D49" s="294" t="s">
        <v>4775</v>
      </c>
      <c r="E49" s="294" t="s">
        <v>4677</v>
      </c>
      <c r="F49" s="294" t="s">
        <v>4645</v>
      </c>
      <c r="G49" s="294" t="s">
        <v>4776</v>
      </c>
      <c r="H49" s="294">
        <v>304</v>
      </c>
      <c r="I49" s="337" t="s">
        <v>116</v>
      </c>
      <c r="J49" s="149">
        <v>1</v>
      </c>
      <c r="K49" s="149">
        <v>1</v>
      </c>
      <c r="L49" s="149"/>
      <c r="M49" s="149"/>
      <c r="N49" s="299">
        <v>99.1</v>
      </c>
      <c r="O49" s="296">
        <v>5.5E-2</v>
      </c>
      <c r="P49" s="345"/>
      <c r="Q49" s="138">
        <v>99.1</v>
      </c>
      <c r="R49" s="366"/>
      <c r="S49" s="339"/>
      <c r="T49" s="299"/>
      <c r="U49" s="282" t="s">
        <v>3497</v>
      </c>
      <c r="V49" s="282"/>
      <c r="W49" s="282"/>
      <c r="X49" s="340"/>
      <c r="Y49" s="340"/>
      <c r="Z49" s="340"/>
      <c r="AA49" s="340"/>
      <c r="AB49" s="340"/>
      <c r="AC49" s="341"/>
      <c r="AD49" s="342" t="s">
        <v>139</v>
      </c>
      <c r="AE49" s="342" t="s">
        <v>122</v>
      </c>
      <c r="AF49" s="284" t="s">
        <v>123</v>
      </c>
      <c r="AG49" s="284">
        <v>43187</v>
      </c>
      <c r="AH49" s="284">
        <v>43220</v>
      </c>
      <c r="AI49" s="284"/>
      <c r="AJ49" s="334"/>
      <c r="AK49" s="342"/>
      <c r="AL49" s="342"/>
      <c r="AM49" s="284"/>
      <c r="AN49" s="284" t="s">
        <v>4645</v>
      </c>
      <c r="AO49" s="343">
        <v>8.99</v>
      </c>
      <c r="AP49" s="343">
        <v>9.0050000000000008</v>
      </c>
      <c r="AQ49" s="343">
        <v>9.01</v>
      </c>
      <c r="AR49" s="343">
        <v>9.0150000000000006</v>
      </c>
      <c r="BK49" s="331" t="s">
        <v>3514</v>
      </c>
      <c r="BL49" s="331" t="s">
        <v>3572</v>
      </c>
    </row>
    <row r="50" spans="1:64" s="331" customFormat="1" ht="18" hidden="1" customHeight="1" x14ac:dyDescent="0.35">
      <c r="A50" s="334"/>
      <c r="B50" s="335"/>
      <c r="C50" s="282"/>
      <c r="D50" s="294" t="s">
        <v>4777</v>
      </c>
      <c r="E50" s="294" t="s">
        <v>4677</v>
      </c>
      <c r="F50" s="294" t="s">
        <v>4778</v>
      </c>
      <c r="G50" s="294" t="s">
        <v>4779</v>
      </c>
      <c r="H50" s="294">
        <v>304</v>
      </c>
      <c r="I50" s="337" t="s">
        <v>116</v>
      </c>
      <c r="J50" s="149">
        <v>1.6</v>
      </c>
      <c r="K50" s="149">
        <v>1.6</v>
      </c>
      <c r="L50" s="149"/>
      <c r="M50" s="149"/>
      <c r="N50" s="299">
        <v>76</v>
      </c>
      <c r="O50" s="432"/>
      <c r="P50" s="345"/>
      <c r="Q50" s="138">
        <v>76</v>
      </c>
      <c r="R50" s="366"/>
      <c r="S50" s="339"/>
      <c r="T50" s="299"/>
      <c r="U50" s="282" t="s">
        <v>3497</v>
      </c>
      <c r="V50" s="282"/>
      <c r="W50" s="282"/>
      <c r="X50" s="340"/>
      <c r="Y50" s="340"/>
      <c r="Z50" s="340"/>
      <c r="AA50" s="340"/>
      <c r="AB50" s="340"/>
      <c r="AC50" s="341"/>
      <c r="AD50" s="342" t="s">
        <v>139</v>
      </c>
      <c r="AE50" s="342" t="s">
        <v>132</v>
      </c>
      <c r="AF50" s="284" t="s">
        <v>4780</v>
      </c>
      <c r="AG50" s="284">
        <v>43300</v>
      </c>
      <c r="AH50" s="284">
        <v>43321</v>
      </c>
      <c r="AI50" s="284"/>
      <c r="AJ50" s="334"/>
      <c r="AK50" s="342"/>
      <c r="AL50" s="342"/>
      <c r="AM50" s="284" t="s">
        <v>4781</v>
      </c>
      <c r="AN50" s="284" t="s">
        <v>4778</v>
      </c>
      <c r="AO50" s="343">
        <v>8.9559999999999995</v>
      </c>
      <c r="AP50" s="343">
        <v>8.9710000000000001</v>
      </c>
      <c r="AQ50" s="343">
        <v>8.9849999999999994</v>
      </c>
      <c r="AR50" s="343">
        <v>8.99</v>
      </c>
      <c r="BK50" s="331" t="s">
        <v>3514</v>
      </c>
      <c r="BL50" s="331" t="s">
        <v>3515</v>
      </c>
    </row>
    <row r="51" spans="1:64" s="331" customFormat="1" ht="18" hidden="1" customHeight="1" x14ac:dyDescent="0.35">
      <c r="A51" s="334"/>
      <c r="B51" s="335"/>
      <c r="C51" s="282"/>
      <c r="D51" s="294" t="s">
        <v>4782</v>
      </c>
      <c r="E51" s="294" t="s">
        <v>4677</v>
      </c>
      <c r="F51" s="294" t="s">
        <v>4783</v>
      </c>
      <c r="G51" s="294" t="s">
        <v>4784</v>
      </c>
      <c r="H51" s="294">
        <v>304</v>
      </c>
      <c r="I51" s="337" t="s">
        <v>116</v>
      </c>
      <c r="J51" s="149">
        <v>2.15</v>
      </c>
      <c r="K51" s="149">
        <v>2.15</v>
      </c>
      <c r="L51" s="149"/>
      <c r="M51" s="149"/>
      <c r="N51" s="299">
        <v>74</v>
      </c>
      <c r="O51" s="432"/>
      <c r="P51" s="345"/>
      <c r="Q51" s="138">
        <v>74</v>
      </c>
      <c r="R51" s="366"/>
      <c r="S51" s="339"/>
      <c r="T51" s="299"/>
      <c r="U51" s="282" t="s">
        <v>3497</v>
      </c>
      <c r="V51" s="282"/>
      <c r="W51" s="282"/>
      <c r="X51" s="340"/>
      <c r="Y51" s="340"/>
      <c r="Z51" s="340"/>
      <c r="AA51" s="340"/>
      <c r="AB51" s="340"/>
      <c r="AC51" s="341"/>
      <c r="AD51" s="342" t="s">
        <v>139</v>
      </c>
      <c r="AE51" s="342" t="s">
        <v>182</v>
      </c>
      <c r="AF51" s="284" t="s">
        <v>4785</v>
      </c>
      <c r="AG51" s="284">
        <v>42751</v>
      </c>
      <c r="AH51" s="284">
        <v>42800</v>
      </c>
      <c r="AI51" s="284"/>
      <c r="AJ51" s="334"/>
      <c r="AK51" s="342"/>
      <c r="AL51" s="342"/>
      <c r="AM51" s="284" t="s">
        <v>4786</v>
      </c>
      <c r="AN51" s="284" t="s">
        <v>4787</v>
      </c>
      <c r="AO51" s="343">
        <v>10.664999999999999</v>
      </c>
      <c r="AP51" s="343">
        <v>10.747</v>
      </c>
      <c r="AQ51" s="343"/>
      <c r="AR51" s="343"/>
      <c r="BK51" s="331" t="s">
        <v>3514</v>
      </c>
      <c r="BL51" s="331" t="s">
        <v>3515</v>
      </c>
    </row>
    <row r="52" spans="1:64" s="331" customFormat="1" ht="18" hidden="1" customHeight="1" x14ac:dyDescent="0.35">
      <c r="A52" s="334"/>
      <c r="B52" s="335"/>
      <c r="C52" s="282"/>
      <c r="D52" s="294" t="s">
        <v>4788</v>
      </c>
      <c r="E52" s="294" t="s">
        <v>4677</v>
      </c>
      <c r="F52" s="294" t="s">
        <v>4789</v>
      </c>
      <c r="G52" s="294" t="s">
        <v>4790</v>
      </c>
      <c r="H52" s="294">
        <v>304</v>
      </c>
      <c r="I52" s="337" t="s">
        <v>116</v>
      </c>
      <c r="J52" s="149">
        <v>1.2</v>
      </c>
      <c r="K52" s="149">
        <v>1.2</v>
      </c>
      <c r="L52" s="149"/>
      <c r="M52" s="149"/>
      <c r="N52" s="299">
        <v>770</v>
      </c>
      <c r="O52" s="296">
        <v>0.58499999999999996</v>
      </c>
      <c r="P52" s="345"/>
      <c r="Q52" s="138">
        <v>770</v>
      </c>
      <c r="R52" s="366"/>
      <c r="S52" s="339"/>
      <c r="T52" s="299"/>
      <c r="U52" s="282" t="s">
        <v>3497</v>
      </c>
      <c r="V52" s="282"/>
      <c r="W52" s="282"/>
      <c r="X52" s="340"/>
      <c r="Y52" s="340"/>
      <c r="Z52" s="340"/>
      <c r="AA52" s="340"/>
      <c r="AB52" s="340"/>
      <c r="AC52" s="341"/>
      <c r="AD52" s="342" t="s">
        <v>139</v>
      </c>
      <c r="AE52" s="342" t="s">
        <v>203</v>
      </c>
      <c r="AF52" s="284" t="s">
        <v>3512</v>
      </c>
      <c r="AG52" s="284"/>
      <c r="AH52" s="284">
        <v>44062</v>
      </c>
      <c r="AI52" s="284"/>
      <c r="AJ52" s="334"/>
      <c r="AK52" s="342"/>
      <c r="AL52" s="342"/>
      <c r="AM52" s="284"/>
      <c r="AN52" s="284" t="s">
        <v>4791</v>
      </c>
      <c r="AO52" s="343">
        <v>10.535</v>
      </c>
      <c r="AP52" s="343">
        <v>10.545</v>
      </c>
      <c r="AQ52" s="343">
        <v>10.569999999999999</v>
      </c>
      <c r="AR52" s="343">
        <v>10.574999999999999</v>
      </c>
      <c r="BK52" s="331" t="s">
        <v>3514</v>
      </c>
    </row>
    <row r="53" spans="1:64" s="331" customFormat="1" ht="18" hidden="1" customHeight="1" x14ac:dyDescent="0.35">
      <c r="A53" s="334"/>
      <c r="B53" s="335"/>
      <c r="C53" s="282"/>
      <c r="D53" s="294" t="s">
        <v>4792</v>
      </c>
      <c r="E53" s="294" t="s">
        <v>4677</v>
      </c>
      <c r="F53" s="294" t="s">
        <v>4793</v>
      </c>
      <c r="G53" s="294" t="s">
        <v>4794</v>
      </c>
      <c r="H53" s="294" t="s">
        <v>29</v>
      </c>
      <c r="I53" s="337" t="s">
        <v>116</v>
      </c>
      <c r="J53" s="149">
        <v>0.55000000000000004</v>
      </c>
      <c r="K53" s="149">
        <v>0.55000000000000004</v>
      </c>
      <c r="L53" s="149"/>
      <c r="M53" s="149"/>
      <c r="N53" s="299">
        <v>50</v>
      </c>
      <c r="O53" s="296">
        <v>9.9000000000000005E-2</v>
      </c>
      <c r="P53" s="345"/>
      <c r="Q53" s="138">
        <v>50</v>
      </c>
      <c r="R53" s="366"/>
      <c r="S53" s="339"/>
      <c r="T53" s="299"/>
      <c r="U53" s="282" t="s">
        <v>3497</v>
      </c>
      <c r="V53" s="282"/>
      <c r="W53" s="282"/>
      <c r="X53" s="340"/>
      <c r="Y53" s="340"/>
      <c r="Z53" s="340"/>
      <c r="AA53" s="340"/>
      <c r="AB53" s="340"/>
      <c r="AC53" s="341"/>
      <c r="AD53" s="342" t="s">
        <v>65</v>
      </c>
      <c r="AE53" s="342" t="s">
        <v>4719</v>
      </c>
      <c r="AF53" s="284" t="s">
        <v>4720</v>
      </c>
      <c r="AG53" s="284">
        <v>42796</v>
      </c>
      <c r="AH53" s="284">
        <v>42839</v>
      </c>
      <c r="AI53" s="284"/>
      <c r="AJ53" s="334"/>
      <c r="AK53" s="342"/>
      <c r="AL53" s="342"/>
      <c r="AM53" s="284" t="s">
        <v>4795</v>
      </c>
      <c r="AN53" s="284" t="s">
        <v>4796</v>
      </c>
      <c r="AO53" s="343">
        <v>11.555</v>
      </c>
      <c r="AP53" s="343"/>
      <c r="AQ53" s="343"/>
      <c r="AR53" s="343">
        <v>11.584</v>
      </c>
      <c r="BK53" s="331" t="s">
        <v>3514</v>
      </c>
    </row>
    <row r="54" spans="1:64" s="331" customFormat="1" ht="18" hidden="1" customHeight="1" x14ac:dyDescent="0.35">
      <c r="A54" s="334"/>
      <c r="B54" s="335"/>
      <c r="C54" s="282"/>
      <c r="D54" s="294" t="s">
        <v>4797</v>
      </c>
      <c r="E54" s="294" t="s">
        <v>4677</v>
      </c>
      <c r="F54" s="294" t="s">
        <v>4760</v>
      </c>
      <c r="G54" s="294" t="s">
        <v>4798</v>
      </c>
      <c r="H54" s="294">
        <v>201</v>
      </c>
      <c r="I54" s="337" t="s">
        <v>116</v>
      </c>
      <c r="J54" s="149">
        <v>1</v>
      </c>
      <c r="K54" s="149">
        <v>1</v>
      </c>
      <c r="L54" s="149"/>
      <c r="M54" s="149"/>
      <c r="N54" s="299">
        <v>78</v>
      </c>
      <c r="O54" s="296">
        <v>0.151</v>
      </c>
      <c r="P54" s="345"/>
      <c r="Q54" s="138">
        <v>78</v>
      </c>
      <c r="R54" s="366"/>
      <c r="S54" s="339"/>
      <c r="T54" s="299"/>
      <c r="U54" s="282" t="s">
        <v>3497</v>
      </c>
      <c r="V54" s="282" t="s">
        <v>4774</v>
      </c>
      <c r="W54" s="282"/>
      <c r="X54" s="340"/>
      <c r="Y54" s="340"/>
      <c r="Z54" s="340"/>
      <c r="AA54" s="340"/>
      <c r="AB54" s="340"/>
      <c r="AC54" s="341"/>
      <c r="AD54" s="342" t="s">
        <v>139</v>
      </c>
      <c r="AE54" s="342" t="s">
        <v>141</v>
      </c>
      <c r="AF54" s="284" t="s">
        <v>4762</v>
      </c>
      <c r="AG54" s="284">
        <v>42520</v>
      </c>
      <c r="AH54" s="284">
        <v>42529</v>
      </c>
      <c r="AI54" s="284"/>
      <c r="AJ54" s="334"/>
      <c r="AK54" s="342"/>
      <c r="AL54" s="342"/>
      <c r="AM54" s="284" t="s">
        <v>4763</v>
      </c>
      <c r="AN54" s="284" t="s">
        <v>4764</v>
      </c>
      <c r="AO54" s="343">
        <v>6.69</v>
      </c>
      <c r="AP54" s="343"/>
      <c r="AQ54" s="343"/>
      <c r="AR54" s="343"/>
      <c r="BK54" s="331" t="s">
        <v>3514</v>
      </c>
      <c r="BL54" s="331" t="s">
        <v>3515</v>
      </c>
    </row>
    <row r="55" spans="1:64" s="331" customFormat="1" ht="18" hidden="1" customHeight="1" x14ac:dyDescent="0.35">
      <c r="A55" s="334"/>
      <c r="B55" s="335"/>
      <c r="C55" s="282"/>
      <c r="D55" s="294" t="s">
        <v>4799</v>
      </c>
      <c r="E55" s="294" t="s">
        <v>4677</v>
      </c>
      <c r="F55" s="294" t="s">
        <v>4800</v>
      </c>
      <c r="G55" s="294" t="s">
        <v>4801</v>
      </c>
      <c r="H55" s="294">
        <v>201</v>
      </c>
      <c r="I55" s="337" t="s">
        <v>116</v>
      </c>
      <c r="J55" s="149">
        <v>0.9</v>
      </c>
      <c r="K55" s="149">
        <v>0.9</v>
      </c>
      <c r="L55" s="149"/>
      <c r="M55" s="149"/>
      <c r="N55" s="299">
        <v>28</v>
      </c>
      <c r="O55" s="296">
        <v>8.5000000000000006E-2</v>
      </c>
      <c r="P55" s="345"/>
      <c r="Q55" s="138">
        <v>28</v>
      </c>
      <c r="R55" s="366"/>
      <c r="S55" s="339"/>
      <c r="T55" s="299"/>
      <c r="U55" s="282" t="s">
        <v>3497</v>
      </c>
      <c r="V55" s="282" t="s">
        <v>4768</v>
      </c>
      <c r="W55" s="282"/>
      <c r="X55" s="340"/>
      <c r="Y55" s="340"/>
      <c r="Z55" s="340"/>
      <c r="AA55" s="340"/>
      <c r="AB55" s="340"/>
      <c r="AC55" s="341"/>
      <c r="AD55" s="342" t="s">
        <v>139</v>
      </c>
      <c r="AE55" s="342" t="s">
        <v>141</v>
      </c>
      <c r="AF55" s="284" t="s">
        <v>4802</v>
      </c>
      <c r="AG55" s="284">
        <v>42525</v>
      </c>
      <c r="AH55" s="284">
        <v>42536</v>
      </c>
      <c r="AI55" s="284"/>
      <c r="AJ55" s="334"/>
      <c r="AK55" s="342"/>
      <c r="AL55" s="342"/>
      <c r="AM55" s="284" t="s">
        <v>4803</v>
      </c>
      <c r="AN55" s="284" t="s">
        <v>4804</v>
      </c>
      <c r="AO55" s="343">
        <v>6.75</v>
      </c>
      <c r="AP55" s="343"/>
      <c r="AQ55" s="343"/>
      <c r="AR55" s="343"/>
      <c r="BK55" s="331" t="s">
        <v>3514</v>
      </c>
      <c r="BL55" s="331" t="s">
        <v>3572</v>
      </c>
    </row>
    <row r="56" spans="1:64" s="331" customFormat="1" ht="18" hidden="1" customHeight="1" x14ac:dyDescent="0.35">
      <c r="A56" s="334"/>
      <c r="B56" s="335"/>
      <c r="C56" s="282"/>
      <c r="D56" s="294" t="s">
        <v>4805</v>
      </c>
      <c r="E56" s="294" t="s">
        <v>4677</v>
      </c>
      <c r="F56" s="294" t="s">
        <v>4806</v>
      </c>
      <c r="G56" s="294" t="s">
        <v>4807</v>
      </c>
      <c r="H56" s="294" t="s">
        <v>27</v>
      </c>
      <c r="I56" s="337" t="s">
        <v>116</v>
      </c>
      <c r="J56" s="149">
        <v>1.2</v>
      </c>
      <c r="K56" s="149">
        <v>1.2</v>
      </c>
      <c r="L56" s="149"/>
      <c r="M56" s="149"/>
      <c r="N56" s="299">
        <v>57.7</v>
      </c>
      <c r="O56" s="296">
        <v>0.15</v>
      </c>
      <c r="P56" s="345"/>
      <c r="Q56" s="138">
        <v>57.7</v>
      </c>
      <c r="R56" s="366"/>
      <c r="S56" s="339"/>
      <c r="T56" s="299"/>
      <c r="U56" s="282" t="s">
        <v>3497</v>
      </c>
      <c r="V56" s="282"/>
      <c r="W56" s="282"/>
      <c r="X56" s="340"/>
      <c r="Y56" s="340"/>
      <c r="Z56" s="340"/>
      <c r="AA56" s="340"/>
      <c r="AB56" s="340"/>
      <c r="AC56" s="341"/>
      <c r="AD56" s="342" t="s">
        <v>65</v>
      </c>
      <c r="AE56" s="342" t="s">
        <v>141</v>
      </c>
      <c r="AF56" s="284" t="s">
        <v>4808</v>
      </c>
      <c r="AG56" s="284">
        <v>42580</v>
      </c>
      <c r="AH56" s="284">
        <v>42608</v>
      </c>
      <c r="AI56" s="284"/>
      <c r="AJ56" s="334"/>
      <c r="AK56" s="342"/>
      <c r="AL56" s="342"/>
      <c r="AM56" s="284" t="s">
        <v>4809</v>
      </c>
      <c r="AN56" s="284" t="s">
        <v>4810</v>
      </c>
      <c r="AO56" s="343">
        <v>11.335000000000001</v>
      </c>
      <c r="AP56" s="343"/>
      <c r="AQ56" s="343"/>
      <c r="AR56" s="343"/>
      <c r="BK56" s="331" t="s">
        <v>3514</v>
      </c>
      <c r="BL56" s="331" t="s">
        <v>3572</v>
      </c>
    </row>
    <row r="57" spans="1:64" s="331" customFormat="1" ht="18" hidden="1" customHeight="1" x14ac:dyDescent="0.35">
      <c r="A57" s="334"/>
      <c r="B57" s="335"/>
      <c r="C57" s="282"/>
      <c r="D57" s="294" t="str">
        <f>IF(LEFT(U57,7)="MAT RET","R"&amp;"-"&amp;H57&amp;"/"&amp;I57&amp;"-"&amp;TEXT(K57,"0.00")&amp;"X"&amp;IF(Q57="",N57,Q57),IF(N57&lt;570,"FGMKW2","FGCKW2")&amp;"-"&amp;H57&amp;"/"&amp;I57&amp;"-"&amp;TEXT(K57,"0.00")&amp;"X"&amp;IF(Q57="",N57,Q57))</f>
        <v>FGCKW2-J4/2B-000X80</v>
      </c>
      <c r="E57" s="294" t="s">
        <v>4811</v>
      </c>
      <c r="F57" s="294" t="s">
        <v>4812</v>
      </c>
      <c r="G57" s="294" t="s">
        <v>4813</v>
      </c>
      <c r="H57" s="294" t="s">
        <v>30</v>
      </c>
      <c r="I57" s="337" t="s">
        <v>116</v>
      </c>
      <c r="J57" s="149">
        <v>0.48</v>
      </c>
      <c r="K57" s="149">
        <v>0.28000000000000003</v>
      </c>
      <c r="L57" s="149">
        <v>0.27</v>
      </c>
      <c r="M57" s="149">
        <v>0.28999999999999998</v>
      </c>
      <c r="N57" s="299">
        <v>710</v>
      </c>
      <c r="O57" s="296">
        <v>0.35</v>
      </c>
      <c r="P57" s="345"/>
      <c r="Q57" s="138">
        <v>80</v>
      </c>
      <c r="R57" s="366"/>
      <c r="S57" s="339"/>
      <c r="T57" s="299"/>
      <c r="U57" s="282" t="s">
        <v>3497</v>
      </c>
      <c r="V57" s="282" t="s">
        <v>3580</v>
      </c>
      <c r="W57" s="282" t="s">
        <v>116</v>
      </c>
      <c r="X57" s="340" t="s">
        <v>4814</v>
      </c>
      <c r="Y57" s="340" t="s">
        <v>4815</v>
      </c>
      <c r="Z57" s="340" t="s">
        <v>4816</v>
      </c>
      <c r="AA57" s="340" t="s">
        <v>4817</v>
      </c>
      <c r="AB57" s="340"/>
      <c r="AC57" s="341" t="s">
        <v>181</v>
      </c>
      <c r="AD57" s="342" t="s">
        <v>65</v>
      </c>
      <c r="AE57" s="342" t="s">
        <v>132</v>
      </c>
      <c r="AF57" s="284" t="s">
        <v>4253</v>
      </c>
      <c r="AG57" s="284">
        <v>43385</v>
      </c>
      <c r="AH57" s="284">
        <v>43410</v>
      </c>
      <c r="AI57" s="284"/>
      <c r="AJ57" s="334">
        <f t="shared" ref="AJ57:AJ99" ca="1" si="5">TODAY()</f>
        <v>44963</v>
      </c>
      <c r="AK57" s="342">
        <f t="shared" ref="AK57:AK120" ca="1" si="6">IF(AH57&lt;&gt;0,AJ57-AH57,0)</f>
        <v>1553</v>
      </c>
      <c r="AL57" s="342" t="e">
        <f t="shared" ref="AL57:AL82" ca="1" si="7">IF(ISNUMBER(Z57)=TRUE,AJ57-Z57,IF(Z57="","",(AJ57)-(MID(RIGHT(Z57,10),4,2)&amp;"/"&amp;LEFT((RIGHT(Z57,10)),2)&amp;"/"&amp;RIGHT(Z57,4))))</f>
        <v>#VALUE!</v>
      </c>
      <c r="AM57" s="284" t="s">
        <v>4818</v>
      </c>
      <c r="AN57" s="284" t="s">
        <v>4819</v>
      </c>
      <c r="AO57" s="343">
        <v>11.541</v>
      </c>
      <c r="AP57" s="343">
        <v>11.556000000000001</v>
      </c>
      <c r="AQ57" s="343">
        <v>11.555</v>
      </c>
      <c r="AR57" s="343">
        <v>11.56</v>
      </c>
      <c r="AS57" s="331" t="e">
        <f t="shared" ref="AS57:AS82" ca="1" si="8">IF(ISNUMBER(Y57)=TRUE,AJ57-Y57,IF(Y57="","",(AJ57)-(MID(RIGHT(Y57,10),4,2)&amp;"/"&amp;LEFT((RIGHT(Y57,10)),2)&amp;"/"&amp;RIGHT(Y57,4))))</f>
        <v>#VALUE!</v>
      </c>
      <c r="AT57" s="331">
        <v>144</v>
      </c>
      <c r="AV57" s="331" t="s">
        <v>136</v>
      </c>
      <c r="BC57" s="331" t="s">
        <v>186</v>
      </c>
      <c r="BL57" s="331" t="s">
        <v>3572</v>
      </c>
    </row>
    <row r="58" spans="1:64" s="331" customFormat="1" ht="18" hidden="1" customHeight="1" x14ac:dyDescent="0.35">
      <c r="A58" s="334"/>
      <c r="B58" s="335"/>
      <c r="C58" s="282"/>
      <c r="D58" s="294" t="str">
        <f>IF(LEFT(U58,7)="MAT RET","R"&amp;"-"&amp;H58&amp;"/"&amp;I58&amp;"-"&amp;TEXT(K58,"0.00")&amp;"X"&amp;IF(Q58="",N58,Q58),IF(N58&lt;570,"FGMKW2","FGCKW2")&amp;"-"&amp;H58&amp;"/"&amp;I58&amp;"-"&amp;TEXT(K58,"0.00")&amp;"X"&amp;IF(Q58="",N58,Q58))</f>
        <v>FGCKW2-J4/2B-000X80</v>
      </c>
      <c r="E58" s="294" t="s">
        <v>4811</v>
      </c>
      <c r="F58" s="294" t="s">
        <v>4812</v>
      </c>
      <c r="G58" s="294" t="s">
        <v>4820</v>
      </c>
      <c r="H58" s="294" t="s">
        <v>30</v>
      </c>
      <c r="I58" s="337" t="s">
        <v>116</v>
      </c>
      <c r="J58" s="149">
        <v>0.48</v>
      </c>
      <c r="K58" s="149">
        <v>0.28000000000000003</v>
      </c>
      <c r="L58" s="149">
        <v>0.27</v>
      </c>
      <c r="M58" s="149">
        <v>0.28999999999999998</v>
      </c>
      <c r="N58" s="299">
        <v>710</v>
      </c>
      <c r="O58" s="296">
        <v>0.35499999999999998</v>
      </c>
      <c r="P58" s="345"/>
      <c r="Q58" s="138">
        <v>80</v>
      </c>
      <c r="R58" s="366"/>
      <c r="S58" s="339"/>
      <c r="T58" s="299"/>
      <c r="U58" s="282" t="s">
        <v>3497</v>
      </c>
      <c r="V58" s="282" t="s">
        <v>3580</v>
      </c>
      <c r="W58" s="282" t="s">
        <v>116</v>
      </c>
      <c r="X58" s="340" t="s">
        <v>4814</v>
      </c>
      <c r="Y58" s="340" t="s">
        <v>4815</v>
      </c>
      <c r="Z58" s="340" t="s">
        <v>4816</v>
      </c>
      <c r="AA58" s="340" t="s">
        <v>4817</v>
      </c>
      <c r="AB58" s="340"/>
      <c r="AC58" s="341" t="s">
        <v>181</v>
      </c>
      <c r="AD58" s="342" t="s">
        <v>65</v>
      </c>
      <c r="AE58" s="342" t="s">
        <v>132</v>
      </c>
      <c r="AF58" s="284" t="s">
        <v>4253</v>
      </c>
      <c r="AG58" s="284">
        <v>43385</v>
      </c>
      <c r="AH58" s="284">
        <v>43410</v>
      </c>
      <c r="AI58" s="284"/>
      <c r="AJ58" s="334">
        <f t="shared" ca="1" si="5"/>
        <v>44963</v>
      </c>
      <c r="AK58" s="342">
        <f t="shared" ca="1" si="6"/>
        <v>1553</v>
      </c>
      <c r="AL58" s="342" t="e">
        <f t="shared" ca="1" si="7"/>
        <v>#VALUE!</v>
      </c>
      <c r="AM58" s="284" t="s">
        <v>4818</v>
      </c>
      <c r="AN58" s="284" t="s">
        <v>4819</v>
      </c>
      <c r="AO58" s="343">
        <v>11.541</v>
      </c>
      <c r="AP58" s="343">
        <v>11.556000000000001</v>
      </c>
      <c r="AQ58" s="343">
        <v>11.555</v>
      </c>
      <c r="AR58" s="343">
        <v>11.56</v>
      </c>
      <c r="AS58" s="331" t="e">
        <f t="shared" ca="1" si="8"/>
        <v>#VALUE!</v>
      </c>
      <c r="AT58" s="331">
        <v>144</v>
      </c>
      <c r="AV58" s="331" t="s">
        <v>136</v>
      </c>
      <c r="BC58" s="331" t="s">
        <v>186</v>
      </c>
      <c r="BL58" s="331" t="s">
        <v>3572</v>
      </c>
    </row>
    <row r="59" spans="1:64" s="331" customFormat="1" ht="18" hidden="1" customHeight="1" x14ac:dyDescent="0.35">
      <c r="A59" s="334"/>
      <c r="B59" s="335"/>
      <c r="C59" s="282"/>
      <c r="D59" s="294" t="str">
        <f>IF(LEFT(U59,7)="MAT RET","R"&amp;"-"&amp;H59&amp;"/"&amp;I59&amp;"-"&amp;TEXT(K59,"0.00")&amp;"X"&amp;IF(Q59="",N59,Q59),IF(N59&lt;570,"FGMKW2","FGCKW2")&amp;"-"&amp;H59&amp;"/"&amp;I59&amp;"-"&amp;TEXT(K59,"0.00")&amp;"X"&amp;IF(Q59="",N59,Q59))</f>
        <v>FGCKW2-J4/2B-000X80</v>
      </c>
      <c r="E59" s="294" t="s">
        <v>4811</v>
      </c>
      <c r="F59" s="294" t="s">
        <v>4812</v>
      </c>
      <c r="G59" s="294" t="s">
        <v>4821</v>
      </c>
      <c r="H59" s="294" t="s">
        <v>30</v>
      </c>
      <c r="I59" s="337" t="s">
        <v>116</v>
      </c>
      <c r="J59" s="149">
        <v>0.48</v>
      </c>
      <c r="K59" s="149">
        <v>0.28000000000000003</v>
      </c>
      <c r="L59" s="149">
        <v>0.27</v>
      </c>
      <c r="M59" s="149">
        <v>0.28999999999999998</v>
      </c>
      <c r="N59" s="299">
        <v>710</v>
      </c>
      <c r="O59" s="296">
        <v>0.28499999999999998</v>
      </c>
      <c r="P59" s="345"/>
      <c r="Q59" s="138">
        <v>80</v>
      </c>
      <c r="R59" s="366"/>
      <c r="S59" s="339"/>
      <c r="T59" s="299"/>
      <c r="U59" s="282" t="s">
        <v>3497</v>
      </c>
      <c r="V59" s="282" t="s">
        <v>3580</v>
      </c>
      <c r="W59" s="282" t="s">
        <v>116</v>
      </c>
      <c r="X59" s="340" t="s">
        <v>4814</v>
      </c>
      <c r="Y59" s="340" t="s">
        <v>4815</v>
      </c>
      <c r="Z59" s="340" t="s">
        <v>4816</v>
      </c>
      <c r="AA59" s="340" t="s">
        <v>4817</v>
      </c>
      <c r="AB59" s="340"/>
      <c r="AC59" s="341" t="s">
        <v>181</v>
      </c>
      <c r="AD59" s="342" t="s">
        <v>65</v>
      </c>
      <c r="AE59" s="342" t="s">
        <v>132</v>
      </c>
      <c r="AF59" s="284" t="s">
        <v>4253</v>
      </c>
      <c r="AG59" s="284">
        <v>43385</v>
      </c>
      <c r="AH59" s="284">
        <v>43410</v>
      </c>
      <c r="AI59" s="284"/>
      <c r="AJ59" s="334">
        <f t="shared" ca="1" si="5"/>
        <v>44963</v>
      </c>
      <c r="AK59" s="342">
        <f t="shared" ca="1" si="6"/>
        <v>1553</v>
      </c>
      <c r="AL59" s="342" t="e">
        <f t="shared" ca="1" si="7"/>
        <v>#VALUE!</v>
      </c>
      <c r="AM59" s="284" t="s">
        <v>4818</v>
      </c>
      <c r="AN59" s="284" t="s">
        <v>4819</v>
      </c>
      <c r="AO59" s="343">
        <v>11.541</v>
      </c>
      <c r="AP59" s="343">
        <v>11.556000000000001</v>
      </c>
      <c r="AQ59" s="343">
        <v>11.555</v>
      </c>
      <c r="AR59" s="343">
        <v>11.56</v>
      </c>
      <c r="AS59" s="331" t="e">
        <f t="shared" ca="1" si="8"/>
        <v>#VALUE!</v>
      </c>
      <c r="AT59" s="331">
        <v>144</v>
      </c>
      <c r="AV59" s="331" t="s">
        <v>136</v>
      </c>
      <c r="BC59" s="331" t="s">
        <v>186</v>
      </c>
      <c r="BL59" s="331" t="s">
        <v>3572</v>
      </c>
    </row>
    <row r="60" spans="1:64" s="331" customFormat="1" ht="18" hidden="1" customHeight="1" x14ac:dyDescent="0.35">
      <c r="A60" s="334"/>
      <c r="B60" s="335" t="e">
        <f ca="1">IF(A60="",(IF(ISNUMBER(SUBSTITUTE(LEFT(RIGHT(E60,LEN(E60)-MIN(SEARCH({1,2,3,4,5,6,7,8,9,0},E60&amp;"1234567890"))+1),10),".","/"))=TRUE,AJ60-(SUBSTITUTE(LEFT(RIGHT(E60,LEN(E60)-MIN(SEARCH({1,2,3,4,5,6,7,8,9,0},E60&amp;"1234567890"))+1),10),".","/")),IF((SUBSTITUTE(LEFT(RIGHT(E60,LEN(E60)-MIN(SEARCH({1,2,3,4,5,6,7,8,9,0},E60&amp;"1234567890"))+1),10),".","/"))="","",(AJ60)-(MID(RIGHT((SUBSTITUTE(LEFT(RIGHT(E60,LEN(E60)-MIN(SEARCH({1,2,3,4,5,6,7,8,9,0},E60&amp;"1234567890"))+1),10),".","/")),10),4,2)&amp;"/"&amp;LEFT((RIGHT((SUBSTITUTE(LEFT(RIGHT(E60,LEN(E60)-MIN(SEARCH({1,2,3,4,5,6,7,8,9,0},E60&amp;"1234567890"))+1),10),".","/")),10)),2)&amp;"/"&amp;RIGHT((SUBSTITUTE(LEFT(RIGHT(E60,LEN(E60)-MIN(SEARCH({1,2,3,4,5,6,7,8,9,0},E60&amp;"1234567890"))+1),10),".","/")),4))))),(AJ60-A60))</f>
        <v>#VALUE!</v>
      </c>
      <c r="C60" s="334"/>
      <c r="D60" s="294" t="str">
        <f>IF(LEFT(U60,7)="MAT RET","R"&amp;"-"&amp;H60&amp;"/"&amp;I60&amp;"-"&amp;TEXT(K60,"0.00")&amp;"X"&amp;IF(Q60="",N60,Q60),IF(N60&lt;570,"FGMKW2","FGCKW2")&amp;"-"&amp;H60&amp;"/"&amp;I60&amp;"-"&amp;TEXT(K60,"0.00")&amp;"X"&amp;IF(Q60="",N60,Q60))</f>
        <v>FGCKW2-304/2B-002X770</v>
      </c>
      <c r="E60" s="294" t="s">
        <v>4822</v>
      </c>
      <c r="F60" s="294" t="s">
        <v>4823</v>
      </c>
      <c r="G60" s="294" t="s">
        <v>4824</v>
      </c>
      <c r="H60" s="294">
        <v>304</v>
      </c>
      <c r="I60" s="337" t="s">
        <v>116</v>
      </c>
      <c r="J60" s="149">
        <v>3.8</v>
      </c>
      <c r="K60" s="149">
        <v>1.5</v>
      </c>
      <c r="L60" s="149">
        <v>1.51</v>
      </c>
      <c r="M60" s="149">
        <v>1.53</v>
      </c>
      <c r="N60" s="335">
        <v>770</v>
      </c>
      <c r="O60" s="296">
        <v>0.4</v>
      </c>
      <c r="P60" s="345"/>
      <c r="Q60" s="138">
        <v>770</v>
      </c>
      <c r="R60" s="366"/>
      <c r="S60" s="339"/>
      <c r="T60" s="299"/>
      <c r="U60" s="282" t="s">
        <v>3497</v>
      </c>
      <c r="V60" s="282"/>
      <c r="W60" s="282" t="s">
        <v>116</v>
      </c>
      <c r="X60" s="340">
        <v>44183</v>
      </c>
      <c r="Y60" s="340">
        <v>44183</v>
      </c>
      <c r="Z60" s="340">
        <v>44184</v>
      </c>
      <c r="AA60" s="340"/>
      <c r="AB60" s="340"/>
      <c r="AC60" s="341"/>
      <c r="AD60" s="342" t="s">
        <v>64</v>
      </c>
      <c r="AE60" s="342" t="s">
        <v>154</v>
      </c>
      <c r="AF60" s="284" t="s">
        <v>4269</v>
      </c>
      <c r="AG60" s="284"/>
      <c r="AH60" s="284">
        <v>44179</v>
      </c>
      <c r="AI60" s="284"/>
      <c r="AJ60" s="334">
        <f t="shared" ca="1" si="5"/>
        <v>44963</v>
      </c>
      <c r="AK60" s="342">
        <f t="shared" ca="1" si="6"/>
        <v>784</v>
      </c>
      <c r="AL60" s="342">
        <f t="shared" ca="1" si="7"/>
        <v>779</v>
      </c>
      <c r="AM60" s="284"/>
      <c r="AN60" s="284" t="s">
        <v>4825</v>
      </c>
      <c r="AO60" s="343">
        <v>10.585000000000001</v>
      </c>
      <c r="AP60" s="343">
        <v>10.595000000000001</v>
      </c>
      <c r="AQ60" s="343">
        <v>10.62</v>
      </c>
      <c r="AR60" s="343">
        <v>10.625</v>
      </c>
      <c r="AS60" s="331">
        <f t="shared" ca="1" si="8"/>
        <v>780</v>
      </c>
      <c r="AV60" s="331" t="s">
        <v>136</v>
      </c>
    </row>
    <row r="61" spans="1:64" s="331" customFormat="1" ht="18" hidden="1" customHeight="1" x14ac:dyDescent="0.35">
      <c r="A61" s="334"/>
      <c r="B61" s="335">
        <f ca="1">IF(A61="",(IF(ISNUMBER(SUBSTITUTE(LEFT(RIGHT(E61,LEN(E61)-MIN(SEARCH({1,2,3,4,5,6,7,8,9,0},E61&amp;"1234567890"))+1),10),".","/"))=TRUE,AJ61-(SUBSTITUTE(LEFT(RIGHT(E61,LEN(E61)-MIN(SEARCH({1,2,3,4,5,6,7,8,9,0},E61&amp;"1234567890"))+1),10),".","/")),IF((SUBSTITUTE(LEFT(RIGHT(E61,LEN(E61)-MIN(SEARCH({1,2,3,4,5,6,7,8,9,0},E61&amp;"1234567890"))+1),10),".","/"))="","",(AJ61)-(MID(RIGHT((SUBSTITUTE(LEFT(RIGHT(E61,LEN(E61)-MIN(SEARCH({1,2,3,4,5,6,7,8,9,0},E61&amp;"1234567890"))+1),10),".","/")),10),4,2)&amp;"/"&amp;LEFT((RIGHT((SUBSTITUTE(LEFT(RIGHT(E61,LEN(E61)-MIN(SEARCH({1,2,3,4,5,6,7,8,9,0},E61&amp;"1234567890"))+1),10),".","/")),10)),2)&amp;"/"&amp;RIGHT((SUBSTITUTE(LEFT(RIGHT(E61,LEN(E61)-MIN(SEARCH({1,2,3,4,5,6,7,8,9,0},E61&amp;"1234567890"))+1),10),".","/")),4))))),(AJ61-A61))</f>
        <v>676</v>
      </c>
      <c r="C61" s="334"/>
      <c r="D61" s="294" t="str">
        <f>IF(Q61="MULTI","FGM","FGC")&amp;"-"&amp;H61&amp;"/"&amp;I61&amp;"-"&amp;TEXT(K61,"0.00")&amp;"X"&amp;IF(Q61="MULTI",N61,Q61)</f>
        <v>FGC-304/2B-001X760</v>
      </c>
      <c r="E61" s="294" t="s">
        <v>4826</v>
      </c>
      <c r="F61" s="294" t="s">
        <v>4827</v>
      </c>
      <c r="G61" s="294" t="s">
        <v>4828</v>
      </c>
      <c r="H61" s="294">
        <v>304</v>
      </c>
      <c r="I61" s="337" t="s">
        <v>116</v>
      </c>
      <c r="J61" s="149">
        <v>2.98</v>
      </c>
      <c r="K61" s="149">
        <v>0.99</v>
      </c>
      <c r="L61" s="149">
        <v>0.97</v>
      </c>
      <c r="M61" s="149">
        <v>0.99</v>
      </c>
      <c r="N61" s="335">
        <v>770</v>
      </c>
      <c r="O61" s="296">
        <v>0.255</v>
      </c>
      <c r="P61" s="345"/>
      <c r="Q61" s="138">
        <v>760</v>
      </c>
      <c r="R61" s="138"/>
      <c r="S61" s="339"/>
      <c r="T61" s="299"/>
      <c r="U61" s="282" t="s">
        <v>3497</v>
      </c>
      <c r="V61" s="282"/>
      <c r="W61" s="282" t="s">
        <v>116</v>
      </c>
      <c r="X61" s="340">
        <v>44561</v>
      </c>
      <c r="Y61" s="340">
        <v>44197</v>
      </c>
      <c r="Z61" s="340">
        <v>44197</v>
      </c>
      <c r="AA61" s="340"/>
      <c r="AB61" s="340"/>
      <c r="AC61" s="341"/>
      <c r="AD61" s="342" t="s">
        <v>64</v>
      </c>
      <c r="AE61" s="342" t="s">
        <v>154</v>
      </c>
      <c r="AF61" s="284" t="s">
        <v>4269</v>
      </c>
      <c r="AG61" s="284"/>
      <c r="AH61" s="284">
        <v>44179</v>
      </c>
      <c r="AI61" s="284"/>
      <c r="AJ61" s="334">
        <f t="shared" ca="1" si="5"/>
        <v>44963</v>
      </c>
      <c r="AK61" s="342">
        <f t="shared" ca="1" si="6"/>
        <v>784</v>
      </c>
      <c r="AL61" s="342">
        <f t="shared" ca="1" si="7"/>
        <v>766</v>
      </c>
      <c r="AM61" s="284"/>
      <c r="AN61" s="284" t="s">
        <v>4829</v>
      </c>
      <c r="AO61" s="343">
        <v>8.6199999999999992</v>
      </c>
      <c r="AP61" s="343">
        <v>8.6300000000000008</v>
      </c>
      <c r="AQ61" s="343">
        <v>8.6549999999999994</v>
      </c>
      <c r="AR61" s="343">
        <v>8.66</v>
      </c>
      <c r="AS61" s="331">
        <f t="shared" ca="1" si="8"/>
        <v>766</v>
      </c>
      <c r="AV61" s="331" t="s">
        <v>136</v>
      </c>
    </row>
    <row r="62" spans="1:64" s="331" customFormat="1" ht="18" hidden="1" customHeight="1" x14ac:dyDescent="0.35">
      <c r="A62" s="334"/>
      <c r="B62" s="335" t="e">
        <f ca="1">IF(A62="",(IF(ISNUMBER(SUBSTITUTE(LEFT(RIGHT(E62,LEN(E62)-MIN(SEARCH({1,2,3,4,5,6,7,8,9,0},E62&amp;"1234567890"))+1),10),".","/"))=TRUE,AJ62-(SUBSTITUTE(LEFT(RIGHT(E62,LEN(E62)-MIN(SEARCH({1,2,3,4,5,6,7,8,9,0},E62&amp;"1234567890"))+1),10),".","/")),IF((SUBSTITUTE(LEFT(RIGHT(E62,LEN(E62)-MIN(SEARCH({1,2,3,4,5,6,7,8,9,0},E62&amp;"1234567890"))+1),10),".","/"))="","",(AJ62)-(MID(RIGHT((SUBSTITUTE(LEFT(RIGHT(E62,LEN(E62)-MIN(SEARCH({1,2,3,4,5,6,7,8,9,0},E62&amp;"1234567890"))+1),10),".","/")),10),4,2)&amp;"/"&amp;LEFT((RIGHT((SUBSTITUTE(LEFT(RIGHT(E62,LEN(E62)-MIN(SEARCH({1,2,3,4,5,6,7,8,9,0},E62&amp;"1234567890"))+1),10),".","/")),10)),2)&amp;"/"&amp;RIGHT((SUBSTITUTE(LEFT(RIGHT(E62,LEN(E62)-MIN(SEARCH({1,2,3,4,5,6,7,8,9,0},E62&amp;"1234567890"))+1),10),".","/")),4))))),(AJ62-A62))</f>
        <v>#VALUE!</v>
      </c>
      <c r="C62" s="334"/>
      <c r="D62" s="294" t="str">
        <f t="shared" ref="D62:D88" si="9">IF(LEFT(U62,7)="MAT RET","R"&amp;"-"&amp;H62&amp;"/"&amp;I62&amp;"-"&amp;TEXT(K62,"0.00")&amp;"X"&amp;IF(Q62="",N62,Q62),IF(N62&lt;570,"FGMKW2","FGCKW2")&amp;"-"&amp;H62&amp;"/"&amp;I62&amp;"-"&amp;TEXT(K62,"0.00")&amp;"X"&amp;IF(Q62="",N62,Q62))</f>
        <v>FGCKW2-J1/2B-000X80</v>
      </c>
      <c r="E62" s="294" t="s">
        <v>4830</v>
      </c>
      <c r="F62" s="294" t="s">
        <v>4831</v>
      </c>
      <c r="G62" s="294" t="s">
        <v>4832</v>
      </c>
      <c r="H62" s="294" t="s">
        <v>27</v>
      </c>
      <c r="I62" s="337" t="s">
        <v>116</v>
      </c>
      <c r="J62" s="149">
        <v>0.92</v>
      </c>
      <c r="K62" s="149">
        <v>0.47</v>
      </c>
      <c r="L62" s="149">
        <v>0.47</v>
      </c>
      <c r="M62" s="149">
        <v>0.46</v>
      </c>
      <c r="N62" s="335">
        <v>692</v>
      </c>
      <c r="O62" s="296">
        <f>0.67</f>
        <v>0.67</v>
      </c>
      <c r="P62" s="345"/>
      <c r="Q62" s="138">
        <v>80</v>
      </c>
      <c r="R62" s="366"/>
      <c r="S62" s="339"/>
      <c r="T62" s="299"/>
      <c r="U62" s="282" t="s">
        <v>3497</v>
      </c>
      <c r="V62" s="282" t="s">
        <v>4833</v>
      </c>
      <c r="W62" s="282" t="s">
        <v>116</v>
      </c>
      <c r="X62" s="340">
        <v>44208</v>
      </c>
      <c r="Y62" s="340">
        <v>44208</v>
      </c>
      <c r="Z62" s="340">
        <v>44209</v>
      </c>
      <c r="AA62" s="340">
        <v>44207</v>
      </c>
      <c r="AB62" s="340"/>
      <c r="AC62" s="341"/>
      <c r="AD62" s="342" t="s">
        <v>116</v>
      </c>
      <c r="AE62" s="342" t="s">
        <v>261</v>
      </c>
      <c r="AF62" s="284" t="s">
        <v>278</v>
      </c>
      <c r="AG62" s="284"/>
      <c r="AH62" s="284">
        <v>44126</v>
      </c>
      <c r="AI62" s="284"/>
      <c r="AJ62" s="334">
        <f t="shared" ca="1" si="5"/>
        <v>44963</v>
      </c>
      <c r="AK62" s="342">
        <f t="shared" ca="1" si="6"/>
        <v>837</v>
      </c>
      <c r="AL62" s="342">
        <f t="shared" ca="1" si="7"/>
        <v>754</v>
      </c>
      <c r="AM62" s="284" t="s">
        <v>4834</v>
      </c>
      <c r="AN62" s="284" t="s">
        <v>4835</v>
      </c>
      <c r="AO62" s="343">
        <v>11.269</v>
      </c>
      <c r="AP62" s="343">
        <v>11.298999999999999</v>
      </c>
      <c r="AQ62" s="343">
        <v>11.323999999999998</v>
      </c>
      <c r="AR62" s="343">
        <v>11.328999999999999</v>
      </c>
      <c r="AS62" s="331">
        <f t="shared" ca="1" si="8"/>
        <v>755</v>
      </c>
      <c r="AV62" s="331" t="s">
        <v>136</v>
      </c>
      <c r="BL62" s="331" t="s">
        <v>3584</v>
      </c>
    </row>
    <row r="63" spans="1:64" s="331" customFormat="1" ht="18" hidden="1" customHeight="1" x14ac:dyDescent="0.35">
      <c r="A63" s="334"/>
      <c r="B63" s="335" t="e">
        <f ca="1">IF(A63="",(IF(ISNUMBER(SUBSTITUTE(LEFT(RIGHT(E63,LEN(E63)-MIN(SEARCH({1,2,3,4,5,6,7,8,9,0},E63&amp;"1234567890"))+1),10),".","/"))=TRUE,AJ63-(SUBSTITUTE(LEFT(RIGHT(E63,LEN(E63)-MIN(SEARCH({1,2,3,4,5,6,7,8,9,0},E63&amp;"1234567890"))+1),10),".","/")),IF((SUBSTITUTE(LEFT(RIGHT(E63,LEN(E63)-MIN(SEARCH({1,2,3,4,5,6,7,8,9,0},E63&amp;"1234567890"))+1),10),".","/"))="","",(AJ63)-(MID(RIGHT((SUBSTITUTE(LEFT(RIGHT(E63,LEN(E63)-MIN(SEARCH({1,2,3,4,5,6,7,8,9,0},E63&amp;"1234567890"))+1),10),".","/")),10),4,2)&amp;"/"&amp;LEFT((RIGHT((SUBSTITUTE(LEFT(RIGHT(E63,LEN(E63)-MIN(SEARCH({1,2,3,4,5,6,7,8,9,0},E63&amp;"1234567890"))+1),10),".","/")),10)),2)&amp;"/"&amp;RIGHT((SUBSTITUTE(LEFT(RIGHT(E63,LEN(E63)-MIN(SEARCH({1,2,3,4,5,6,7,8,9,0},E63&amp;"1234567890"))+1),10),".","/")),4))))),(AJ63-A63))</f>
        <v>#VALUE!</v>
      </c>
      <c r="C63" s="334"/>
      <c r="D63" s="294" t="str">
        <f t="shared" si="9"/>
        <v>FGCKW2-J1/2B-000X80</v>
      </c>
      <c r="E63" s="294" t="s">
        <v>4830</v>
      </c>
      <c r="F63" s="294" t="s">
        <v>4831</v>
      </c>
      <c r="G63" s="294" t="s">
        <v>4836</v>
      </c>
      <c r="H63" s="294" t="s">
        <v>27</v>
      </c>
      <c r="I63" s="337" t="s">
        <v>116</v>
      </c>
      <c r="J63" s="149">
        <v>0.92</v>
      </c>
      <c r="K63" s="149">
        <v>0.47</v>
      </c>
      <c r="L63" s="149">
        <v>0.47</v>
      </c>
      <c r="M63" s="149">
        <v>0.46</v>
      </c>
      <c r="N63" s="335">
        <v>692</v>
      </c>
      <c r="O63" s="296">
        <v>0.66</v>
      </c>
      <c r="P63" s="345"/>
      <c r="Q63" s="138">
        <v>80</v>
      </c>
      <c r="R63" s="366"/>
      <c r="S63" s="339"/>
      <c r="T63" s="299"/>
      <c r="U63" s="282" t="s">
        <v>3497</v>
      </c>
      <c r="V63" s="282" t="s">
        <v>4833</v>
      </c>
      <c r="W63" s="282" t="s">
        <v>116</v>
      </c>
      <c r="X63" s="340">
        <v>44208</v>
      </c>
      <c r="Y63" s="340">
        <v>44208</v>
      </c>
      <c r="Z63" s="340">
        <v>44209</v>
      </c>
      <c r="AA63" s="340">
        <v>44207</v>
      </c>
      <c r="AB63" s="340"/>
      <c r="AC63" s="341"/>
      <c r="AD63" s="342" t="s">
        <v>116</v>
      </c>
      <c r="AE63" s="342" t="s">
        <v>261</v>
      </c>
      <c r="AF63" s="284" t="s">
        <v>278</v>
      </c>
      <c r="AG63" s="284"/>
      <c r="AH63" s="284">
        <v>44126</v>
      </c>
      <c r="AI63" s="284"/>
      <c r="AJ63" s="334">
        <f t="shared" ca="1" si="5"/>
        <v>44963</v>
      </c>
      <c r="AK63" s="342">
        <f t="shared" ca="1" si="6"/>
        <v>837</v>
      </c>
      <c r="AL63" s="342">
        <f t="shared" ca="1" si="7"/>
        <v>754</v>
      </c>
      <c r="AM63" s="284" t="s">
        <v>4834</v>
      </c>
      <c r="AN63" s="284" t="s">
        <v>4835</v>
      </c>
      <c r="AO63" s="343">
        <v>11.269</v>
      </c>
      <c r="AP63" s="343">
        <v>11.298999999999999</v>
      </c>
      <c r="AQ63" s="343">
        <v>11.323999999999998</v>
      </c>
      <c r="AR63" s="343">
        <v>11.328999999999999</v>
      </c>
      <c r="AS63" s="331">
        <f t="shared" ca="1" si="8"/>
        <v>755</v>
      </c>
      <c r="AV63" s="331" t="s">
        <v>136</v>
      </c>
      <c r="BL63" s="331" t="s">
        <v>3584</v>
      </c>
    </row>
    <row r="64" spans="1:64" s="331" customFormat="1" ht="18" hidden="1" customHeight="1" x14ac:dyDescent="0.35">
      <c r="A64" s="334"/>
      <c r="B64" s="335" t="e">
        <f ca="1">IF(A64="",(IF(ISNUMBER(SUBSTITUTE(LEFT(RIGHT(E64,LEN(E64)-MIN(SEARCH({1,2,3,4,5,6,7,8,9,0},E64&amp;"1234567890"))+1),10),".","/"))=TRUE,AJ64-(SUBSTITUTE(LEFT(RIGHT(E64,LEN(E64)-MIN(SEARCH({1,2,3,4,5,6,7,8,9,0},E64&amp;"1234567890"))+1),10),".","/")),IF((SUBSTITUTE(LEFT(RIGHT(E64,LEN(E64)-MIN(SEARCH({1,2,3,4,5,6,7,8,9,0},E64&amp;"1234567890"))+1),10),".","/"))="","",(AJ64)-(MID(RIGHT((SUBSTITUTE(LEFT(RIGHT(E64,LEN(E64)-MIN(SEARCH({1,2,3,4,5,6,7,8,9,0},E64&amp;"1234567890"))+1),10),".","/")),10),4,2)&amp;"/"&amp;LEFT((RIGHT((SUBSTITUTE(LEFT(RIGHT(E64,LEN(E64)-MIN(SEARCH({1,2,3,4,5,6,7,8,9,0},E64&amp;"1234567890"))+1),10),".","/")),10)),2)&amp;"/"&amp;RIGHT((SUBSTITUTE(LEFT(RIGHT(E64,LEN(E64)-MIN(SEARCH({1,2,3,4,5,6,7,8,9,0},E64&amp;"1234567890"))+1),10),".","/")),4))))),(AJ64-A64))</f>
        <v>#VALUE!</v>
      </c>
      <c r="C64" s="334"/>
      <c r="D64" s="294" t="str">
        <f t="shared" si="9"/>
        <v>FGCKW2-J1/2B-000X80</v>
      </c>
      <c r="E64" s="294" t="s">
        <v>4830</v>
      </c>
      <c r="F64" s="294" t="s">
        <v>4837</v>
      </c>
      <c r="G64" s="294" t="s">
        <v>4838</v>
      </c>
      <c r="H64" s="294" t="s">
        <v>27</v>
      </c>
      <c r="I64" s="337" t="s">
        <v>116</v>
      </c>
      <c r="J64" s="149">
        <v>0.92</v>
      </c>
      <c r="K64" s="149">
        <v>0.47</v>
      </c>
      <c r="L64" s="149">
        <v>0.46</v>
      </c>
      <c r="M64" s="149">
        <v>0.47</v>
      </c>
      <c r="N64" s="335">
        <v>692</v>
      </c>
      <c r="O64" s="296">
        <f>0.59</f>
        <v>0.59</v>
      </c>
      <c r="P64" s="345"/>
      <c r="Q64" s="138">
        <v>80</v>
      </c>
      <c r="R64" s="366"/>
      <c r="S64" s="339"/>
      <c r="T64" s="299"/>
      <c r="U64" s="282" t="s">
        <v>3497</v>
      </c>
      <c r="V64" s="282" t="s">
        <v>4833</v>
      </c>
      <c r="W64" s="282" t="s">
        <v>116</v>
      </c>
      <c r="X64" s="340">
        <v>44207</v>
      </c>
      <c r="Y64" s="340">
        <v>44208</v>
      </c>
      <c r="Z64" s="340">
        <v>44208</v>
      </c>
      <c r="AA64" s="340">
        <v>44205</v>
      </c>
      <c r="AB64" s="340"/>
      <c r="AC64" s="341"/>
      <c r="AD64" s="342" t="s">
        <v>116</v>
      </c>
      <c r="AE64" s="342" t="s">
        <v>261</v>
      </c>
      <c r="AF64" s="284" t="s">
        <v>278</v>
      </c>
      <c r="AG64" s="284"/>
      <c r="AH64" s="284">
        <v>44126</v>
      </c>
      <c r="AI64" s="284"/>
      <c r="AJ64" s="334">
        <f t="shared" ca="1" si="5"/>
        <v>44963</v>
      </c>
      <c r="AK64" s="342">
        <f t="shared" ca="1" si="6"/>
        <v>837</v>
      </c>
      <c r="AL64" s="342">
        <f t="shared" ca="1" si="7"/>
        <v>755</v>
      </c>
      <c r="AM64" s="284" t="s">
        <v>4839</v>
      </c>
      <c r="AN64" s="284" t="s">
        <v>4840</v>
      </c>
      <c r="AO64" s="343">
        <v>9.8689999999999998</v>
      </c>
      <c r="AP64" s="343">
        <v>9.8989999999999991</v>
      </c>
      <c r="AQ64" s="343">
        <v>9.9239999999999977</v>
      </c>
      <c r="AR64" s="343">
        <v>9.9289999999999985</v>
      </c>
      <c r="AS64" s="331">
        <f t="shared" ca="1" si="8"/>
        <v>755</v>
      </c>
      <c r="AV64" s="331" t="s">
        <v>136</v>
      </c>
      <c r="BL64" s="331" t="s">
        <v>3584</v>
      </c>
    </row>
    <row r="65" spans="1:64" s="331" customFormat="1" ht="18" hidden="1" customHeight="1" x14ac:dyDescent="0.35">
      <c r="A65" s="334"/>
      <c r="B65" s="335" t="e">
        <f ca="1">IF(A65="",(IF(ISNUMBER(SUBSTITUTE(LEFT(RIGHT(E65,LEN(E65)-MIN(SEARCH({1,2,3,4,5,6,7,8,9,0},E65&amp;"1234567890"))+1),10),".","/"))=TRUE,AJ65-(SUBSTITUTE(LEFT(RIGHT(E65,LEN(E65)-MIN(SEARCH({1,2,3,4,5,6,7,8,9,0},E65&amp;"1234567890"))+1),10),".","/")),IF((SUBSTITUTE(LEFT(RIGHT(E65,LEN(E65)-MIN(SEARCH({1,2,3,4,5,6,7,8,9,0},E65&amp;"1234567890"))+1),10),".","/"))="","",(AJ65)-(MID(RIGHT((SUBSTITUTE(LEFT(RIGHT(E65,LEN(E65)-MIN(SEARCH({1,2,3,4,5,6,7,8,9,0},E65&amp;"1234567890"))+1),10),".","/")),10),4,2)&amp;"/"&amp;LEFT((RIGHT((SUBSTITUTE(LEFT(RIGHT(E65,LEN(E65)-MIN(SEARCH({1,2,3,4,5,6,7,8,9,0},E65&amp;"1234567890"))+1),10),".","/")),10)),2)&amp;"/"&amp;RIGHT((SUBSTITUTE(LEFT(RIGHT(E65,LEN(E65)-MIN(SEARCH({1,2,3,4,5,6,7,8,9,0},E65&amp;"1234567890"))+1),10),".","/")),4))))),(AJ65-A65))</f>
        <v>#VALUE!</v>
      </c>
      <c r="C65" s="334"/>
      <c r="D65" s="294" t="str">
        <f t="shared" si="9"/>
        <v>FGCKW2-J1/2B-000X80</v>
      </c>
      <c r="E65" s="294" t="s">
        <v>4830</v>
      </c>
      <c r="F65" s="294" t="s">
        <v>4837</v>
      </c>
      <c r="G65" s="294" t="s">
        <v>4841</v>
      </c>
      <c r="H65" s="294" t="s">
        <v>27</v>
      </c>
      <c r="I65" s="337" t="s">
        <v>116</v>
      </c>
      <c r="J65" s="149">
        <v>0.92</v>
      </c>
      <c r="K65" s="149">
        <v>0.47</v>
      </c>
      <c r="L65" s="149">
        <v>0.46</v>
      </c>
      <c r="M65" s="149">
        <v>0.47</v>
      </c>
      <c r="N65" s="335">
        <v>692</v>
      </c>
      <c r="O65" s="296">
        <v>0.59</v>
      </c>
      <c r="P65" s="345"/>
      <c r="Q65" s="138">
        <v>80</v>
      </c>
      <c r="R65" s="366"/>
      <c r="S65" s="339"/>
      <c r="T65" s="299"/>
      <c r="U65" s="282" t="s">
        <v>3497</v>
      </c>
      <c r="V65" s="282" t="s">
        <v>4833</v>
      </c>
      <c r="W65" s="282" t="s">
        <v>116</v>
      </c>
      <c r="X65" s="340">
        <v>44207</v>
      </c>
      <c r="Y65" s="340">
        <v>44208</v>
      </c>
      <c r="Z65" s="340">
        <v>44208</v>
      </c>
      <c r="AA65" s="340">
        <v>44205</v>
      </c>
      <c r="AB65" s="340"/>
      <c r="AC65" s="341"/>
      <c r="AD65" s="342" t="s">
        <v>116</v>
      </c>
      <c r="AE65" s="342" t="s">
        <v>261</v>
      </c>
      <c r="AF65" s="284" t="s">
        <v>278</v>
      </c>
      <c r="AG65" s="284"/>
      <c r="AH65" s="284">
        <v>44126</v>
      </c>
      <c r="AI65" s="284"/>
      <c r="AJ65" s="334">
        <f t="shared" ca="1" si="5"/>
        <v>44963</v>
      </c>
      <c r="AK65" s="342">
        <f t="shared" ca="1" si="6"/>
        <v>837</v>
      </c>
      <c r="AL65" s="342">
        <f t="shared" ca="1" si="7"/>
        <v>755</v>
      </c>
      <c r="AM65" s="284" t="s">
        <v>4839</v>
      </c>
      <c r="AN65" s="284" t="s">
        <v>4840</v>
      </c>
      <c r="AO65" s="343">
        <v>9.8689999999999998</v>
      </c>
      <c r="AP65" s="343">
        <v>9.8989999999999991</v>
      </c>
      <c r="AQ65" s="343">
        <v>9.9239999999999977</v>
      </c>
      <c r="AR65" s="343">
        <v>9.9289999999999985</v>
      </c>
      <c r="AS65" s="331">
        <f t="shared" ca="1" si="8"/>
        <v>755</v>
      </c>
      <c r="AV65" s="331" t="s">
        <v>136</v>
      </c>
      <c r="BL65" s="331" t="s">
        <v>3584</v>
      </c>
    </row>
    <row r="66" spans="1:64" s="331" customFormat="1" ht="18" hidden="1" customHeight="1" x14ac:dyDescent="0.35">
      <c r="A66" s="334"/>
      <c r="B66" s="335" t="e">
        <f ca="1">IF(A66="",(IF(ISNUMBER(SUBSTITUTE(LEFT(RIGHT(E66,LEN(E66)-MIN(SEARCH({1,2,3,4,5,6,7,8,9,0},E66&amp;"1234567890"))+1),10),".","/"))=TRUE,AJ66-(SUBSTITUTE(LEFT(RIGHT(E66,LEN(E66)-MIN(SEARCH({1,2,3,4,5,6,7,8,9,0},E66&amp;"1234567890"))+1),10),".","/")),IF((SUBSTITUTE(LEFT(RIGHT(E66,LEN(E66)-MIN(SEARCH({1,2,3,4,5,6,7,8,9,0},E66&amp;"1234567890"))+1),10),".","/"))="","",(AJ66)-(MID(RIGHT((SUBSTITUTE(LEFT(RIGHT(E66,LEN(E66)-MIN(SEARCH({1,2,3,4,5,6,7,8,9,0},E66&amp;"1234567890"))+1),10),".","/")),10),4,2)&amp;"/"&amp;LEFT((RIGHT((SUBSTITUTE(LEFT(RIGHT(E66,LEN(E66)-MIN(SEARCH({1,2,3,4,5,6,7,8,9,0},E66&amp;"1234567890"))+1),10),".","/")),10)),2)&amp;"/"&amp;RIGHT((SUBSTITUTE(LEFT(RIGHT(E66,LEN(E66)-MIN(SEARCH({1,2,3,4,5,6,7,8,9,0},E66&amp;"1234567890"))+1),10),".","/")),4))))),(AJ66-A66))</f>
        <v>#VALUE!</v>
      </c>
      <c r="C66" s="334"/>
      <c r="D66" s="294" t="str">
        <f t="shared" si="9"/>
        <v>FGCKW2-J1/2B-000X110</v>
      </c>
      <c r="E66" s="294" t="s">
        <v>4830</v>
      </c>
      <c r="F66" s="294" t="s">
        <v>4842</v>
      </c>
      <c r="G66" s="294" t="s">
        <v>4843</v>
      </c>
      <c r="H66" s="294" t="s">
        <v>27</v>
      </c>
      <c r="I66" s="337" t="s">
        <v>116</v>
      </c>
      <c r="J66" s="149">
        <v>0.92</v>
      </c>
      <c r="K66" s="149">
        <v>0.47</v>
      </c>
      <c r="L66" s="149">
        <v>0.45</v>
      </c>
      <c r="M66" s="149">
        <v>0.47</v>
      </c>
      <c r="N66" s="335">
        <v>720</v>
      </c>
      <c r="O66" s="296">
        <v>0.88</v>
      </c>
      <c r="P66" s="345"/>
      <c r="Q66" s="138">
        <v>110</v>
      </c>
      <c r="R66" s="366"/>
      <c r="S66" s="339"/>
      <c r="T66" s="299"/>
      <c r="U66" s="282" t="s">
        <v>3497</v>
      </c>
      <c r="V66" s="282" t="s">
        <v>4833</v>
      </c>
      <c r="W66" s="282" t="s">
        <v>116</v>
      </c>
      <c r="X66" s="340">
        <v>44208</v>
      </c>
      <c r="Y66" s="340">
        <v>44209</v>
      </c>
      <c r="Z66" s="340">
        <v>44209</v>
      </c>
      <c r="AA66" s="340">
        <v>44207</v>
      </c>
      <c r="AB66" s="340"/>
      <c r="AC66" s="341"/>
      <c r="AD66" s="342" t="s">
        <v>116</v>
      </c>
      <c r="AE66" s="342" t="s">
        <v>261</v>
      </c>
      <c r="AF66" s="284" t="s">
        <v>4317</v>
      </c>
      <c r="AG66" s="284">
        <v>44082</v>
      </c>
      <c r="AH66" s="284">
        <v>44103</v>
      </c>
      <c r="AI66" s="284"/>
      <c r="AJ66" s="334">
        <f t="shared" ca="1" si="5"/>
        <v>44963</v>
      </c>
      <c r="AK66" s="342">
        <f t="shared" ca="1" si="6"/>
        <v>860</v>
      </c>
      <c r="AL66" s="342">
        <f t="shared" ca="1" si="7"/>
        <v>754</v>
      </c>
      <c r="AM66" s="284" t="s">
        <v>4844</v>
      </c>
      <c r="AN66" s="284" t="s">
        <v>4845</v>
      </c>
      <c r="AO66" s="343">
        <v>11.653</v>
      </c>
      <c r="AP66" s="343">
        <v>11.683</v>
      </c>
      <c r="AQ66" s="343">
        <v>11.707999999999998</v>
      </c>
      <c r="AR66" s="343">
        <v>11.712999999999999</v>
      </c>
      <c r="AS66" s="331">
        <f t="shared" ca="1" si="8"/>
        <v>754</v>
      </c>
      <c r="AV66" s="331" t="s">
        <v>136</v>
      </c>
    </row>
    <row r="67" spans="1:64" s="331" customFormat="1" ht="18" hidden="1" customHeight="1" x14ac:dyDescent="0.35">
      <c r="A67" s="334">
        <v>44299</v>
      </c>
      <c r="B67" s="335">
        <f ca="1">IF(A67="",(IF(ISNUMBER(SUBSTITUTE(LEFT(RIGHT(E67,LEN(E67)-MIN(SEARCH({1,2,3,4,5,6,7,8,9,0},E67&amp;"1234567890"))+1),10),".","/"))=TRUE,AJ67-(SUBSTITUTE(LEFT(RIGHT(E67,LEN(E67)-MIN(SEARCH({1,2,3,4,5,6,7,8,9,0},E67&amp;"1234567890"))+1),10),".","/")),IF((SUBSTITUTE(LEFT(RIGHT(E67,LEN(E67)-MIN(SEARCH({1,2,3,4,5,6,7,8,9,0},E67&amp;"1234567890"))+1),10),".","/"))="","",(AJ67)-(MID(RIGHT((SUBSTITUTE(LEFT(RIGHT(E67,LEN(E67)-MIN(SEARCH({1,2,3,4,5,6,7,8,9,0},E67&amp;"1234567890"))+1),10),".","/")),10),4,2)&amp;"/"&amp;LEFT((RIGHT((SUBSTITUTE(LEFT(RIGHT(E67,LEN(E67)-MIN(SEARCH({1,2,3,4,5,6,7,8,9,0},E67&amp;"1234567890"))+1),10),".","/")),10)),2)&amp;"/"&amp;RIGHT((SUBSTITUTE(LEFT(RIGHT(E67,LEN(E67)-MIN(SEARCH({1,2,3,4,5,6,7,8,9,0},E67&amp;"1234567890"))+1),10),".","/")),4))))),(AJ67-A67))</f>
        <v>664</v>
      </c>
      <c r="C67" s="334" t="s">
        <v>4846</v>
      </c>
      <c r="D67" s="294" t="str">
        <f t="shared" si="9"/>
        <v>FGCKW2-J3/2B-001X590</v>
      </c>
      <c r="E67" s="294" t="s">
        <v>4847</v>
      </c>
      <c r="F67" s="294" t="s">
        <v>4848</v>
      </c>
      <c r="G67" s="294" t="s">
        <v>4849</v>
      </c>
      <c r="H67" s="294" t="s">
        <v>29</v>
      </c>
      <c r="I67" s="337" t="s">
        <v>116</v>
      </c>
      <c r="J67" s="149">
        <v>0.91</v>
      </c>
      <c r="K67" s="149">
        <v>0.73</v>
      </c>
      <c r="L67" s="149">
        <v>0.75</v>
      </c>
      <c r="M67" s="149">
        <v>0.75</v>
      </c>
      <c r="N67" s="335">
        <v>590</v>
      </c>
      <c r="O67" s="837">
        <v>0.84499999999999997</v>
      </c>
      <c r="P67" s="839">
        <v>0.84599999999999997</v>
      </c>
      <c r="Q67" s="138">
        <v>590</v>
      </c>
      <c r="R67" s="366"/>
      <c r="S67" s="339"/>
      <c r="T67" s="299"/>
      <c r="U67" s="282" t="s">
        <v>3497</v>
      </c>
      <c r="V67" s="282" t="s">
        <v>4850</v>
      </c>
      <c r="W67" s="282"/>
      <c r="X67" s="340" t="s">
        <v>4851</v>
      </c>
      <c r="Y67" s="340">
        <v>44195</v>
      </c>
      <c r="Z67" s="340">
        <v>44561</v>
      </c>
      <c r="AA67" s="340"/>
      <c r="AB67" s="340"/>
      <c r="AC67" s="341"/>
      <c r="AD67" s="342" t="s">
        <v>64</v>
      </c>
      <c r="AE67" s="342" t="s">
        <v>261</v>
      </c>
      <c r="AF67" s="284" t="s">
        <v>286</v>
      </c>
      <c r="AG67" s="284">
        <v>44154</v>
      </c>
      <c r="AH67" s="284">
        <v>44176</v>
      </c>
      <c r="AI67" s="284"/>
      <c r="AJ67" s="334">
        <f t="shared" ca="1" si="5"/>
        <v>44963</v>
      </c>
      <c r="AK67" s="342">
        <f t="shared" ca="1" si="6"/>
        <v>787</v>
      </c>
      <c r="AL67" s="342">
        <f t="shared" ca="1" si="7"/>
        <v>402</v>
      </c>
      <c r="AM67" s="284" t="s">
        <v>4852</v>
      </c>
      <c r="AN67" s="284" t="s">
        <v>4853</v>
      </c>
      <c r="AO67" s="343">
        <v>9.4819999999999993</v>
      </c>
      <c r="AP67" s="343">
        <v>9.5119999999999987</v>
      </c>
      <c r="AQ67" s="343">
        <v>9.5369999999999973</v>
      </c>
      <c r="AR67" s="343">
        <v>9.541999999999998</v>
      </c>
      <c r="AS67" s="331">
        <f t="shared" ca="1" si="8"/>
        <v>768</v>
      </c>
      <c r="AV67" s="331" t="s">
        <v>136</v>
      </c>
      <c r="BL67" s="331" t="s">
        <v>4339</v>
      </c>
    </row>
    <row r="68" spans="1:64" s="331" customFormat="1" ht="18" hidden="1" customHeight="1" x14ac:dyDescent="0.35">
      <c r="A68" s="334">
        <v>44299</v>
      </c>
      <c r="B68" s="335">
        <f ca="1">IF(A68="",(IF(ISNUMBER(SUBSTITUTE(LEFT(RIGHT(E68,LEN(E68)-MIN(SEARCH({1,2,3,4,5,6,7,8,9,0},E68&amp;"1234567890"))+1),10),".","/"))=TRUE,AJ68-(SUBSTITUTE(LEFT(RIGHT(E68,LEN(E68)-MIN(SEARCH({1,2,3,4,5,6,7,8,9,0},E68&amp;"1234567890"))+1),10),".","/")),IF((SUBSTITUTE(LEFT(RIGHT(E68,LEN(E68)-MIN(SEARCH({1,2,3,4,5,6,7,8,9,0},E68&amp;"1234567890"))+1),10),".","/"))="","",(AJ68)-(MID(RIGHT((SUBSTITUTE(LEFT(RIGHT(E68,LEN(E68)-MIN(SEARCH({1,2,3,4,5,6,7,8,9,0},E68&amp;"1234567890"))+1),10),".","/")),10),4,2)&amp;"/"&amp;LEFT((RIGHT((SUBSTITUTE(LEFT(RIGHT(E68,LEN(E68)-MIN(SEARCH({1,2,3,4,5,6,7,8,9,0},E68&amp;"1234567890"))+1),10),".","/")),10)),2)&amp;"/"&amp;RIGHT((SUBSTITUTE(LEFT(RIGHT(E68,LEN(E68)-MIN(SEARCH({1,2,3,4,5,6,7,8,9,0},E68&amp;"1234567890"))+1),10),".","/")),4))))),(AJ68-A68))</f>
        <v>664</v>
      </c>
      <c r="C68" s="334" t="s">
        <v>4854</v>
      </c>
      <c r="D68" s="294" t="str">
        <f t="shared" si="9"/>
        <v>FGCKW2-J3/2B-001X595</v>
      </c>
      <c r="E68" s="294" t="s">
        <v>4847</v>
      </c>
      <c r="F68" s="294" t="s">
        <v>4855</v>
      </c>
      <c r="G68" s="294" t="s">
        <v>4856</v>
      </c>
      <c r="H68" s="294" t="s">
        <v>29</v>
      </c>
      <c r="I68" s="337" t="s">
        <v>116</v>
      </c>
      <c r="J68" s="149">
        <v>2.4</v>
      </c>
      <c r="K68" s="149">
        <v>0.73</v>
      </c>
      <c r="L68" s="149">
        <v>0.73</v>
      </c>
      <c r="M68" s="149">
        <v>0.74</v>
      </c>
      <c r="N68" s="335">
        <v>595</v>
      </c>
      <c r="O68" s="844"/>
      <c r="P68" s="841"/>
      <c r="Q68" s="138">
        <v>595</v>
      </c>
      <c r="R68" s="366"/>
      <c r="S68" s="339"/>
      <c r="T68" s="299"/>
      <c r="U68" s="282" t="s">
        <v>3497</v>
      </c>
      <c r="V68" s="282" t="s">
        <v>4850</v>
      </c>
      <c r="W68" s="282"/>
      <c r="X68" s="340">
        <v>44154</v>
      </c>
      <c r="Y68" s="340"/>
      <c r="Z68" s="340"/>
      <c r="AA68" s="340"/>
      <c r="AB68" s="340"/>
      <c r="AC68" s="341"/>
      <c r="AD68" s="342" t="s">
        <v>64</v>
      </c>
      <c r="AE68" s="342" t="s">
        <v>261</v>
      </c>
      <c r="AF68" s="284" t="s">
        <v>3795</v>
      </c>
      <c r="AG68" s="284">
        <v>44126</v>
      </c>
      <c r="AH68" s="284">
        <v>44154</v>
      </c>
      <c r="AI68" s="284"/>
      <c r="AJ68" s="334">
        <f t="shared" ca="1" si="5"/>
        <v>44963</v>
      </c>
      <c r="AK68" s="342">
        <f t="shared" ca="1" si="6"/>
        <v>809</v>
      </c>
      <c r="AL68" s="342" t="str">
        <f t="shared" si="7"/>
        <v/>
      </c>
      <c r="AM68" s="284"/>
      <c r="AN68" s="284" t="s">
        <v>4857</v>
      </c>
      <c r="AO68" s="343">
        <v>8.08</v>
      </c>
      <c r="AP68" s="343">
        <v>8.11</v>
      </c>
      <c r="AQ68" s="343">
        <v>8.134999999999998</v>
      </c>
      <c r="AR68" s="343">
        <v>8.1399999999999988</v>
      </c>
      <c r="AS68" s="331" t="str">
        <f t="shared" si="8"/>
        <v/>
      </c>
      <c r="AV68" s="331" t="s">
        <v>136</v>
      </c>
      <c r="BL68" s="331" t="s">
        <v>4339</v>
      </c>
    </row>
    <row r="69" spans="1:64" s="331" customFormat="1" ht="18" hidden="1" customHeight="1" x14ac:dyDescent="0.35">
      <c r="A69" s="334">
        <v>44299</v>
      </c>
      <c r="B69" s="335">
        <f ca="1">IF(A69="",(IF(ISNUMBER(SUBSTITUTE(LEFT(RIGHT(E69,LEN(E69)-MIN(SEARCH({1,2,3,4,5,6,7,8,9,0},E69&amp;"1234567890"))+1),10),".","/"))=TRUE,AJ69-(SUBSTITUTE(LEFT(RIGHT(E69,LEN(E69)-MIN(SEARCH({1,2,3,4,5,6,7,8,9,0},E69&amp;"1234567890"))+1),10),".","/")),IF((SUBSTITUTE(LEFT(RIGHT(E69,LEN(E69)-MIN(SEARCH({1,2,3,4,5,6,7,8,9,0},E69&amp;"1234567890"))+1),10),".","/"))="","",(AJ69)-(MID(RIGHT((SUBSTITUTE(LEFT(RIGHT(E69,LEN(E69)-MIN(SEARCH({1,2,3,4,5,6,7,8,9,0},E69&amp;"1234567890"))+1),10),".","/")),10),4,2)&amp;"/"&amp;LEFT((RIGHT((SUBSTITUTE(LEFT(RIGHT(E69,LEN(E69)-MIN(SEARCH({1,2,3,4,5,6,7,8,9,0},E69&amp;"1234567890"))+1),10),".","/")),10)),2)&amp;"/"&amp;RIGHT((SUBSTITUTE(LEFT(RIGHT(E69,LEN(E69)-MIN(SEARCH({1,2,3,4,5,6,7,8,9,0},E69&amp;"1234567890"))+1),10),".","/")),4))))),(AJ69-A69))</f>
        <v>664</v>
      </c>
      <c r="C69" s="334" t="s">
        <v>4858</v>
      </c>
      <c r="D69" s="294" t="str">
        <f t="shared" si="9"/>
        <v>FGCKW2-J3/2B-001X595</v>
      </c>
      <c r="E69" s="294" t="s">
        <v>4847</v>
      </c>
      <c r="F69" s="294" t="s">
        <v>4859</v>
      </c>
      <c r="G69" s="294" t="s">
        <v>4860</v>
      </c>
      <c r="H69" s="294" t="s">
        <v>29</v>
      </c>
      <c r="I69" s="337" t="s">
        <v>116</v>
      </c>
      <c r="J69" s="149">
        <v>2.4</v>
      </c>
      <c r="K69" s="149">
        <v>0.95</v>
      </c>
      <c r="L69" s="149">
        <v>0.95</v>
      </c>
      <c r="M69" s="149">
        <v>0.97</v>
      </c>
      <c r="N69" s="335">
        <v>595</v>
      </c>
      <c r="O69" s="838"/>
      <c r="P69" s="840"/>
      <c r="Q69" s="138">
        <v>595</v>
      </c>
      <c r="R69" s="366"/>
      <c r="S69" s="339"/>
      <c r="T69" s="299"/>
      <c r="U69" s="282" t="s">
        <v>3497</v>
      </c>
      <c r="V69" s="282" t="s">
        <v>4850</v>
      </c>
      <c r="W69" s="282"/>
      <c r="X69" s="340">
        <v>44166</v>
      </c>
      <c r="Y69" s="340"/>
      <c r="Z69" s="340"/>
      <c r="AA69" s="340"/>
      <c r="AB69" s="340"/>
      <c r="AC69" s="341"/>
      <c r="AD69" s="342" t="s">
        <v>64</v>
      </c>
      <c r="AE69" s="342" t="s">
        <v>261</v>
      </c>
      <c r="AF69" s="284" t="s">
        <v>4861</v>
      </c>
      <c r="AG69" s="284">
        <v>44138</v>
      </c>
      <c r="AH69" s="284">
        <v>44166</v>
      </c>
      <c r="AI69" s="284"/>
      <c r="AJ69" s="334">
        <f t="shared" ca="1" si="5"/>
        <v>44963</v>
      </c>
      <c r="AK69" s="342">
        <f t="shared" ca="1" si="6"/>
        <v>797</v>
      </c>
      <c r="AL69" s="342" t="str">
        <f t="shared" si="7"/>
        <v/>
      </c>
      <c r="AM69" s="284" t="s">
        <v>4862</v>
      </c>
      <c r="AN69" s="284" t="s">
        <v>4863</v>
      </c>
      <c r="AO69" s="343">
        <v>8.1080000000000005</v>
      </c>
      <c r="AP69" s="343">
        <v>8.1379999999999999</v>
      </c>
      <c r="AQ69" s="343">
        <v>8.1629999999999985</v>
      </c>
      <c r="AR69" s="343">
        <v>8.1679999999999993</v>
      </c>
      <c r="AS69" s="331" t="str">
        <f t="shared" si="8"/>
        <v/>
      </c>
      <c r="AV69" s="331" t="s">
        <v>136</v>
      </c>
      <c r="BL69" s="331" t="s">
        <v>4339</v>
      </c>
    </row>
    <row r="70" spans="1:64" s="331" customFormat="1" ht="18" hidden="1" customHeight="1" x14ac:dyDescent="0.35">
      <c r="A70" s="334">
        <v>44298</v>
      </c>
      <c r="B70" s="335">
        <f ca="1">IF(A70="",(IF(ISNUMBER(SUBSTITUTE(LEFT(RIGHT(E70,LEN(E70)-MIN(SEARCH({1,2,3,4,5,6,7,8,9,0},E70&amp;"1234567890"))+1),10),".","/"))=TRUE,AJ70-(SUBSTITUTE(LEFT(RIGHT(E70,LEN(E70)-MIN(SEARCH({1,2,3,4,5,6,7,8,9,0},E70&amp;"1234567890"))+1),10),".","/")),IF((SUBSTITUTE(LEFT(RIGHT(E70,LEN(E70)-MIN(SEARCH({1,2,3,4,5,6,7,8,9,0},E70&amp;"1234567890"))+1),10),".","/"))="","",(AJ70)-(MID(RIGHT((SUBSTITUTE(LEFT(RIGHT(E70,LEN(E70)-MIN(SEARCH({1,2,3,4,5,6,7,8,9,0},E70&amp;"1234567890"))+1),10),".","/")),10),4,2)&amp;"/"&amp;LEFT((RIGHT((SUBSTITUTE(LEFT(RIGHT(E70,LEN(E70)-MIN(SEARCH({1,2,3,4,5,6,7,8,9,0},E70&amp;"1234567890"))+1),10),".","/")),10)),2)&amp;"/"&amp;RIGHT((SUBSTITUTE(LEFT(RIGHT(E70,LEN(E70)-MIN(SEARCH({1,2,3,4,5,6,7,8,9,0},E70&amp;"1234567890"))+1),10),".","/")),4))))),(AJ70-A70))</f>
        <v>665</v>
      </c>
      <c r="C70" s="334"/>
      <c r="D70" s="294" t="str">
        <f t="shared" si="9"/>
        <v>FGCKW2-J1/2B-001X640</v>
      </c>
      <c r="E70" s="294" t="s">
        <v>4864</v>
      </c>
      <c r="F70" s="294" t="s">
        <v>4865</v>
      </c>
      <c r="G70" s="294" t="s">
        <v>4866</v>
      </c>
      <c r="H70" s="294" t="s">
        <v>27</v>
      </c>
      <c r="I70" s="337" t="s">
        <v>116</v>
      </c>
      <c r="J70" s="149">
        <v>2.35</v>
      </c>
      <c r="K70" s="149">
        <v>0.95</v>
      </c>
      <c r="L70" s="149">
        <v>0.93</v>
      </c>
      <c r="M70" s="149">
        <v>0.95</v>
      </c>
      <c r="N70" s="335">
        <v>640</v>
      </c>
      <c r="O70" s="296">
        <v>0.69</v>
      </c>
      <c r="P70" s="345">
        <v>0.69099999999999995</v>
      </c>
      <c r="Q70" s="138">
        <v>640</v>
      </c>
      <c r="R70" s="138"/>
      <c r="S70" s="339"/>
      <c r="T70" s="299"/>
      <c r="U70" s="282" t="s">
        <v>3497</v>
      </c>
      <c r="V70" s="282" t="s">
        <v>291</v>
      </c>
      <c r="W70" s="282" t="s">
        <v>116</v>
      </c>
      <c r="X70" s="340">
        <v>44101</v>
      </c>
      <c r="Y70" s="340">
        <v>44102</v>
      </c>
      <c r="Z70" s="340">
        <v>44104</v>
      </c>
      <c r="AA70" s="340"/>
      <c r="AB70" s="340"/>
      <c r="AC70" s="341"/>
      <c r="AD70" s="342" t="s">
        <v>64</v>
      </c>
      <c r="AE70" s="342" t="s">
        <v>203</v>
      </c>
      <c r="AF70" s="284" t="s">
        <v>4361</v>
      </c>
      <c r="AG70" s="284"/>
      <c r="AH70" s="284">
        <v>44100</v>
      </c>
      <c r="AI70" s="284"/>
      <c r="AJ70" s="334">
        <f t="shared" ca="1" si="5"/>
        <v>44963</v>
      </c>
      <c r="AK70" s="342">
        <f t="shared" ca="1" si="6"/>
        <v>863</v>
      </c>
      <c r="AL70" s="342">
        <f t="shared" ca="1" si="7"/>
        <v>859</v>
      </c>
      <c r="AM70" s="284"/>
      <c r="AN70" s="284" t="s">
        <v>4867</v>
      </c>
      <c r="AO70" s="343">
        <v>10.53</v>
      </c>
      <c r="AP70" s="343">
        <v>10.54</v>
      </c>
      <c r="AQ70" s="343">
        <v>10.564999999999998</v>
      </c>
      <c r="AR70" s="343">
        <v>10.569999999999999</v>
      </c>
      <c r="AS70" s="331">
        <f t="shared" ca="1" si="8"/>
        <v>861</v>
      </c>
      <c r="AV70" s="331" t="s">
        <v>136</v>
      </c>
    </row>
    <row r="71" spans="1:64" s="331" customFormat="1" ht="18" hidden="1" customHeight="1" x14ac:dyDescent="0.35">
      <c r="A71" s="334"/>
      <c r="B71" s="335">
        <f ca="1">IF(A71="",(IF(ISNUMBER(SUBSTITUTE(LEFT(RIGHT(E71,LEN(E71)-MIN(SEARCH({1,2,3,4,5,6,7,8,9,0},E71&amp;"1234567890"))+1),10),".","/"))=TRUE,AJ71-(SUBSTITUTE(LEFT(RIGHT(E71,LEN(E71)-MIN(SEARCH({1,2,3,4,5,6,7,8,9,0},E71&amp;"1234567890"))+1),10),".","/")),IF((SUBSTITUTE(LEFT(RIGHT(E71,LEN(E71)-MIN(SEARCH({1,2,3,4,5,6,7,8,9,0},E71&amp;"1234567890"))+1),10),".","/"))="","",(AJ71)-(MID(RIGHT((SUBSTITUTE(LEFT(RIGHT(E71,LEN(E71)-MIN(SEARCH({1,2,3,4,5,6,7,8,9,0},E71&amp;"1234567890"))+1),10),".","/")),10),4,2)&amp;"/"&amp;LEFT((RIGHT((SUBSTITUTE(LEFT(RIGHT(E71,LEN(E71)-MIN(SEARCH({1,2,3,4,5,6,7,8,9,0},E71&amp;"1234567890"))+1),10),".","/")),10)),2)&amp;"/"&amp;RIGHT((SUBSTITUTE(LEFT(RIGHT(E71,LEN(E71)-MIN(SEARCH({1,2,3,4,5,6,7,8,9,0},E71&amp;"1234567890"))+1),10),".","/")),4))))),(AJ71-A71))</f>
        <v>675</v>
      </c>
      <c r="C71" s="334"/>
      <c r="D71" s="294" t="str">
        <f t="shared" si="9"/>
        <v>FGCKW2-J3/2B-000X590</v>
      </c>
      <c r="E71" s="294" t="s">
        <v>4868</v>
      </c>
      <c r="F71" s="294" t="s">
        <v>4869</v>
      </c>
      <c r="G71" s="294" t="s">
        <v>4870</v>
      </c>
      <c r="H71" s="294" t="s">
        <v>29</v>
      </c>
      <c r="I71" s="337" t="s">
        <v>116</v>
      </c>
      <c r="J71" s="149">
        <v>0.73</v>
      </c>
      <c r="K71" s="149">
        <v>0.35</v>
      </c>
      <c r="L71" s="149">
        <v>0.35</v>
      </c>
      <c r="M71" s="149">
        <v>0.35</v>
      </c>
      <c r="N71" s="335">
        <v>590</v>
      </c>
      <c r="O71" s="296">
        <v>0.20499999999999999</v>
      </c>
      <c r="P71" s="345"/>
      <c r="Q71" s="138">
        <v>590</v>
      </c>
      <c r="R71" s="138"/>
      <c r="S71" s="339"/>
      <c r="T71" s="299"/>
      <c r="U71" s="282" t="s">
        <v>3497</v>
      </c>
      <c r="V71" s="282" t="s">
        <v>4871</v>
      </c>
      <c r="W71" s="282" t="s">
        <v>116</v>
      </c>
      <c r="X71" s="340" t="s">
        <v>4872</v>
      </c>
      <c r="Y71" s="340" t="s">
        <v>4873</v>
      </c>
      <c r="Z71" s="340">
        <v>44144</v>
      </c>
      <c r="AA71" s="340">
        <v>44227</v>
      </c>
      <c r="AB71" s="340"/>
      <c r="AC71" s="341"/>
      <c r="AD71" s="342" t="s">
        <v>64</v>
      </c>
      <c r="AE71" s="342" t="s">
        <v>261</v>
      </c>
      <c r="AF71" s="284" t="s">
        <v>3800</v>
      </c>
      <c r="AG71" s="284">
        <v>44104</v>
      </c>
      <c r="AH71" s="284">
        <v>44131</v>
      </c>
      <c r="AI71" s="284"/>
      <c r="AJ71" s="334">
        <f t="shared" ca="1" si="5"/>
        <v>44963</v>
      </c>
      <c r="AK71" s="342">
        <f t="shared" ca="1" si="6"/>
        <v>832</v>
      </c>
      <c r="AL71" s="342">
        <f t="shared" ca="1" si="7"/>
        <v>819</v>
      </c>
      <c r="AM71" s="284" t="s">
        <v>4874</v>
      </c>
      <c r="AN71" s="284" t="s">
        <v>4875</v>
      </c>
      <c r="AO71" s="343">
        <v>8.15</v>
      </c>
      <c r="AP71" s="343">
        <v>8.18</v>
      </c>
      <c r="AQ71" s="343">
        <v>8.2049999999999983</v>
      </c>
      <c r="AR71" s="343">
        <v>8.2099999999999991</v>
      </c>
      <c r="AS71" s="331">
        <f t="shared" ca="1" si="8"/>
        <v>765</v>
      </c>
      <c r="AV71" s="331" t="s">
        <v>136</v>
      </c>
      <c r="BL71" s="331" t="s">
        <v>4876</v>
      </c>
    </row>
    <row r="72" spans="1:64" s="331" customFormat="1" ht="18" hidden="1" customHeight="1" x14ac:dyDescent="0.35">
      <c r="A72" s="334">
        <v>44525</v>
      </c>
      <c r="B72" s="335">
        <f ca="1">IF(A72="",(IF(ISNUMBER(SUBSTITUTE(LEFT(RIGHT(E72,LEN(E72)-MIN(SEARCH({1,2,3,4,5,6,7,8,9,0},E72&amp;"1234567890"))+1),10),".","/"))=TRUE,AJ72-(SUBSTITUTE(LEFT(RIGHT(E72,LEN(E72)-MIN(SEARCH({1,2,3,4,5,6,7,8,9,0},E72&amp;"1234567890"))+1),10),".","/")),IF((SUBSTITUTE(LEFT(RIGHT(E72,LEN(E72)-MIN(SEARCH({1,2,3,4,5,6,7,8,9,0},E72&amp;"1234567890"))+1),10),".","/"))="","",(AJ72)-(MID(RIGHT((SUBSTITUTE(LEFT(RIGHT(E72,LEN(E72)-MIN(SEARCH({1,2,3,4,5,6,7,8,9,0},E72&amp;"1234567890"))+1),10),".","/")),10),4,2)&amp;"/"&amp;LEFT((RIGHT((SUBSTITUTE(LEFT(RIGHT(E72,LEN(E72)-MIN(SEARCH({1,2,3,4,5,6,7,8,9,0},E72&amp;"1234567890"))+1),10),".","/")),10)),2)&amp;"/"&amp;RIGHT((SUBSTITUTE(LEFT(RIGHT(E72,LEN(E72)-MIN(SEARCH({1,2,3,4,5,6,7,8,9,0},E72&amp;"1234567890"))+1),10),".","/")),4))))),(AJ72-A72))</f>
        <v>438</v>
      </c>
      <c r="C72" s="334"/>
      <c r="D72" s="294" t="str">
        <f t="shared" si="9"/>
        <v>FGCKW2-304/2B-001X770</v>
      </c>
      <c r="E72" s="294" t="s">
        <v>4877</v>
      </c>
      <c r="F72" s="294" t="s">
        <v>4878</v>
      </c>
      <c r="G72" s="294" t="s">
        <v>4879</v>
      </c>
      <c r="H72" s="294">
        <v>304</v>
      </c>
      <c r="I72" s="337" t="s">
        <v>116</v>
      </c>
      <c r="J72" s="149">
        <v>1.9</v>
      </c>
      <c r="K72" s="149">
        <v>0.98</v>
      </c>
      <c r="L72" s="149">
        <v>0.97</v>
      </c>
      <c r="M72" s="149">
        <v>0.98</v>
      </c>
      <c r="N72" s="335">
        <v>770</v>
      </c>
      <c r="O72" s="296">
        <v>0.44500000000000001</v>
      </c>
      <c r="P72" s="345">
        <v>0.44600000000000001</v>
      </c>
      <c r="Q72" s="138">
        <v>770</v>
      </c>
      <c r="R72" s="138"/>
      <c r="S72" s="339"/>
      <c r="T72" s="299"/>
      <c r="U72" s="282" t="s">
        <v>3497</v>
      </c>
      <c r="V72" s="282" t="s">
        <v>284</v>
      </c>
      <c r="W72" s="282" t="s">
        <v>116</v>
      </c>
      <c r="X72" s="340" t="s">
        <v>4880</v>
      </c>
      <c r="Y72" s="340" t="s">
        <v>4880</v>
      </c>
      <c r="Z72" s="340" t="s">
        <v>4881</v>
      </c>
      <c r="AA72" s="340"/>
      <c r="AB72" s="340"/>
      <c r="AC72" s="341"/>
      <c r="AD72" s="342" t="s">
        <v>64</v>
      </c>
      <c r="AE72" s="342" t="s">
        <v>154</v>
      </c>
      <c r="AF72" s="284" t="s">
        <v>4269</v>
      </c>
      <c r="AG72" s="284"/>
      <c r="AH72" s="284">
        <v>44179</v>
      </c>
      <c r="AI72" s="284"/>
      <c r="AJ72" s="334">
        <f t="shared" ca="1" si="5"/>
        <v>44963</v>
      </c>
      <c r="AK72" s="342">
        <f t="shared" ca="1" si="6"/>
        <v>784</v>
      </c>
      <c r="AL72" s="342">
        <f t="shared" ca="1" si="7"/>
        <v>645</v>
      </c>
      <c r="AM72" s="284"/>
      <c r="AN72" s="284" t="s">
        <v>4882</v>
      </c>
      <c r="AO72" s="343">
        <v>9.69</v>
      </c>
      <c r="AP72" s="343">
        <v>9.6999999999999993</v>
      </c>
      <c r="AQ72" s="343">
        <v>9.7249999999999979</v>
      </c>
      <c r="AR72" s="343">
        <v>9.7299999999999986</v>
      </c>
      <c r="AS72" s="331">
        <f t="shared" ca="1" si="8"/>
        <v>675</v>
      </c>
      <c r="AV72" s="331" t="s">
        <v>136</v>
      </c>
      <c r="BL72" s="331" t="s">
        <v>137</v>
      </c>
    </row>
    <row r="73" spans="1:64" s="331" customFormat="1" ht="18" hidden="1" customHeight="1" x14ac:dyDescent="0.35">
      <c r="A73" s="334">
        <v>44300</v>
      </c>
      <c r="B73" s="335">
        <f ca="1">IF(A73="",(IF(ISNUMBER(SUBSTITUTE(LEFT(RIGHT(E73,LEN(E73)-MIN(SEARCH({1,2,3,4,5,6,7,8,9,0},E73&amp;"1234567890"))+1),10),".","/"))=TRUE,AJ73-(SUBSTITUTE(LEFT(RIGHT(E73,LEN(E73)-MIN(SEARCH({1,2,3,4,5,6,7,8,9,0},E73&amp;"1234567890"))+1),10),".","/")),IF((SUBSTITUTE(LEFT(RIGHT(E73,LEN(E73)-MIN(SEARCH({1,2,3,4,5,6,7,8,9,0},E73&amp;"1234567890"))+1),10),".","/"))="","",(AJ73)-(MID(RIGHT((SUBSTITUTE(LEFT(RIGHT(E73,LEN(E73)-MIN(SEARCH({1,2,3,4,5,6,7,8,9,0},E73&amp;"1234567890"))+1),10),".","/")),10),4,2)&amp;"/"&amp;LEFT((RIGHT((SUBSTITUTE(LEFT(RIGHT(E73,LEN(E73)-MIN(SEARCH({1,2,3,4,5,6,7,8,9,0},E73&amp;"1234567890"))+1),10),".","/")),10)),2)&amp;"/"&amp;RIGHT((SUBSTITUTE(LEFT(RIGHT(E73,LEN(E73)-MIN(SEARCH({1,2,3,4,5,6,7,8,9,0},E73&amp;"1234567890"))+1),10),".","/")),4))))),(AJ73-A73))</f>
        <v>663</v>
      </c>
      <c r="C73" s="334"/>
      <c r="D73" s="294" t="str">
        <f t="shared" si="9"/>
        <v>FGCKW2-J3/2B-001X595</v>
      </c>
      <c r="E73" s="294" t="s">
        <v>4883</v>
      </c>
      <c r="F73" s="294" t="s">
        <v>4884</v>
      </c>
      <c r="G73" s="294" t="s">
        <v>4885</v>
      </c>
      <c r="H73" s="294" t="s">
        <v>29</v>
      </c>
      <c r="I73" s="337" t="s">
        <v>116</v>
      </c>
      <c r="J73" s="149">
        <v>2.2000000000000002</v>
      </c>
      <c r="K73" s="149">
        <v>0.75</v>
      </c>
      <c r="L73" s="149">
        <v>0.75</v>
      </c>
      <c r="M73" s="149">
        <v>0.76</v>
      </c>
      <c r="N73" s="335">
        <v>595</v>
      </c>
      <c r="O73" s="296">
        <v>0.92</v>
      </c>
      <c r="P73" s="345">
        <v>0.92100000000000004</v>
      </c>
      <c r="Q73" s="138">
        <v>595</v>
      </c>
      <c r="R73" s="138"/>
      <c r="S73" s="339"/>
      <c r="T73" s="299"/>
      <c r="U73" s="282" t="s">
        <v>3497</v>
      </c>
      <c r="V73" s="282" t="s">
        <v>4886</v>
      </c>
      <c r="W73" s="282" t="s">
        <v>116</v>
      </c>
      <c r="X73" s="340">
        <v>44240</v>
      </c>
      <c r="Y73" s="340">
        <v>44241</v>
      </c>
      <c r="Z73" s="340"/>
      <c r="AA73" s="340"/>
      <c r="AB73" s="340"/>
      <c r="AC73" s="341"/>
      <c r="AD73" s="342" t="s">
        <v>64</v>
      </c>
      <c r="AE73" s="342" t="s">
        <v>261</v>
      </c>
      <c r="AF73" s="284" t="s">
        <v>298</v>
      </c>
      <c r="AG73" s="284">
        <v>44177</v>
      </c>
      <c r="AH73" s="284">
        <v>44212</v>
      </c>
      <c r="AI73" s="284"/>
      <c r="AJ73" s="334">
        <f t="shared" ca="1" si="5"/>
        <v>44963</v>
      </c>
      <c r="AK73" s="342">
        <f t="shared" ca="1" si="6"/>
        <v>751</v>
      </c>
      <c r="AL73" s="342" t="str">
        <f t="shared" si="7"/>
        <v/>
      </c>
      <c r="AM73" s="284" t="s">
        <v>4887</v>
      </c>
      <c r="AN73" s="284" t="s">
        <v>4888</v>
      </c>
      <c r="AO73" s="343">
        <v>8.1519999999999992</v>
      </c>
      <c r="AP73" s="343">
        <v>8.1919999999999984</v>
      </c>
      <c r="AQ73" s="343">
        <v>8.216999999999997</v>
      </c>
      <c r="AR73" s="343">
        <v>8.2219999999999978</v>
      </c>
      <c r="AS73" s="331">
        <f t="shared" ca="1" si="8"/>
        <v>722</v>
      </c>
      <c r="AV73" s="331" t="s">
        <v>136</v>
      </c>
      <c r="BL73" s="331" t="s">
        <v>3572</v>
      </c>
    </row>
    <row r="74" spans="1:64" s="331" customFormat="1" ht="18" hidden="1" customHeight="1" x14ac:dyDescent="0.35">
      <c r="A74" s="334">
        <v>44300</v>
      </c>
      <c r="B74" s="335">
        <f ca="1">IF(A74="",(IF(ISNUMBER(SUBSTITUTE(LEFT(RIGHT(E74,LEN(E74)-MIN(SEARCH({1,2,3,4,5,6,7,8,9,0},E74&amp;"1234567890"))+1),10),".","/"))=TRUE,AJ74-(SUBSTITUTE(LEFT(RIGHT(E74,LEN(E74)-MIN(SEARCH({1,2,3,4,5,6,7,8,9,0},E74&amp;"1234567890"))+1),10),".","/")),IF((SUBSTITUTE(LEFT(RIGHT(E74,LEN(E74)-MIN(SEARCH({1,2,3,4,5,6,7,8,9,0},E74&amp;"1234567890"))+1),10),".","/"))="","",(AJ74)-(MID(RIGHT((SUBSTITUTE(LEFT(RIGHT(E74,LEN(E74)-MIN(SEARCH({1,2,3,4,5,6,7,8,9,0},E74&amp;"1234567890"))+1),10),".","/")),10),4,2)&amp;"/"&amp;LEFT((RIGHT((SUBSTITUTE(LEFT(RIGHT(E74,LEN(E74)-MIN(SEARCH({1,2,3,4,5,6,7,8,9,0},E74&amp;"1234567890"))+1),10),".","/")),10)),2)&amp;"/"&amp;RIGHT((SUBSTITUTE(LEFT(RIGHT(E74,LEN(E74)-MIN(SEARCH({1,2,3,4,5,6,7,8,9,0},E74&amp;"1234567890"))+1),10),".","/")),4))))),(AJ74-A74))</f>
        <v>663</v>
      </c>
      <c r="C74" s="334"/>
      <c r="D74" s="294" t="str">
        <f t="shared" si="9"/>
        <v>FGCKW2-J3/2B-000X623</v>
      </c>
      <c r="E74" s="294" t="s">
        <v>4889</v>
      </c>
      <c r="F74" s="294" t="s">
        <v>4890</v>
      </c>
      <c r="G74" s="294" t="s">
        <v>4891</v>
      </c>
      <c r="H74" s="294" t="s">
        <v>29</v>
      </c>
      <c r="I74" s="337" t="s">
        <v>116</v>
      </c>
      <c r="J74" s="149">
        <v>0.62</v>
      </c>
      <c r="K74" s="149">
        <v>0.35</v>
      </c>
      <c r="L74" s="149">
        <v>0.35</v>
      </c>
      <c r="M74" s="149">
        <v>0.36</v>
      </c>
      <c r="N74" s="335">
        <v>623</v>
      </c>
      <c r="O74" s="296">
        <v>0.56499999999999995</v>
      </c>
      <c r="P74" s="345">
        <v>0.56599999999999995</v>
      </c>
      <c r="Q74" s="138">
        <v>623</v>
      </c>
      <c r="R74" s="138"/>
      <c r="S74" s="339"/>
      <c r="T74" s="299"/>
      <c r="U74" s="282" t="s">
        <v>3497</v>
      </c>
      <c r="V74" s="282" t="s">
        <v>579</v>
      </c>
      <c r="W74" s="282" t="s">
        <v>116</v>
      </c>
      <c r="X74" s="340" t="s">
        <v>4892</v>
      </c>
      <c r="Y74" s="340" t="s">
        <v>4892</v>
      </c>
      <c r="Z74" s="340" t="s">
        <v>4893</v>
      </c>
      <c r="AA74" s="340" t="s">
        <v>4894</v>
      </c>
      <c r="AB74" s="340"/>
      <c r="AC74" s="341"/>
      <c r="AD74" s="342" t="s">
        <v>64</v>
      </c>
      <c r="AE74" s="342" t="s">
        <v>203</v>
      </c>
      <c r="AF74" s="284" t="s">
        <v>4304</v>
      </c>
      <c r="AG74" s="284"/>
      <c r="AH74" s="284">
        <v>44082</v>
      </c>
      <c r="AI74" s="284"/>
      <c r="AJ74" s="334">
        <f t="shared" ca="1" si="5"/>
        <v>44963</v>
      </c>
      <c r="AK74" s="342">
        <f t="shared" ca="1" si="6"/>
        <v>881</v>
      </c>
      <c r="AL74" s="342">
        <f t="shared" ca="1" si="7"/>
        <v>848</v>
      </c>
      <c r="AM74" s="284"/>
      <c r="AN74" s="284" t="s">
        <v>4895</v>
      </c>
      <c r="AO74" s="343">
        <v>10.41</v>
      </c>
      <c r="AP74" s="343">
        <v>10.42</v>
      </c>
      <c r="AQ74" s="343">
        <v>10.444999999999999</v>
      </c>
      <c r="AR74" s="343">
        <v>10.45</v>
      </c>
      <c r="AS74" s="331">
        <f t="shared" ca="1" si="8"/>
        <v>878</v>
      </c>
      <c r="AV74" s="331" t="s">
        <v>136</v>
      </c>
      <c r="BL74" s="331" t="s">
        <v>3515</v>
      </c>
    </row>
    <row r="75" spans="1:64" s="331" customFormat="1" ht="18" hidden="1" customHeight="1" x14ac:dyDescent="0.35">
      <c r="A75" s="334">
        <v>44299</v>
      </c>
      <c r="B75" s="335">
        <f ca="1">IF(A75="",(IF(ISNUMBER(SUBSTITUTE(LEFT(RIGHT(E75,LEN(E75)-MIN(SEARCH({1,2,3,4,5,6,7,8,9,0},E75&amp;"1234567890"))+1),10),".","/"))=TRUE,AJ75-(SUBSTITUTE(LEFT(RIGHT(E75,LEN(E75)-MIN(SEARCH({1,2,3,4,5,6,7,8,9,0},E75&amp;"1234567890"))+1),10),".","/")),IF((SUBSTITUTE(LEFT(RIGHT(E75,LEN(E75)-MIN(SEARCH({1,2,3,4,5,6,7,8,9,0},E75&amp;"1234567890"))+1),10),".","/"))="","",(AJ75)-(MID(RIGHT((SUBSTITUTE(LEFT(RIGHT(E75,LEN(E75)-MIN(SEARCH({1,2,3,4,5,6,7,8,9,0},E75&amp;"1234567890"))+1),10),".","/")),10),4,2)&amp;"/"&amp;LEFT((RIGHT((SUBSTITUTE(LEFT(RIGHT(E75,LEN(E75)-MIN(SEARCH({1,2,3,4,5,6,7,8,9,0},E75&amp;"1234567890"))+1),10),".","/")),10)),2)&amp;"/"&amp;RIGHT((SUBSTITUTE(LEFT(RIGHT(E75,LEN(E75)-MIN(SEARCH({1,2,3,4,5,6,7,8,9,0},E75&amp;"1234567890"))+1),10),".","/")),4))))),(AJ75-A75))</f>
        <v>664</v>
      </c>
      <c r="C75" s="334"/>
      <c r="D75" s="294" t="str">
        <f t="shared" si="9"/>
        <v>FGCKW2-J3/2B-000X585</v>
      </c>
      <c r="E75" s="294" t="s">
        <v>4896</v>
      </c>
      <c r="F75" s="294" t="s">
        <v>4340</v>
      </c>
      <c r="G75" s="294" t="s">
        <v>4897</v>
      </c>
      <c r="H75" s="294" t="s">
        <v>29</v>
      </c>
      <c r="I75" s="337" t="s">
        <v>116</v>
      </c>
      <c r="J75" s="149">
        <v>0.7</v>
      </c>
      <c r="K75" s="149">
        <v>0.36</v>
      </c>
      <c r="L75" s="149">
        <v>0.36</v>
      </c>
      <c r="M75" s="149">
        <v>0.37</v>
      </c>
      <c r="N75" s="335">
        <v>585</v>
      </c>
      <c r="O75" s="296">
        <v>0.26</v>
      </c>
      <c r="P75" s="345">
        <v>0.26100000000000001</v>
      </c>
      <c r="Q75" s="138">
        <v>585</v>
      </c>
      <c r="R75" s="138"/>
      <c r="S75" s="339"/>
      <c r="T75" s="299"/>
      <c r="U75" s="282" t="s">
        <v>3497</v>
      </c>
      <c r="V75" s="282" t="s">
        <v>284</v>
      </c>
      <c r="W75" s="282" t="s">
        <v>116</v>
      </c>
      <c r="X75" s="340" t="s">
        <v>4343</v>
      </c>
      <c r="Y75" s="340" t="s">
        <v>4344</v>
      </c>
      <c r="Z75" s="340" t="s">
        <v>4345</v>
      </c>
      <c r="AA75" s="340">
        <v>44239</v>
      </c>
      <c r="AB75" s="340"/>
      <c r="AC75" s="341"/>
      <c r="AD75" s="342" t="s">
        <v>64</v>
      </c>
      <c r="AE75" s="342" t="s">
        <v>261</v>
      </c>
      <c r="AF75" s="284" t="s">
        <v>4310</v>
      </c>
      <c r="AG75" s="284">
        <v>44141</v>
      </c>
      <c r="AH75" s="284">
        <v>44181</v>
      </c>
      <c r="AI75" s="284"/>
      <c r="AJ75" s="334">
        <f t="shared" ca="1" si="5"/>
        <v>44963</v>
      </c>
      <c r="AK75" s="342">
        <f t="shared" ca="1" si="6"/>
        <v>782</v>
      </c>
      <c r="AL75" s="342" t="e">
        <f t="shared" ca="1" si="7"/>
        <v>#VALUE!</v>
      </c>
      <c r="AM75" s="284" t="s">
        <v>4346</v>
      </c>
      <c r="AN75" s="284" t="s">
        <v>4347</v>
      </c>
      <c r="AO75" s="343">
        <v>8.109</v>
      </c>
      <c r="AP75" s="343">
        <v>8.1389999999999993</v>
      </c>
      <c r="AQ75" s="343">
        <v>8.1639999999999979</v>
      </c>
      <c r="AR75" s="343">
        <v>8.1689999999999987</v>
      </c>
      <c r="AS75" s="331" t="e">
        <f t="shared" ca="1" si="8"/>
        <v>#VALUE!</v>
      </c>
      <c r="AV75" s="331" t="s">
        <v>136</v>
      </c>
      <c r="BL75" s="331" t="s">
        <v>4339</v>
      </c>
    </row>
    <row r="76" spans="1:64" s="331" customFormat="1" ht="18" hidden="1" customHeight="1" x14ac:dyDescent="0.35">
      <c r="A76" s="334">
        <v>44300</v>
      </c>
      <c r="B76" s="335">
        <f ca="1">IF(A76="",(IF(ISNUMBER(SUBSTITUTE(LEFT(RIGHT(E76,LEN(E76)-MIN(SEARCH({1,2,3,4,5,6,7,8,9,0},E76&amp;"1234567890"))+1),10),".","/"))=TRUE,AJ76-(SUBSTITUTE(LEFT(RIGHT(E76,LEN(E76)-MIN(SEARCH({1,2,3,4,5,6,7,8,9,0},E76&amp;"1234567890"))+1),10),".","/")),IF((SUBSTITUTE(LEFT(RIGHT(E76,LEN(E76)-MIN(SEARCH({1,2,3,4,5,6,7,8,9,0},E76&amp;"1234567890"))+1),10),".","/"))="","",(AJ76)-(MID(RIGHT((SUBSTITUTE(LEFT(RIGHT(E76,LEN(E76)-MIN(SEARCH({1,2,3,4,5,6,7,8,9,0},E76&amp;"1234567890"))+1),10),".","/")),10),4,2)&amp;"/"&amp;LEFT((RIGHT((SUBSTITUTE(LEFT(RIGHT(E76,LEN(E76)-MIN(SEARCH({1,2,3,4,5,6,7,8,9,0},E76&amp;"1234567890"))+1),10),".","/")),10)),2)&amp;"/"&amp;RIGHT((SUBSTITUTE(LEFT(RIGHT(E76,LEN(E76)-MIN(SEARCH({1,2,3,4,5,6,7,8,9,0},E76&amp;"1234567890"))+1),10),".","/")),4))))),(AJ76-A76))</f>
        <v>663</v>
      </c>
      <c r="C76" s="334"/>
      <c r="D76" s="294" t="str">
        <f t="shared" si="9"/>
        <v>FGCKW2-J3/2B-000X585</v>
      </c>
      <c r="E76" s="294" t="s">
        <v>4898</v>
      </c>
      <c r="F76" s="294" t="s">
        <v>4899</v>
      </c>
      <c r="G76" s="294" t="s">
        <v>4900</v>
      </c>
      <c r="H76" s="294" t="s">
        <v>29</v>
      </c>
      <c r="I76" s="337" t="s">
        <v>116</v>
      </c>
      <c r="J76" s="149">
        <v>0.7</v>
      </c>
      <c r="K76" s="149">
        <v>0.35</v>
      </c>
      <c r="L76" s="149">
        <v>0.35</v>
      </c>
      <c r="M76" s="149">
        <v>0.36</v>
      </c>
      <c r="N76" s="335">
        <v>585</v>
      </c>
      <c r="O76" s="296">
        <v>0.60499999999999998</v>
      </c>
      <c r="P76" s="345">
        <v>0.60599999999999998</v>
      </c>
      <c r="Q76" s="138">
        <v>585</v>
      </c>
      <c r="R76" s="138"/>
      <c r="S76" s="339"/>
      <c r="T76" s="299"/>
      <c r="U76" s="282" t="s">
        <v>3497</v>
      </c>
      <c r="V76" s="282"/>
      <c r="W76" s="282" t="s">
        <v>116</v>
      </c>
      <c r="X76" s="340" t="s">
        <v>4901</v>
      </c>
      <c r="Y76" s="340" t="s">
        <v>4902</v>
      </c>
      <c r="Z76" s="340" t="s">
        <v>4903</v>
      </c>
      <c r="AA76" s="340">
        <v>44245</v>
      </c>
      <c r="AB76" s="340"/>
      <c r="AC76" s="341"/>
      <c r="AD76" s="342" t="s">
        <v>64</v>
      </c>
      <c r="AE76" s="342" t="s">
        <v>261</v>
      </c>
      <c r="AF76" s="284" t="s">
        <v>4327</v>
      </c>
      <c r="AG76" s="284">
        <v>44177</v>
      </c>
      <c r="AH76" s="284">
        <v>44214</v>
      </c>
      <c r="AI76" s="284"/>
      <c r="AJ76" s="334">
        <f t="shared" ca="1" si="5"/>
        <v>44963</v>
      </c>
      <c r="AK76" s="342">
        <f t="shared" ca="1" si="6"/>
        <v>749</v>
      </c>
      <c r="AL76" s="342" t="e">
        <f t="shared" ca="1" si="7"/>
        <v>#VALUE!</v>
      </c>
      <c r="AM76" s="284" t="s">
        <v>4904</v>
      </c>
      <c r="AN76" s="284" t="s">
        <v>4329</v>
      </c>
      <c r="AO76" s="343">
        <v>8.15</v>
      </c>
      <c r="AP76" s="343">
        <v>8.19</v>
      </c>
      <c r="AQ76" s="343">
        <v>8.2149999999999981</v>
      </c>
      <c r="AR76" s="343">
        <v>8.2199999999999989</v>
      </c>
      <c r="AS76" s="331" t="e">
        <f t="shared" ca="1" si="8"/>
        <v>#VALUE!</v>
      </c>
      <c r="AV76" s="331" t="s">
        <v>136</v>
      </c>
      <c r="BL76" s="331" t="s">
        <v>3515</v>
      </c>
    </row>
    <row r="77" spans="1:64" s="331" customFormat="1" ht="18" hidden="1" customHeight="1" x14ac:dyDescent="0.35">
      <c r="A77" s="334">
        <v>44300</v>
      </c>
      <c r="B77" s="335">
        <f ca="1">IF(A77="",(IF(ISNUMBER(SUBSTITUTE(LEFT(RIGHT(E77,LEN(E77)-MIN(SEARCH({1,2,3,4,5,6,7,8,9,0},E77&amp;"1234567890"))+1),10),".","/"))=TRUE,AJ77-(SUBSTITUTE(LEFT(RIGHT(E77,LEN(E77)-MIN(SEARCH({1,2,3,4,5,6,7,8,9,0},E77&amp;"1234567890"))+1),10),".","/")),IF((SUBSTITUTE(LEFT(RIGHT(E77,LEN(E77)-MIN(SEARCH({1,2,3,4,5,6,7,8,9,0},E77&amp;"1234567890"))+1),10),".","/"))="","",(AJ77)-(MID(RIGHT((SUBSTITUTE(LEFT(RIGHT(E77,LEN(E77)-MIN(SEARCH({1,2,3,4,5,6,7,8,9,0},E77&amp;"1234567890"))+1),10),".","/")),10),4,2)&amp;"/"&amp;LEFT((RIGHT((SUBSTITUTE(LEFT(RIGHT(E77,LEN(E77)-MIN(SEARCH({1,2,3,4,5,6,7,8,9,0},E77&amp;"1234567890"))+1),10),".","/")),10)),2)&amp;"/"&amp;RIGHT((SUBSTITUTE(LEFT(RIGHT(E77,LEN(E77)-MIN(SEARCH({1,2,3,4,5,6,7,8,9,0},E77&amp;"1234567890"))+1),10),".","/")),4))))),(AJ77-A77))</f>
        <v>663</v>
      </c>
      <c r="C77" s="334"/>
      <c r="D77" s="294" t="str">
        <f t="shared" si="9"/>
        <v>FGCKW2-J3/2B-000X590</v>
      </c>
      <c r="E77" s="294" t="s">
        <v>4905</v>
      </c>
      <c r="F77" s="294" t="s">
        <v>4906</v>
      </c>
      <c r="G77" s="294" t="s">
        <v>4907</v>
      </c>
      <c r="H77" s="294" t="s">
        <v>29</v>
      </c>
      <c r="I77" s="337" t="s">
        <v>116</v>
      </c>
      <c r="J77" s="149">
        <v>0.73</v>
      </c>
      <c r="K77" s="149">
        <v>0.35</v>
      </c>
      <c r="L77" s="149">
        <v>0.34</v>
      </c>
      <c r="M77" s="149">
        <v>0.35</v>
      </c>
      <c r="N77" s="335">
        <v>590</v>
      </c>
      <c r="O77" s="296">
        <v>0.78</v>
      </c>
      <c r="P77" s="345">
        <v>0.78100000000000003</v>
      </c>
      <c r="Q77" s="138">
        <v>590</v>
      </c>
      <c r="R77" s="138"/>
      <c r="S77" s="339"/>
      <c r="T77" s="299"/>
      <c r="U77" s="282" t="s">
        <v>3497</v>
      </c>
      <c r="V77" s="282" t="s">
        <v>446</v>
      </c>
      <c r="W77" s="282" t="s">
        <v>116</v>
      </c>
      <c r="X77" s="340" t="s">
        <v>4908</v>
      </c>
      <c r="Y77" s="340" t="s">
        <v>4909</v>
      </c>
      <c r="Z77" s="340" t="s">
        <v>4910</v>
      </c>
      <c r="AA77" s="340">
        <v>44227</v>
      </c>
      <c r="AB77" s="340"/>
      <c r="AC77" s="341"/>
      <c r="AD77" s="342" t="s">
        <v>64</v>
      </c>
      <c r="AE77" s="342" t="s">
        <v>261</v>
      </c>
      <c r="AF77" s="284" t="s">
        <v>4911</v>
      </c>
      <c r="AG77" s="284">
        <v>44130</v>
      </c>
      <c r="AH77" s="284">
        <v>44175</v>
      </c>
      <c r="AI77" s="284"/>
      <c r="AJ77" s="334">
        <f t="shared" ca="1" si="5"/>
        <v>44963</v>
      </c>
      <c r="AK77" s="342">
        <f t="shared" ca="1" si="6"/>
        <v>788</v>
      </c>
      <c r="AL77" s="342">
        <f t="shared" ca="1" si="7"/>
        <v>584</v>
      </c>
      <c r="AM77" s="284" t="s">
        <v>4912</v>
      </c>
      <c r="AN77" s="284" t="s">
        <v>4913</v>
      </c>
      <c r="AO77" s="343">
        <v>8.1129999999999995</v>
      </c>
      <c r="AP77" s="343">
        <v>8.1429999999999989</v>
      </c>
      <c r="AQ77" s="343">
        <v>8.1679999999999975</v>
      </c>
      <c r="AR77" s="343">
        <v>8.1729999999999983</v>
      </c>
      <c r="AS77" s="331">
        <f t="shared" ca="1" si="8"/>
        <v>614</v>
      </c>
      <c r="AV77" s="331" t="s">
        <v>136</v>
      </c>
      <c r="BL77" s="331" t="s">
        <v>4339</v>
      </c>
    </row>
    <row r="78" spans="1:64" s="331" customFormat="1" ht="18" hidden="1" customHeight="1" x14ac:dyDescent="0.35">
      <c r="A78" s="334">
        <v>44299</v>
      </c>
      <c r="B78" s="335">
        <f ca="1">IF(A78="",(IF(ISNUMBER(SUBSTITUTE(LEFT(RIGHT(E78,LEN(E78)-MIN(SEARCH({1,2,3,4,5,6,7,8,9,0},E78&amp;"1234567890"))+1),10),".","/"))=TRUE,AJ78-(SUBSTITUTE(LEFT(RIGHT(E78,LEN(E78)-MIN(SEARCH({1,2,3,4,5,6,7,8,9,0},E78&amp;"1234567890"))+1),10),".","/")),IF((SUBSTITUTE(LEFT(RIGHT(E78,LEN(E78)-MIN(SEARCH({1,2,3,4,5,6,7,8,9,0},E78&amp;"1234567890"))+1),10),".","/"))="","",(AJ78)-(MID(RIGHT((SUBSTITUTE(LEFT(RIGHT(E78,LEN(E78)-MIN(SEARCH({1,2,3,4,5,6,7,8,9,0},E78&amp;"1234567890"))+1),10),".","/")),10),4,2)&amp;"/"&amp;LEFT((RIGHT((SUBSTITUTE(LEFT(RIGHT(E78,LEN(E78)-MIN(SEARCH({1,2,3,4,5,6,7,8,9,0},E78&amp;"1234567890"))+1),10),".","/")),10)),2)&amp;"/"&amp;RIGHT((SUBSTITUTE(LEFT(RIGHT(E78,LEN(E78)-MIN(SEARCH({1,2,3,4,5,6,7,8,9,0},E78&amp;"1234567890"))+1),10),".","/")),4))))),(AJ78-A78))</f>
        <v>664</v>
      </c>
      <c r="C78" s="334"/>
      <c r="D78" s="294" t="str">
        <f t="shared" si="9"/>
        <v>FGCKW2-J3/2B-000X585</v>
      </c>
      <c r="E78" s="294" t="s">
        <v>4914</v>
      </c>
      <c r="F78" s="294" t="s">
        <v>4915</v>
      </c>
      <c r="G78" s="294" t="s">
        <v>4916</v>
      </c>
      <c r="H78" s="294" t="s">
        <v>29</v>
      </c>
      <c r="I78" s="337" t="s">
        <v>116</v>
      </c>
      <c r="J78" s="149">
        <v>0.7</v>
      </c>
      <c r="K78" s="149">
        <v>0.35</v>
      </c>
      <c r="L78" s="149">
        <v>0.35</v>
      </c>
      <c r="M78" s="149">
        <v>0.36</v>
      </c>
      <c r="N78" s="335">
        <v>585</v>
      </c>
      <c r="O78" s="296">
        <v>0.35</v>
      </c>
      <c r="P78" s="345">
        <v>0.35099999999999998</v>
      </c>
      <c r="Q78" s="138">
        <v>585</v>
      </c>
      <c r="R78" s="138"/>
      <c r="S78" s="339"/>
      <c r="T78" s="299"/>
      <c r="U78" s="282" t="s">
        <v>3497</v>
      </c>
      <c r="V78" s="282"/>
      <c r="W78" s="282" t="s">
        <v>116</v>
      </c>
      <c r="X78" s="340" t="s">
        <v>4917</v>
      </c>
      <c r="Y78" s="340" t="s">
        <v>4917</v>
      </c>
      <c r="Z78" s="340" t="s">
        <v>4901</v>
      </c>
      <c r="AA78" s="340">
        <v>44243</v>
      </c>
      <c r="AB78" s="340"/>
      <c r="AC78" s="341"/>
      <c r="AD78" s="342" t="s">
        <v>64</v>
      </c>
      <c r="AE78" s="342" t="s">
        <v>261</v>
      </c>
      <c r="AF78" s="284" t="s">
        <v>4327</v>
      </c>
      <c r="AG78" s="284">
        <v>44177</v>
      </c>
      <c r="AH78" s="284">
        <v>44214</v>
      </c>
      <c r="AI78" s="284"/>
      <c r="AJ78" s="334">
        <f t="shared" ca="1" si="5"/>
        <v>44963</v>
      </c>
      <c r="AK78" s="342">
        <f t="shared" ca="1" si="6"/>
        <v>749</v>
      </c>
      <c r="AL78" s="342" t="e">
        <f t="shared" ca="1" si="7"/>
        <v>#VALUE!</v>
      </c>
      <c r="AM78" s="284" t="s">
        <v>4904</v>
      </c>
      <c r="AN78" s="284" t="s">
        <v>3807</v>
      </c>
      <c r="AO78" s="343">
        <v>8.2059999999999995</v>
      </c>
      <c r="AP78" s="343">
        <v>8.2459999999999987</v>
      </c>
      <c r="AQ78" s="343">
        <v>8.2709999999999972</v>
      </c>
      <c r="AR78" s="343">
        <v>8.275999999999998</v>
      </c>
      <c r="AS78" s="331" t="e">
        <f t="shared" ca="1" si="8"/>
        <v>#VALUE!</v>
      </c>
      <c r="AV78" s="331" t="s">
        <v>136</v>
      </c>
      <c r="BL78" s="331" t="s">
        <v>4876</v>
      </c>
    </row>
    <row r="79" spans="1:64" s="331" customFormat="1" ht="18" hidden="1" customHeight="1" x14ac:dyDescent="0.35">
      <c r="A79" s="334">
        <v>44299</v>
      </c>
      <c r="B79" s="335">
        <f ca="1">IF(A79="",(IF(ISNUMBER(SUBSTITUTE(LEFT(RIGHT(E79,LEN(E79)-MIN(SEARCH({1,2,3,4,5,6,7,8,9,0},E79&amp;"1234567890"))+1),10),".","/"))=TRUE,AJ79-(SUBSTITUTE(LEFT(RIGHT(E79,LEN(E79)-MIN(SEARCH({1,2,3,4,5,6,7,8,9,0},E79&amp;"1234567890"))+1),10),".","/")),IF((SUBSTITUTE(LEFT(RIGHT(E79,LEN(E79)-MIN(SEARCH({1,2,3,4,5,6,7,8,9,0},E79&amp;"1234567890"))+1),10),".","/"))="","",(AJ79)-(MID(RIGHT((SUBSTITUTE(LEFT(RIGHT(E79,LEN(E79)-MIN(SEARCH({1,2,3,4,5,6,7,8,9,0},E79&amp;"1234567890"))+1),10),".","/")),10),4,2)&amp;"/"&amp;LEFT((RIGHT((SUBSTITUTE(LEFT(RIGHT(E79,LEN(E79)-MIN(SEARCH({1,2,3,4,5,6,7,8,9,0},E79&amp;"1234567890"))+1),10),".","/")),10)),2)&amp;"/"&amp;RIGHT((SUBSTITUTE(LEFT(RIGHT(E79,LEN(E79)-MIN(SEARCH({1,2,3,4,5,6,7,8,9,0},E79&amp;"1234567890"))+1),10),".","/")),4))))),(AJ79-A79))</f>
        <v>664</v>
      </c>
      <c r="C79" s="334"/>
      <c r="D79" s="294" t="str">
        <f t="shared" si="9"/>
        <v>FGCKW2-J3/2B-000X585</v>
      </c>
      <c r="E79" s="294" t="s">
        <v>4918</v>
      </c>
      <c r="F79" s="294" t="s">
        <v>4919</v>
      </c>
      <c r="G79" s="294" t="s">
        <v>4920</v>
      </c>
      <c r="H79" s="294" t="s">
        <v>29</v>
      </c>
      <c r="I79" s="337" t="s">
        <v>116</v>
      </c>
      <c r="J79" s="149">
        <v>0.7</v>
      </c>
      <c r="K79" s="149">
        <v>0.35</v>
      </c>
      <c r="L79" s="149">
        <v>0.35</v>
      </c>
      <c r="M79" s="149">
        <v>0.36</v>
      </c>
      <c r="N79" s="335">
        <v>585</v>
      </c>
      <c r="O79" s="296">
        <v>0.82499999999999996</v>
      </c>
      <c r="P79" s="345">
        <v>0.82599999999999996</v>
      </c>
      <c r="Q79" s="138">
        <v>585</v>
      </c>
      <c r="R79" s="138"/>
      <c r="S79" s="339"/>
      <c r="T79" s="299"/>
      <c r="U79" s="282" t="s">
        <v>3497</v>
      </c>
      <c r="V79" s="282"/>
      <c r="W79" s="282" t="s">
        <v>116</v>
      </c>
      <c r="X79" s="340" t="s">
        <v>4901</v>
      </c>
      <c r="Y79" s="340" t="s">
        <v>4921</v>
      </c>
      <c r="Z79" s="340" t="s">
        <v>4922</v>
      </c>
      <c r="AA79" s="340">
        <v>44245</v>
      </c>
      <c r="AB79" s="340"/>
      <c r="AC79" s="341"/>
      <c r="AD79" s="342" t="s">
        <v>64</v>
      </c>
      <c r="AE79" s="342" t="s">
        <v>261</v>
      </c>
      <c r="AF79" s="284" t="s">
        <v>4327</v>
      </c>
      <c r="AG79" s="284">
        <v>44177</v>
      </c>
      <c r="AH79" s="284">
        <v>44214</v>
      </c>
      <c r="AI79" s="284"/>
      <c r="AJ79" s="334">
        <f t="shared" ca="1" si="5"/>
        <v>44963</v>
      </c>
      <c r="AK79" s="342">
        <f t="shared" ca="1" si="6"/>
        <v>749</v>
      </c>
      <c r="AL79" s="342" t="e">
        <f t="shared" ca="1" si="7"/>
        <v>#VALUE!</v>
      </c>
      <c r="AM79" s="284" t="s">
        <v>4923</v>
      </c>
      <c r="AN79" s="284" t="s">
        <v>4924</v>
      </c>
      <c r="AO79" s="343">
        <v>8.1519999999999992</v>
      </c>
      <c r="AP79" s="343">
        <v>8.1919999999999984</v>
      </c>
      <c r="AQ79" s="343">
        <v>8.216999999999997</v>
      </c>
      <c r="AR79" s="343">
        <v>8.2219999999999978</v>
      </c>
      <c r="AS79" s="331" t="e">
        <f t="shared" ca="1" si="8"/>
        <v>#VALUE!</v>
      </c>
      <c r="AV79" s="331" t="s">
        <v>136</v>
      </c>
      <c r="BL79" s="331" t="s">
        <v>3515</v>
      </c>
    </row>
    <row r="80" spans="1:64" s="331" customFormat="1" ht="18" hidden="1" customHeight="1" x14ac:dyDescent="0.35">
      <c r="A80" s="334">
        <v>44298</v>
      </c>
      <c r="B80" s="335">
        <f ca="1">IF(A80="",(IF(ISNUMBER(SUBSTITUTE(LEFT(RIGHT(E80,LEN(E80)-MIN(SEARCH({1,2,3,4,5,6,7,8,9,0},E80&amp;"1234567890"))+1),10),".","/"))=TRUE,AJ80-(SUBSTITUTE(LEFT(RIGHT(E80,LEN(E80)-MIN(SEARCH({1,2,3,4,5,6,7,8,9,0},E80&amp;"1234567890"))+1),10),".","/")),IF((SUBSTITUTE(LEFT(RIGHT(E80,LEN(E80)-MIN(SEARCH({1,2,3,4,5,6,7,8,9,0},E80&amp;"1234567890"))+1),10),".","/"))="","",(AJ80)-(MID(RIGHT((SUBSTITUTE(LEFT(RIGHT(E80,LEN(E80)-MIN(SEARCH({1,2,3,4,5,6,7,8,9,0},E80&amp;"1234567890"))+1),10),".","/")),10),4,2)&amp;"/"&amp;LEFT((RIGHT((SUBSTITUTE(LEFT(RIGHT(E80,LEN(E80)-MIN(SEARCH({1,2,3,4,5,6,7,8,9,0},E80&amp;"1234567890"))+1),10),".","/")),10)),2)&amp;"/"&amp;RIGHT((SUBSTITUTE(LEFT(RIGHT(E80,LEN(E80)-MIN(SEARCH({1,2,3,4,5,6,7,8,9,0},E80&amp;"1234567890"))+1),10),".","/")),4))))),(AJ80-A80))</f>
        <v>665</v>
      </c>
      <c r="C80" s="334"/>
      <c r="D80" s="294" t="str">
        <f t="shared" si="9"/>
        <v>FGCKW2-J3/2B-000X585</v>
      </c>
      <c r="E80" s="294" t="s">
        <v>4925</v>
      </c>
      <c r="F80" s="294" t="s">
        <v>4926</v>
      </c>
      <c r="G80" s="294" t="s">
        <v>4927</v>
      </c>
      <c r="H80" s="294" t="s">
        <v>29</v>
      </c>
      <c r="I80" s="337" t="s">
        <v>116</v>
      </c>
      <c r="J80" s="149">
        <v>0.73</v>
      </c>
      <c r="K80" s="149">
        <v>0.4</v>
      </c>
      <c r="L80" s="149">
        <v>0.4</v>
      </c>
      <c r="M80" s="149">
        <v>0.42</v>
      </c>
      <c r="N80" s="335">
        <v>585</v>
      </c>
      <c r="O80" s="296">
        <v>0.42499999999999999</v>
      </c>
      <c r="P80" s="345">
        <v>0.42599999999999999</v>
      </c>
      <c r="Q80" s="138">
        <v>585</v>
      </c>
      <c r="R80" s="138"/>
      <c r="S80" s="339"/>
      <c r="T80" s="299"/>
      <c r="U80" s="282" t="s">
        <v>3497</v>
      </c>
      <c r="V80" s="282" t="s">
        <v>446</v>
      </c>
      <c r="W80" s="282" t="s">
        <v>116</v>
      </c>
      <c r="X80" s="340" t="s">
        <v>4928</v>
      </c>
      <c r="Y80" s="340" t="s">
        <v>4929</v>
      </c>
      <c r="Z80" s="340" t="s">
        <v>4930</v>
      </c>
      <c r="AA80" s="340">
        <v>44270</v>
      </c>
      <c r="AB80" s="340"/>
      <c r="AC80" s="341"/>
      <c r="AD80" s="342" t="s">
        <v>64</v>
      </c>
      <c r="AE80" s="342" t="s">
        <v>261</v>
      </c>
      <c r="AF80" s="284" t="s">
        <v>298</v>
      </c>
      <c r="AG80" s="284">
        <v>44177</v>
      </c>
      <c r="AH80" s="284">
        <v>44212</v>
      </c>
      <c r="AI80" s="284"/>
      <c r="AJ80" s="334">
        <f t="shared" ca="1" si="5"/>
        <v>44963</v>
      </c>
      <c r="AK80" s="342">
        <f t="shared" ca="1" si="6"/>
        <v>751</v>
      </c>
      <c r="AL80" s="342" t="e">
        <f t="shared" ca="1" si="7"/>
        <v>#VALUE!</v>
      </c>
      <c r="AM80" s="284" t="s">
        <v>4931</v>
      </c>
      <c r="AN80" s="284" t="s">
        <v>4932</v>
      </c>
      <c r="AO80" s="343">
        <v>8.24</v>
      </c>
      <c r="AP80" s="343">
        <v>8.2799999999999994</v>
      </c>
      <c r="AQ80" s="343">
        <v>8.3049999999999979</v>
      </c>
      <c r="AR80" s="343">
        <v>8.3099999999999987</v>
      </c>
      <c r="AS80" s="331" t="e">
        <f t="shared" ca="1" si="8"/>
        <v>#VALUE!</v>
      </c>
      <c r="AV80" s="331" t="s">
        <v>136</v>
      </c>
      <c r="BL80" s="331" t="s">
        <v>3515</v>
      </c>
    </row>
    <row r="81" spans="1:64" s="331" customFormat="1" ht="18" hidden="1" customHeight="1" x14ac:dyDescent="0.35">
      <c r="A81" s="334">
        <v>44298</v>
      </c>
      <c r="B81" s="335">
        <f ca="1">IF(A81="",(IF(ISNUMBER(SUBSTITUTE(LEFT(RIGHT(E81,LEN(E81)-MIN(SEARCH({1,2,3,4,5,6,7,8,9,0},E81&amp;"1234567890"))+1),10),".","/"))=TRUE,AJ81-(SUBSTITUTE(LEFT(RIGHT(E81,LEN(E81)-MIN(SEARCH({1,2,3,4,5,6,7,8,9,0},E81&amp;"1234567890"))+1),10),".","/")),IF((SUBSTITUTE(LEFT(RIGHT(E81,LEN(E81)-MIN(SEARCH({1,2,3,4,5,6,7,8,9,0},E81&amp;"1234567890"))+1),10),".","/"))="","",(AJ81)-(MID(RIGHT((SUBSTITUTE(LEFT(RIGHT(E81,LEN(E81)-MIN(SEARCH({1,2,3,4,5,6,7,8,9,0},E81&amp;"1234567890"))+1),10),".","/")),10),4,2)&amp;"/"&amp;LEFT((RIGHT((SUBSTITUTE(LEFT(RIGHT(E81,LEN(E81)-MIN(SEARCH({1,2,3,4,5,6,7,8,9,0},E81&amp;"1234567890"))+1),10),".","/")),10)),2)&amp;"/"&amp;RIGHT((SUBSTITUTE(LEFT(RIGHT(E81,LEN(E81)-MIN(SEARCH({1,2,3,4,5,6,7,8,9,0},E81&amp;"1234567890"))+1),10),".","/")),4))))),(AJ81-A81))</f>
        <v>665</v>
      </c>
      <c r="C81" s="334"/>
      <c r="D81" s="294" t="str">
        <f t="shared" si="9"/>
        <v>FGCKW2-J3/2B-000X585</v>
      </c>
      <c r="E81" s="294" t="s">
        <v>4933</v>
      </c>
      <c r="F81" s="294" t="s">
        <v>4934</v>
      </c>
      <c r="G81" s="294" t="s">
        <v>4935</v>
      </c>
      <c r="H81" s="294" t="s">
        <v>29</v>
      </c>
      <c r="I81" s="337" t="s">
        <v>116</v>
      </c>
      <c r="J81" s="149">
        <v>0.95</v>
      </c>
      <c r="K81" s="149">
        <v>0.44</v>
      </c>
      <c r="L81" s="149">
        <v>0.45</v>
      </c>
      <c r="M81" s="149">
        <v>0.46</v>
      </c>
      <c r="N81" s="335">
        <v>587</v>
      </c>
      <c r="O81" s="296">
        <v>0.21</v>
      </c>
      <c r="P81" s="345">
        <v>0.21099999999999999</v>
      </c>
      <c r="Q81" s="138">
        <v>585</v>
      </c>
      <c r="R81" s="138"/>
      <c r="S81" s="339"/>
      <c r="T81" s="299"/>
      <c r="U81" s="282" t="s">
        <v>3497</v>
      </c>
      <c r="V81" s="282"/>
      <c r="W81" s="282" t="s">
        <v>116</v>
      </c>
      <c r="X81" s="340" t="s">
        <v>4936</v>
      </c>
      <c r="Y81" s="340" t="s">
        <v>4937</v>
      </c>
      <c r="Z81" s="340" t="s">
        <v>4938</v>
      </c>
      <c r="AA81" s="340">
        <v>44227</v>
      </c>
      <c r="AB81" s="340"/>
      <c r="AC81" s="341"/>
      <c r="AD81" s="342" t="s">
        <v>64</v>
      </c>
      <c r="AE81" s="342" t="s">
        <v>261</v>
      </c>
      <c r="AF81" s="284" t="s">
        <v>4327</v>
      </c>
      <c r="AG81" s="284">
        <v>44177</v>
      </c>
      <c r="AH81" s="284">
        <v>44214</v>
      </c>
      <c r="AI81" s="284"/>
      <c r="AJ81" s="334">
        <f t="shared" ca="1" si="5"/>
        <v>44963</v>
      </c>
      <c r="AK81" s="342">
        <f t="shared" ca="1" si="6"/>
        <v>749</v>
      </c>
      <c r="AL81" s="342">
        <f t="shared" ca="1" si="7"/>
        <v>553</v>
      </c>
      <c r="AM81" s="284" t="s">
        <v>4939</v>
      </c>
      <c r="AN81" s="284" t="s">
        <v>4940</v>
      </c>
      <c r="AO81" s="343">
        <v>8.1539999999999999</v>
      </c>
      <c r="AP81" s="343">
        <v>8.1939999999999991</v>
      </c>
      <c r="AQ81" s="343">
        <v>8.2189999999999976</v>
      </c>
      <c r="AR81" s="343">
        <v>8.2239999999999984</v>
      </c>
      <c r="AS81" s="331">
        <f t="shared" ca="1" si="8"/>
        <v>553</v>
      </c>
      <c r="AV81" s="331" t="s">
        <v>136</v>
      </c>
      <c r="BL81" s="331" t="s">
        <v>3515</v>
      </c>
    </row>
    <row r="82" spans="1:64" s="331" customFormat="1" ht="18" hidden="1" customHeight="1" x14ac:dyDescent="0.35">
      <c r="A82" s="334">
        <v>44300</v>
      </c>
      <c r="B82" s="335">
        <f ca="1">IF(A82="",(IF(ISNUMBER(SUBSTITUTE(LEFT(RIGHT(E82,LEN(E82)-MIN(SEARCH({1,2,3,4,5,6,7,8,9,0},E82&amp;"1234567890"))+1),10),".","/"))=TRUE,AJ82-(SUBSTITUTE(LEFT(RIGHT(E82,LEN(E82)-MIN(SEARCH({1,2,3,4,5,6,7,8,9,0},E82&amp;"1234567890"))+1),10),".","/")),IF((SUBSTITUTE(LEFT(RIGHT(E82,LEN(E82)-MIN(SEARCH({1,2,3,4,5,6,7,8,9,0},E82&amp;"1234567890"))+1),10),".","/"))="","",(AJ82)-(MID(RIGHT((SUBSTITUTE(LEFT(RIGHT(E82,LEN(E82)-MIN(SEARCH({1,2,3,4,5,6,7,8,9,0},E82&amp;"1234567890"))+1),10),".","/")),10),4,2)&amp;"/"&amp;LEFT((RIGHT((SUBSTITUTE(LEFT(RIGHT(E82,LEN(E82)-MIN(SEARCH({1,2,3,4,5,6,7,8,9,0},E82&amp;"1234567890"))+1),10),".","/")),10)),2)&amp;"/"&amp;RIGHT((SUBSTITUTE(LEFT(RIGHT(E82,LEN(E82)-MIN(SEARCH({1,2,3,4,5,6,7,8,9,0},E82&amp;"1234567890"))+1),10),".","/")),4))))),(AJ82-A82))</f>
        <v>663</v>
      </c>
      <c r="C82" s="334"/>
      <c r="D82" s="294" t="str">
        <f t="shared" si="9"/>
        <v>FGCKW2-J1/2B-001X600</v>
      </c>
      <c r="E82" s="294" t="s">
        <v>4941</v>
      </c>
      <c r="F82" s="294" t="s">
        <v>4356</v>
      </c>
      <c r="G82" s="294" t="s">
        <v>4942</v>
      </c>
      <c r="H82" s="294" t="s">
        <v>27</v>
      </c>
      <c r="I82" s="337" t="s">
        <v>116</v>
      </c>
      <c r="J82" s="149">
        <v>1.1000000000000001</v>
      </c>
      <c r="K82" s="149">
        <v>0.56999999999999995</v>
      </c>
      <c r="L82" s="149">
        <v>0.56000000000000005</v>
      </c>
      <c r="M82" s="149">
        <v>0.56999999999999995</v>
      </c>
      <c r="N82" s="335">
        <v>600</v>
      </c>
      <c r="O82" s="296">
        <v>1.0049999999999999</v>
      </c>
      <c r="P82" s="345">
        <v>1.006</v>
      </c>
      <c r="Q82" s="138">
        <v>600</v>
      </c>
      <c r="R82" s="138"/>
      <c r="S82" s="339"/>
      <c r="T82" s="299"/>
      <c r="U82" s="282" t="s">
        <v>3497</v>
      </c>
      <c r="V82" s="282" t="s">
        <v>412</v>
      </c>
      <c r="W82" s="282" t="s">
        <v>116</v>
      </c>
      <c r="X82" s="340" t="s">
        <v>4358</v>
      </c>
      <c r="Y82" s="340" t="s">
        <v>4359</v>
      </c>
      <c r="Z82" s="340" t="s">
        <v>4360</v>
      </c>
      <c r="AA82" s="340">
        <v>44283</v>
      </c>
      <c r="AB82" s="340"/>
      <c r="AC82" s="341"/>
      <c r="AD82" s="342" t="s">
        <v>64</v>
      </c>
      <c r="AE82" s="342" t="s">
        <v>203</v>
      </c>
      <c r="AF82" s="284" t="s">
        <v>4361</v>
      </c>
      <c r="AG82" s="284"/>
      <c r="AH82" s="284">
        <v>44015</v>
      </c>
      <c r="AI82" s="284"/>
      <c r="AJ82" s="334">
        <f t="shared" ca="1" si="5"/>
        <v>44963</v>
      </c>
      <c r="AK82" s="342">
        <f t="shared" ca="1" si="6"/>
        <v>948</v>
      </c>
      <c r="AL82" s="342" t="e">
        <f t="shared" ca="1" si="7"/>
        <v>#VALUE!</v>
      </c>
      <c r="AM82" s="284"/>
      <c r="AN82" s="284" t="s">
        <v>4362</v>
      </c>
      <c r="AO82" s="343">
        <v>10.414999999999999</v>
      </c>
      <c r="AP82" s="343">
        <v>10.424999999999999</v>
      </c>
      <c r="AQ82" s="343">
        <v>10.449999999999998</v>
      </c>
      <c r="AR82" s="343">
        <v>10.454999999999998</v>
      </c>
      <c r="AS82" s="331" t="e">
        <f t="shared" ca="1" si="8"/>
        <v>#VALUE!</v>
      </c>
      <c r="AV82" s="331" t="s">
        <v>136</v>
      </c>
      <c r="BL82" s="331" t="s">
        <v>3572</v>
      </c>
    </row>
    <row r="83" spans="1:64" s="331" customFormat="1" ht="18" hidden="1" customHeight="1" x14ac:dyDescent="0.35">
      <c r="A83" s="334"/>
      <c r="B83" s="335">
        <f ca="1">IF(A83="",(IF(ISNUMBER(SUBSTITUTE(LEFT(RIGHT(E83,LEN(E83)-MIN(SEARCH({1,2,3,4,5,6,7,8,9,0},E83&amp;"1234567890"))+1),10),".","/"))=TRUE,AJ83-(SUBSTITUTE(LEFT(RIGHT(E83,LEN(E83)-MIN(SEARCH({1,2,3,4,5,6,7,8,9,0},E83&amp;"1234567890"))+1),10),".","/")),IF((SUBSTITUTE(LEFT(RIGHT(E83,LEN(E83)-MIN(SEARCH({1,2,3,4,5,6,7,8,9,0},E83&amp;"1234567890"))+1),10),".","/"))="","",(AJ83)-(MID(RIGHT((SUBSTITUTE(LEFT(RIGHT(E83,LEN(E83)-MIN(SEARCH({1,2,3,4,5,6,7,8,9,0},E83&amp;"1234567890"))+1),10),".","/")),10),4,2)&amp;"/"&amp;LEFT((RIGHT((SUBSTITUTE(LEFT(RIGHT(E83,LEN(E83)-MIN(SEARCH({1,2,3,4,5,6,7,8,9,0},E83&amp;"1234567890"))+1),10),".","/")),10)),2)&amp;"/"&amp;RIGHT((SUBSTITUTE(LEFT(RIGHT(E83,LEN(E83)-MIN(SEARCH({1,2,3,4,5,6,7,8,9,0},E83&amp;"1234567890"))+1),10),".","/")),4))))),(AJ83-A83))</f>
        <v>763</v>
      </c>
      <c r="C83" s="334"/>
      <c r="D83" s="294" t="str">
        <f t="shared" si="9"/>
        <v>FGCKW2-304/2B-002X770</v>
      </c>
      <c r="E83" s="294" t="s">
        <v>4943</v>
      </c>
      <c r="F83" s="294" t="s">
        <v>4944</v>
      </c>
      <c r="G83" s="294" t="s">
        <v>4945</v>
      </c>
      <c r="H83" s="294">
        <v>304</v>
      </c>
      <c r="I83" s="337" t="s">
        <v>116</v>
      </c>
      <c r="J83" s="149">
        <v>3.79</v>
      </c>
      <c r="K83" s="149">
        <v>1.5</v>
      </c>
      <c r="L83" s="149">
        <v>1.49</v>
      </c>
      <c r="M83" s="149">
        <v>1.51</v>
      </c>
      <c r="N83" s="335">
        <v>770</v>
      </c>
      <c r="O83" s="296">
        <v>0.52</v>
      </c>
      <c r="P83" s="345"/>
      <c r="Q83" s="138">
        <v>770</v>
      </c>
      <c r="R83" s="138"/>
      <c r="S83" s="339"/>
      <c r="T83" s="299"/>
      <c r="U83" s="282" t="s">
        <v>3497</v>
      </c>
      <c r="V83" s="282"/>
      <c r="W83" s="282" t="s">
        <v>116</v>
      </c>
      <c r="X83" s="340">
        <v>44286</v>
      </c>
      <c r="Y83" s="340">
        <v>44286</v>
      </c>
      <c r="Z83" s="340">
        <v>44286</v>
      </c>
      <c r="AA83" s="340"/>
      <c r="AB83" s="340"/>
      <c r="AC83" s="341"/>
      <c r="AD83" s="342" t="s">
        <v>64</v>
      </c>
      <c r="AE83" s="342" t="s">
        <v>154</v>
      </c>
      <c r="AF83" s="284" t="s">
        <v>394</v>
      </c>
      <c r="AG83" s="284"/>
      <c r="AH83" s="284">
        <v>44283</v>
      </c>
      <c r="AI83" s="284"/>
      <c r="AJ83" s="334">
        <f t="shared" ca="1" si="5"/>
        <v>44963</v>
      </c>
      <c r="AK83" s="342">
        <f t="shared" ca="1" si="6"/>
        <v>680</v>
      </c>
      <c r="AL83" s="342"/>
      <c r="AM83" s="284"/>
      <c r="AN83" s="284" t="s">
        <v>4946</v>
      </c>
      <c r="AO83" s="343">
        <v>10.545</v>
      </c>
      <c r="AP83" s="343">
        <v>10.565</v>
      </c>
      <c r="AQ83" s="343">
        <v>10.589999999999998</v>
      </c>
      <c r="AR83" s="343">
        <v>10.594999999999999</v>
      </c>
      <c r="AV83" s="331" t="s">
        <v>136</v>
      </c>
      <c r="AX83" s="331">
        <v>304</v>
      </c>
    </row>
    <row r="84" spans="1:64" s="331" customFormat="1" ht="18" hidden="1" customHeight="1" x14ac:dyDescent="0.35">
      <c r="A84" s="334"/>
      <c r="B84" s="335">
        <f ca="1">IF(A84="",(IF(ISNUMBER(SUBSTITUTE(LEFT(RIGHT(E84,LEN(E84)-MIN(SEARCH({1,2,3,4,5,6,7,8,9,0},E84&amp;"1234567890"))+1),10),".","/"))=TRUE,AJ84-(SUBSTITUTE(LEFT(RIGHT(E84,LEN(E84)-MIN(SEARCH({1,2,3,4,5,6,7,8,9,0},E84&amp;"1234567890"))+1),10),".","/")),IF((SUBSTITUTE(LEFT(RIGHT(E84,LEN(E84)-MIN(SEARCH({1,2,3,4,5,6,7,8,9,0},E84&amp;"1234567890"))+1),10),".","/"))="","",(AJ84)-(MID(RIGHT((SUBSTITUTE(LEFT(RIGHT(E84,LEN(E84)-MIN(SEARCH({1,2,3,4,5,6,7,8,9,0},E84&amp;"1234567890"))+1),10),".","/")),10),4,2)&amp;"/"&amp;LEFT((RIGHT((SUBSTITUTE(LEFT(RIGHT(E84,LEN(E84)-MIN(SEARCH({1,2,3,4,5,6,7,8,9,0},E84&amp;"1234567890"))+1),10),".","/")),10)),2)&amp;"/"&amp;RIGHT((SUBSTITUTE(LEFT(RIGHT(E84,LEN(E84)-MIN(SEARCH({1,2,3,4,5,6,7,8,9,0},E84&amp;"1234567890"))+1),10),".","/")),4))))),(AJ84-A84))</f>
        <v>763</v>
      </c>
      <c r="C84" s="334"/>
      <c r="D84" s="294" t="str">
        <f t="shared" si="9"/>
        <v>FGCKW2-304/304L/2B-002X760</v>
      </c>
      <c r="E84" s="294" t="s">
        <v>4947</v>
      </c>
      <c r="F84" s="294" t="s">
        <v>4948</v>
      </c>
      <c r="G84" s="294" t="s">
        <v>4949</v>
      </c>
      <c r="H84" s="294" t="s">
        <v>377</v>
      </c>
      <c r="I84" s="337" t="s">
        <v>116</v>
      </c>
      <c r="J84" s="149">
        <v>3.84</v>
      </c>
      <c r="K84" s="149">
        <v>1.5</v>
      </c>
      <c r="L84" s="149">
        <v>1.52</v>
      </c>
      <c r="M84" s="149">
        <v>1.54</v>
      </c>
      <c r="N84" s="335">
        <v>770</v>
      </c>
      <c r="O84" s="296">
        <v>0.315</v>
      </c>
      <c r="P84" s="345"/>
      <c r="Q84" s="138">
        <v>760</v>
      </c>
      <c r="R84" s="138"/>
      <c r="S84" s="339"/>
      <c r="T84" s="299"/>
      <c r="U84" s="282" t="s">
        <v>3497</v>
      </c>
      <c r="V84" s="282" t="s">
        <v>4950</v>
      </c>
      <c r="W84" s="282" t="s">
        <v>116</v>
      </c>
      <c r="X84" s="340">
        <v>44285</v>
      </c>
      <c r="Y84" s="340">
        <v>44285</v>
      </c>
      <c r="Z84" s="340">
        <v>44286</v>
      </c>
      <c r="AA84" s="340"/>
      <c r="AB84" s="340"/>
      <c r="AC84" s="341"/>
      <c r="AD84" s="342" t="s">
        <v>64</v>
      </c>
      <c r="AE84" s="342" t="s">
        <v>154</v>
      </c>
      <c r="AF84" s="284" t="s">
        <v>394</v>
      </c>
      <c r="AG84" s="284"/>
      <c r="AH84" s="284">
        <v>44283</v>
      </c>
      <c r="AI84" s="284"/>
      <c r="AJ84" s="334">
        <f t="shared" ca="1" si="5"/>
        <v>44963</v>
      </c>
      <c r="AK84" s="342">
        <f t="shared" ca="1" si="6"/>
        <v>680</v>
      </c>
      <c r="AL84" s="342"/>
      <c r="AM84" s="284"/>
      <c r="AN84" s="284" t="s">
        <v>4951</v>
      </c>
      <c r="AO84" s="343">
        <v>10.535</v>
      </c>
      <c r="AP84" s="343">
        <v>10.555</v>
      </c>
      <c r="AQ84" s="343">
        <v>10.579999999999998</v>
      </c>
      <c r="AR84" s="343">
        <v>10.584999999999999</v>
      </c>
      <c r="AV84" s="331" t="s">
        <v>136</v>
      </c>
      <c r="AX84" s="331" t="s">
        <v>377</v>
      </c>
    </row>
    <row r="85" spans="1:64" s="331" customFormat="1" ht="18" hidden="1" customHeight="1" x14ac:dyDescent="0.35">
      <c r="A85" s="377">
        <v>44300</v>
      </c>
      <c r="B85" s="335">
        <f ca="1">IF(A85="",(IF(ISNUMBER(SUBSTITUTE(LEFT(RIGHT(E85,LEN(E85)-MIN(SEARCH({1,2,3,4,5,6,7,8,9,0},E85&amp;"1234567890"))+1),10),".","/"))=TRUE,AJ85-(SUBSTITUTE(LEFT(RIGHT(E85,LEN(E85)-MIN(SEARCH({1,2,3,4,5,6,7,8,9,0},E85&amp;"1234567890"))+1),10),".","/")),IF((SUBSTITUTE(LEFT(RIGHT(E85,LEN(E85)-MIN(SEARCH({1,2,3,4,5,6,7,8,9,0},E85&amp;"1234567890"))+1),10),".","/"))="","",(AJ85)-(MID(RIGHT((SUBSTITUTE(LEFT(RIGHT(E85,LEN(E85)-MIN(SEARCH({1,2,3,4,5,6,7,8,9,0},E85&amp;"1234567890"))+1),10),".","/")),10),4,2)&amp;"/"&amp;LEFT((RIGHT((SUBSTITUTE(LEFT(RIGHT(E85,LEN(E85)-MIN(SEARCH({1,2,3,4,5,6,7,8,9,0},E85&amp;"1234567890"))+1),10),".","/")),10)),2)&amp;"/"&amp;RIGHT((SUBSTITUTE(LEFT(RIGHT(E85,LEN(E85)-MIN(SEARCH({1,2,3,4,5,6,7,8,9,0},E85&amp;"1234567890"))+1),10),".","/")),4))))),(AJ85-A85))</f>
        <v>663</v>
      </c>
      <c r="C85" s="334"/>
      <c r="D85" s="294" t="str">
        <f t="shared" si="9"/>
        <v>FGCKW2-304L/2B-000X45</v>
      </c>
      <c r="E85" s="294" t="s">
        <v>4952</v>
      </c>
      <c r="F85" s="294" t="s">
        <v>4953</v>
      </c>
      <c r="G85" s="294" t="s">
        <v>4954</v>
      </c>
      <c r="H85" s="294" t="s">
        <v>230</v>
      </c>
      <c r="I85" s="337" t="s">
        <v>116</v>
      </c>
      <c r="J85" s="149">
        <v>0.79</v>
      </c>
      <c r="K85" s="149">
        <v>0.4</v>
      </c>
      <c r="L85" s="149">
        <v>0.41</v>
      </c>
      <c r="M85" s="149">
        <v>0.42</v>
      </c>
      <c r="N85" s="335">
        <v>770</v>
      </c>
      <c r="O85" s="296">
        <v>0.35</v>
      </c>
      <c r="P85" s="345"/>
      <c r="Q85" s="138">
        <v>45</v>
      </c>
      <c r="R85" s="138"/>
      <c r="S85" s="339"/>
      <c r="T85" s="299"/>
      <c r="U85" s="282" t="s">
        <v>3497</v>
      </c>
      <c r="V85" s="282" t="s">
        <v>4955</v>
      </c>
      <c r="W85" s="282" t="s">
        <v>116</v>
      </c>
      <c r="X85" s="340" t="s">
        <v>4956</v>
      </c>
      <c r="Y85" s="340" t="s">
        <v>4957</v>
      </c>
      <c r="Z85" s="340" t="s">
        <v>4958</v>
      </c>
      <c r="AA85" s="340" t="s">
        <v>4959</v>
      </c>
      <c r="AB85" s="340"/>
      <c r="AC85" s="341"/>
      <c r="AD85" s="342" t="s">
        <v>64</v>
      </c>
      <c r="AE85" s="342" t="s">
        <v>203</v>
      </c>
      <c r="AF85" s="284" t="s">
        <v>3512</v>
      </c>
      <c r="AG85" s="284"/>
      <c r="AH85" s="284">
        <v>44069</v>
      </c>
      <c r="AI85" s="284"/>
      <c r="AJ85" s="334">
        <f t="shared" ca="1" si="5"/>
        <v>44963</v>
      </c>
      <c r="AK85" s="342">
        <f t="shared" ca="1" si="6"/>
        <v>894</v>
      </c>
      <c r="AL85" s="342" t="e">
        <f t="shared" ref="AL85:AL90" ca="1" si="10">IF(ISNUMBER(Z85)=TRUE,AJ85-Z85,IF(Z85="","",(AJ85)-(MID(RIGHT(Z85,10),4,2)&amp;"/"&amp;LEFT((RIGHT(Z85,10)),2)&amp;"/"&amp;RIGHT(Z85,4))))</f>
        <v>#VALUE!</v>
      </c>
      <c r="AM85" s="284"/>
      <c r="AN85" s="284" t="s">
        <v>4960</v>
      </c>
      <c r="AO85" s="343">
        <v>11.815</v>
      </c>
      <c r="AP85" s="343">
        <v>11.824999999999999</v>
      </c>
      <c r="AQ85" s="343">
        <v>11.849999999999998</v>
      </c>
      <c r="AR85" s="343">
        <v>11.854999999999999</v>
      </c>
      <c r="AS85" s="331">
        <f t="shared" ref="AS85:AS91" ca="1" si="11">IF(ISNUMBER(Y85)=TRUE,AJ85-Y85,IF(Y85="","",(AJ85)-(MID(RIGHT(Y85,10),4,2)&amp;"/"&amp;LEFT((RIGHT(Y85,10)),2)&amp;"/"&amp;RIGHT(Y85,4))))</f>
        <v>764</v>
      </c>
      <c r="AV85" s="331" t="s">
        <v>136</v>
      </c>
      <c r="BL85" s="331" t="s">
        <v>3572</v>
      </c>
    </row>
    <row r="86" spans="1:64" s="331" customFormat="1" ht="18" hidden="1" customHeight="1" x14ac:dyDescent="0.35">
      <c r="A86" s="377">
        <v>44300</v>
      </c>
      <c r="B86" s="335">
        <f ca="1">IF(A86="",(IF(ISNUMBER(SUBSTITUTE(LEFT(RIGHT(E86,LEN(E86)-MIN(SEARCH({1,2,3,4,5,6,7,8,9,0},E86&amp;"1234567890"))+1),10),".","/"))=TRUE,AJ86-(SUBSTITUTE(LEFT(RIGHT(E86,LEN(E86)-MIN(SEARCH({1,2,3,4,5,6,7,8,9,0},E86&amp;"1234567890"))+1),10),".","/")),IF((SUBSTITUTE(LEFT(RIGHT(E86,LEN(E86)-MIN(SEARCH({1,2,3,4,5,6,7,8,9,0},E86&amp;"1234567890"))+1),10),".","/"))="","",(AJ86)-(MID(RIGHT((SUBSTITUTE(LEFT(RIGHT(E86,LEN(E86)-MIN(SEARCH({1,2,3,4,5,6,7,8,9,0},E86&amp;"1234567890"))+1),10),".","/")),10),4,2)&amp;"/"&amp;LEFT((RIGHT((SUBSTITUTE(LEFT(RIGHT(E86,LEN(E86)-MIN(SEARCH({1,2,3,4,5,6,7,8,9,0},E86&amp;"1234567890"))+1),10),".","/")),10)),2)&amp;"/"&amp;RIGHT((SUBSTITUTE(LEFT(RIGHT(E86,LEN(E86)-MIN(SEARCH({1,2,3,4,5,6,7,8,9,0},E86&amp;"1234567890"))+1),10),".","/")),4))))),(AJ86-A86))</f>
        <v>663</v>
      </c>
      <c r="C86" s="334"/>
      <c r="D86" s="294" t="str">
        <f t="shared" si="9"/>
        <v>FGCKW2-J3/2B-000X59</v>
      </c>
      <c r="E86" s="294" t="s">
        <v>4961</v>
      </c>
      <c r="F86" s="294" t="s">
        <v>4962</v>
      </c>
      <c r="G86" s="294" t="s">
        <v>4963</v>
      </c>
      <c r="H86" s="294" t="s">
        <v>29</v>
      </c>
      <c r="I86" s="337" t="s">
        <v>116</v>
      </c>
      <c r="J86" s="149">
        <v>0.65</v>
      </c>
      <c r="K86" s="149">
        <v>0.36</v>
      </c>
      <c r="L86" s="149">
        <v>0.35</v>
      </c>
      <c r="M86" s="149">
        <v>0.36</v>
      </c>
      <c r="N86" s="335">
        <v>585</v>
      </c>
      <c r="O86" s="296">
        <f>3.61-3.24</f>
        <v>0.36999999999999966</v>
      </c>
      <c r="P86" s="345"/>
      <c r="Q86" s="138">
        <v>59</v>
      </c>
      <c r="R86" s="138"/>
      <c r="S86" s="339"/>
      <c r="T86" s="299"/>
      <c r="U86" s="282" t="s">
        <v>3497</v>
      </c>
      <c r="V86" s="282" t="s">
        <v>4964</v>
      </c>
      <c r="W86" s="282" t="s">
        <v>116</v>
      </c>
      <c r="X86" s="340" t="s">
        <v>4965</v>
      </c>
      <c r="Y86" s="340" t="s">
        <v>370</v>
      </c>
      <c r="Z86" s="340" t="s">
        <v>4966</v>
      </c>
      <c r="AA86" s="340">
        <v>44281</v>
      </c>
      <c r="AB86" s="340"/>
      <c r="AC86" s="341"/>
      <c r="AD86" s="342" t="s">
        <v>64</v>
      </c>
      <c r="AE86" s="342" t="s">
        <v>322</v>
      </c>
      <c r="AF86" s="284" t="s">
        <v>4967</v>
      </c>
      <c r="AG86" s="284">
        <v>44200</v>
      </c>
      <c r="AH86" s="284">
        <v>44224</v>
      </c>
      <c r="AI86" s="284"/>
      <c r="AJ86" s="334">
        <f t="shared" ca="1" si="5"/>
        <v>44963</v>
      </c>
      <c r="AK86" s="342">
        <f t="shared" ca="1" si="6"/>
        <v>739</v>
      </c>
      <c r="AL86" s="342" t="e">
        <f t="shared" ca="1" si="10"/>
        <v>#VALUE!</v>
      </c>
      <c r="AM86" s="284" t="s">
        <v>4968</v>
      </c>
      <c r="AN86" s="284" t="s">
        <v>4969</v>
      </c>
      <c r="AO86" s="343">
        <v>7.55</v>
      </c>
      <c r="AP86" s="343">
        <v>7.59</v>
      </c>
      <c r="AQ86" s="343">
        <v>7.6150000000000002</v>
      </c>
      <c r="AR86" s="343">
        <v>7.62</v>
      </c>
      <c r="AS86" s="331" t="e">
        <f t="shared" ca="1" si="11"/>
        <v>#VALUE!</v>
      </c>
      <c r="AV86" s="331" t="s">
        <v>136</v>
      </c>
      <c r="BL86" s="331" t="s">
        <v>3572</v>
      </c>
    </row>
    <row r="87" spans="1:64" s="331" customFormat="1" ht="20.25" hidden="1" customHeight="1" x14ac:dyDescent="0.35">
      <c r="A87" s="377">
        <v>44300</v>
      </c>
      <c r="B87" s="335">
        <f ca="1">IF(A87="",(IF(ISNUMBER(SUBSTITUTE(LEFT(RIGHT(E87,LEN(E87)-MIN(SEARCH({1,2,3,4,5,6,7,8,9,0},E87&amp;"1234567890"))+1),10),".","/"))=TRUE,AJ87-(SUBSTITUTE(LEFT(RIGHT(E87,LEN(E87)-MIN(SEARCH({1,2,3,4,5,6,7,8,9,0},E87&amp;"1234567890"))+1),10),".","/")),IF((SUBSTITUTE(LEFT(RIGHT(E87,LEN(E87)-MIN(SEARCH({1,2,3,4,5,6,7,8,9,0},E87&amp;"1234567890"))+1),10),".","/"))="","",(AJ87)-(MID(RIGHT((SUBSTITUTE(LEFT(RIGHT(E87,LEN(E87)-MIN(SEARCH({1,2,3,4,5,6,7,8,9,0},E87&amp;"1234567890"))+1),10),".","/")),10),4,2)&amp;"/"&amp;LEFT((RIGHT((SUBSTITUTE(LEFT(RIGHT(E87,LEN(E87)-MIN(SEARCH({1,2,3,4,5,6,7,8,9,0},E87&amp;"1234567890"))+1),10),".","/")),10)),2)&amp;"/"&amp;RIGHT((SUBSTITUTE(LEFT(RIGHT(E87,LEN(E87)-MIN(SEARCH({1,2,3,4,5,6,7,8,9,0},E87&amp;"1234567890"))+1),10),".","/")),4))))),(AJ87-A87))</f>
        <v>663</v>
      </c>
      <c r="C87" s="334"/>
      <c r="D87" s="294" t="str">
        <f t="shared" si="9"/>
        <v>FGCKW2-J3/2B-000X48,8</v>
      </c>
      <c r="E87" s="294" t="s">
        <v>4970</v>
      </c>
      <c r="F87" s="294" t="s">
        <v>4971</v>
      </c>
      <c r="G87" s="294" t="s">
        <v>4972</v>
      </c>
      <c r="H87" s="294" t="s">
        <v>29</v>
      </c>
      <c r="I87" s="337" t="s">
        <v>116</v>
      </c>
      <c r="J87" s="149">
        <v>0.91</v>
      </c>
      <c r="K87" s="149">
        <v>0.45</v>
      </c>
      <c r="L87" s="149">
        <v>0.44</v>
      </c>
      <c r="M87" s="149">
        <v>0.45</v>
      </c>
      <c r="N87" s="335">
        <v>585</v>
      </c>
      <c r="O87" s="296">
        <f>4.075-3.725</f>
        <v>0.35000000000000009</v>
      </c>
      <c r="P87" s="345"/>
      <c r="Q87" s="138">
        <v>48.8</v>
      </c>
      <c r="R87" s="138"/>
      <c r="S87" s="339"/>
      <c r="T87" s="299"/>
      <c r="U87" s="282" t="s">
        <v>3497</v>
      </c>
      <c r="V87" s="282" t="s">
        <v>4973</v>
      </c>
      <c r="W87" s="138" t="s">
        <v>116</v>
      </c>
      <c r="X87" s="340" t="s">
        <v>4974</v>
      </c>
      <c r="Y87" s="340" t="s">
        <v>4975</v>
      </c>
      <c r="Z87" s="340" t="s">
        <v>4976</v>
      </c>
      <c r="AA87" s="340">
        <v>44239</v>
      </c>
      <c r="AB87" s="340"/>
      <c r="AC87" s="341"/>
      <c r="AD87" s="342" t="s">
        <v>64</v>
      </c>
      <c r="AE87" s="342" t="s">
        <v>261</v>
      </c>
      <c r="AF87" s="284" t="s">
        <v>4327</v>
      </c>
      <c r="AG87" s="284">
        <v>44177</v>
      </c>
      <c r="AH87" s="284">
        <v>44214</v>
      </c>
      <c r="AI87" s="284"/>
      <c r="AJ87" s="334">
        <f t="shared" ca="1" si="5"/>
        <v>44963</v>
      </c>
      <c r="AK87" s="342">
        <f t="shared" ca="1" si="6"/>
        <v>749</v>
      </c>
      <c r="AL87" s="342" t="e">
        <f t="shared" ca="1" si="10"/>
        <v>#VALUE!</v>
      </c>
      <c r="AM87" s="284" t="s">
        <v>4977</v>
      </c>
      <c r="AN87" s="284" t="s">
        <v>4329</v>
      </c>
      <c r="AO87" s="343">
        <v>8.1440000000000001</v>
      </c>
      <c r="AP87" s="343">
        <v>8.1839999999999993</v>
      </c>
      <c r="AQ87" s="343">
        <v>8.2089999999999979</v>
      </c>
      <c r="AR87" s="343">
        <v>8.2139999999999986</v>
      </c>
      <c r="AS87" s="331" t="e">
        <f t="shared" ca="1" si="11"/>
        <v>#VALUE!</v>
      </c>
      <c r="AV87" s="331" t="s">
        <v>136</v>
      </c>
      <c r="BL87" s="331" t="s">
        <v>3572</v>
      </c>
    </row>
    <row r="88" spans="1:64" s="331" customFormat="1" ht="18" hidden="1" customHeight="1" x14ac:dyDescent="0.35">
      <c r="A88" s="334">
        <v>44300</v>
      </c>
      <c r="B88" s="335">
        <f ca="1">IF(A88="",(IF(ISNUMBER(SUBSTITUTE(LEFT(RIGHT(E88,LEN(E88)-MIN(SEARCH({1,2,3,4,5,6,7,8,9,0},E88&amp;"1234567890"))+1),10),".","/"))=TRUE,AJ88-(SUBSTITUTE(LEFT(RIGHT(E88,LEN(E88)-MIN(SEARCH({1,2,3,4,5,6,7,8,9,0},E88&amp;"1234567890"))+1),10),".","/")),IF((SUBSTITUTE(LEFT(RIGHT(E88,LEN(E88)-MIN(SEARCH({1,2,3,4,5,6,7,8,9,0},E88&amp;"1234567890"))+1),10),".","/"))="","",(AJ88)-(MID(RIGHT((SUBSTITUTE(LEFT(RIGHT(E88,LEN(E88)-MIN(SEARCH({1,2,3,4,5,6,7,8,9,0},E88&amp;"1234567890"))+1),10),".","/")),10),4,2)&amp;"/"&amp;LEFT((RIGHT((SUBSTITUTE(LEFT(RIGHT(E88,LEN(E88)-MIN(SEARCH({1,2,3,4,5,6,7,8,9,0},E88&amp;"1234567890"))+1),10),".","/")),10)),2)&amp;"/"&amp;RIGHT((SUBSTITUTE(LEFT(RIGHT(E88,LEN(E88)-MIN(SEARCH({1,2,3,4,5,6,7,8,9,0},E88&amp;"1234567890"))+1),10),".","/")),4))))),(AJ88-A88))</f>
        <v>663</v>
      </c>
      <c r="C88" s="334"/>
      <c r="D88" s="294" t="str">
        <f t="shared" si="9"/>
        <v>FGCKW2-J3/2B-000X585</v>
      </c>
      <c r="E88" s="294" t="s">
        <v>4978</v>
      </c>
      <c r="F88" s="294" t="s">
        <v>4979</v>
      </c>
      <c r="G88" s="294" t="s">
        <v>4980</v>
      </c>
      <c r="H88" s="294" t="s">
        <v>29</v>
      </c>
      <c r="I88" s="337" t="s">
        <v>116</v>
      </c>
      <c r="J88" s="149">
        <v>0.65</v>
      </c>
      <c r="K88" s="149">
        <v>0.4</v>
      </c>
      <c r="L88" s="149">
        <v>0.37</v>
      </c>
      <c r="M88" s="149">
        <v>0.39</v>
      </c>
      <c r="N88" s="335">
        <v>585</v>
      </c>
      <c r="O88" s="296">
        <v>0.54</v>
      </c>
      <c r="P88" s="345">
        <v>0.54100000000000004</v>
      </c>
      <c r="Q88" s="138">
        <v>585</v>
      </c>
      <c r="R88" s="138"/>
      <c r="S88" s="339"/>
      <c r="T88" s="299"/>
      <c r="U88" s="282" t="s">
        <v>3497</v>
      </c>
      <c r="V88" s="282"/>
      <c r="W88" s="282" t="s">
        <v>116</v>
      </c>
      <c r="X88" s="340" t="s">
        <v>4981</v>
      </c>
      <c r="Y88" s="340" t="s">
        <v>4981</v>
      </c>
      <c r="Z88" s="340" t="s">
        <v>370</v>
      </c>
      <c r="AA88" s="340">
        <v>44281</v>
      </c>
      <c r="AB88" s="340"/>
      <c r="AC88" s="341"/>
      <c r="AD88" s="342" t="s">
        <v>64</v>
      </c>
      <c r="AE88" s="342" t="s">
        <v>322</v>
      </c>
      <c r="AF88" s="284" t="s">
        <v>4967</v>
      </c>
      <c r="AG88" s="284">
        <v>44200</v>
      </c>
      <c r="AH88" s="284">
        <v>44224</v>
      </c>
      <c r="AI88" s="284"/>
      <c r="AJ88" s="334">
        <f t="shared" ca="1" si="5"/>
        <v>44963</v>
      </c>
      <c r="AK88" s="342">
        <f t="shared" ca="1" si="6"/>
        <v>739</v>
      </c>
      <c r="AL88" s="342" t="e">
        <f t="shared" ca="1" si="10"/>
        <v>#VALUE!</v>
      </c>
      <c r="AM88" s="284" t="s">
        <v>4982</v>
      </c>
      <c r="AN88" s="284" t="s">
        <v>4983</v>
      </c>
      <c r="AO88" s="343">
        <v>8.1739999999999995</v>
      </c>
      <c r="AP88" s="343">
        <v>8.2139999999999986</v>
      </c>
      <c r="AQ88" s="343">
        <v>8.2389999999999972</v>
      </c>
      <c r="AR88" s="343">
        <v>8.243999999999998</v>
      </c>
      <c r="AS88" s="331" t="e">
        <f t="shared" ca="1" si="11"/>
        <v>#VALUE!</v>
      </c>
      <c r="AV88" s="331" t="s">
        <v>136</v>
      </c>
      <c r="BL88" s="331" t="s">
        <v>3515</v>
      </c>
    </row>
    <row r="89" spans="1:64" s="331" customFormat="1" ht="18" hidden="1" customHeight="1" x14ac:dyDescent="0.35">
      <c r="A89" s="334">
        <v>44299</v>
      </c>
      <c r="B89" s="335">
        <f ca="1">IF(A89="",(IF(ISNUMBER(SUBSTITUTE(LEFT(RIGHT(E89,LEN(E89)-MIN(SEARCH({1,2,3,4,5,6,7,8,9,0},E89&amp;"1234567890"))+1),10),".","/"))=TRUE,AJ89-(SUBSTITUTE(LEFT(RIGHT(E89,LEN(E89)-MIN(SEARCH({1,2,3,4,5,6,7,8,9,0},E89&amp;"1234567890"))+1),10),".","/")),IF((SUBSTITUTE(LEFT(RIGHT(E89,LEN(E89)-MIN(SEARCH({1,2,3,4,5,6,7,8,9,0},E89&amp;"1234567890"))+1),10),".","/"))="","",(AJ89)-(MID(RIGHT((SUBSTITUTE(LEFT(RIGHT(E89,LEN(E89)-MIN(SEARCH({1,2,3,4,5,6,7,8,9,0},E89&amp;"1234567890"))+1),10),".","/")),10),4,2)&amp;"/"&amp;LEFT((RIGHT((SUBSTITUTE(LEFT(RIGHT(E89,LEN(E89)-MIN(SEARCH({1,2,3,4,5,6,7,8,9,0},E89&amp;"1234567890"))+1),10),".","/")),10)),2)&amp;"/"&amp;RIGHT((SUBSTITUTE(LEFT(RIGHT(E89,LEN(E89)-MIN(SEARCH({1,2,3,4,5,6,7,8,9,0},E89&amp;"1234567890"))+1),10),".","/")),4))))),(AJ89-A89))</f>
        <v>664</v>
      </c>
      <c r="C89" s="334"/>
      <c r="D89" s="294" t="str">
        <f>IF(Q89="MULTI","FGM","FGC")&amp;"-"&amp;H89&amp;"/"&amp;I89&amp;"-"&amp;TEXT(K89,"0.00")&amp;"X"&amp;IF(Q89="MULTI",N89,Q89)</f>
        <v>FGC-J3/2B-001X595</v>
      </c>
      <c r="E89" s="294" t="s">
        <v>4984</v>
      </c>
      <c r="F89" s="294" t="s">
        <v>4985</v>
      </c>
      <c r="G89" s="294" t="s">
        <v>4986</v>
      </c>
      <c r="H89" s="294" t="s">
        <v>29</v>
      </c>
      <c r="I89" s="337" t="s">
        <v>116</v>
      </c>
      <c r="J89" s="149">
        <v>2.2000000000000002</v>
      </c>
      <c r="K89" s="149">
        <v>0.91</v>
      </c>
      <c r="L89" s="149">
        <v>0.89</v>
      </c>
      <c r="M89" s="149">
        <v>0.9</v>
      </c>
      <c r="N89" s="335">
        <v>595</v>
      </c>
      <c r="O89" s="296">
        <v>0.24</v>
      </c>
      <c r="P89" s="345">
        <v>0.24099999999999999</v>
      </c>
      <c r="Q89" s="138">
        <v>595</v>
      </c>
      <c r="R89" s="138"/>
      <c r="S89" s="339"/>
      <c r="T89" s="299"/>
      <c r="U89" s="282" t="s">
        <v>3497</v>
      </c>
      <c r="V89" s="282"/>
      <c r="W89" s="282" t="s">
        <v>116</v>
      </c>
      <c r="X89" s="340">
        <v>44241</v>
      </c>
      <c r="Y89" s="340">
        <v>44241</v>
      </c>
      <c r="Z89" s="340">
        <v>44246</v>
      </c>
      <c r="AA89" s="340"/>
      <c r="AB89" s="340"/>
      <c r="AC89" s="341"/>
      <c r="AD89" s="342" t="s">
        <v>64</v>
      </c>
      <c r="AE89" s="342" t="s">
        <v>261</v>
      </c>
      <c r="AF89" s="284" t="s">
        <v>4327</v>
      </c>
      <c r="AG89" s="284">
        <v>44177</v>
      </c>
      <c r="AH89" s="284">
        <v>44214</v>
      </c>
      <c r="AI89" s="284"/>
      <c r="AJ89" s="334">
        <f t="shared" ca="1" si="5"/>
        <v>44963</v>
      </c>
      <c r="AK89" s="342">
        <f t="shared" ca="1" si="6"/>
        <v>749</v>
      </c>
      <c r="AL89" s="342">
        <f t="shared" ca="1" si="10"/>
        <v>717</v>
      </c>
      <c r="AM89" s="284" t="s">
        <v>4987</v>
      </c>
      <c r="AN89" s="284" t="s">
        <v>4329</v>
      </c>
      <c r="AO89" s="343">
        <v>8.1340000000000003</v>
      </c>
      <c r="AP89" s="343">
        <v>8.1739999999999995</v>
      </c>
      <c r="AQ89" s="343">
        <v>8.1989999999999981</v>
      </c>
      <c r="AR89" s="343">
        <v>8.2039999999999988</v>
      </c>
      <c r="AS89" s="331">
        <f t="shared" ca="1" si="11"/>
        <v>722</v>
      </c>
      <c r="AV89" s="331" t="s">
        <v>136</v>
      </c>
      <c r="BL89" s="331" t="s">
        <v>3515</v>
      </c>
    </row>
    <row r="90" spans="1:64" s="331" customFormat="1" ht="18" hidden="1" customHeight="1" x14ac:dyDescent="0.35">
      <c r="A90" s="334">
        <v>44300</v>
      </c>
      <c r="B90" s="335">
        <f ca="1">IF(A90="",(IF(ISNUMBER(SUBSTITUTE(LEFT(RIGHT(E90,LEN(E90)-MIN(SEARCH({1,2,3,4,5,6,7,8,9,0},E90&amp;"1234567890"))+1),10),".","/"))=TRUE,AJ90-(SUBSTITUTE(LEFT(RIGHT(E90,LEN(E90)-MIN(SEARCH({1,2,3,4,5,6,7,8,9,0},E90&amp;"1234567890"))+1),10),".","/")),IF((SUBSTITUTE(LEFT(RIGHT(E90,LEN(E90)-MIN(SEARCH({1,2,3,4,5,6,7,8,9,0},E90&amp;"1234567890"))+1),10),".","/"))="","",(AJ90)-(MID(RIGHT((SUBSTITUTE(LEFT(RIGHT(E90,LEN(E90)-MIN(SEARCH({1,2,3,4,5,6,7,8,9,0},E90&amp;"1234567890"))+1),10),".","/")),10),4,2)&amp;"/"&amp;LEFT((RIGHT((SUBSTITUTE(LEFT(RIGHT(E90,LEN(E90)-MIN(SEARCH({1,2,3,4,5,6,7,8,9,0},E90&amp;"1234567890"))+1),10),".","/")),10)),2)&amp;"/"&amp;RIGHT((SUBSTITUTE(LEFT(RIGHT(E90,LEN(E90)-MIN(SEARCH({1,2,3,4,5,6,7,8,9,0},E90&amp;"1234567890"))+1),10),".","/")),4))))),(AJ90-A90))</f>
        <v>663</v>
      </c>
      <c r="C90" s="334"/>
      <c r="D90" s="294" t="str">
        <f t="shared" ref="D90:D133" si="12">IF(LEFT(U90,7)="MAT RET","R"&amp;"-"&amp;H90&amp;"/"&amp;I90&amp;"-"&amp;TEXT(K90,"0.00")&amp;"X"&amp;IF(Q90="",N90,Q90),IF(N90&lt;570,"FGMKW2","FGCKW2")&amp;"-"&amp;H90&amp;"/"&amp;I90&amp;"-"&amp;TEXT(K90,"0.00")&amp;"X"&amp;IF(Q90="",N90,Q90))</f>
        <v>FGCKW2-J3/2B-001X595</v>
      </c>
      <c r="E90" s="294" t="s">
        <v>4988</v>
      </c>
      <c r="F90" s="294" t="s">
        <v>4989</v>
      </c>
      <c r="G90" s="294" t="s">
        <v>4990</v>
      </c>
      <c r="H90" s="294" t="s">
        <v>29</v>
      </c>
      <c r="I90" s="337" t="s">
        <v>116</v>
      </c>
      <c r="J90" s="149">
        <v>2.4</v>
      </c>
      <c r="K90" s="149">
        <v>1.1599999999999999</v>
      </c>
      <c r="L90" s="149">
        <v>1.2</v>
      </c>
      <c r="M90" s="149">
        <v>1.2</v>
      </c>
      <c r="N90" s="335">
        <v>595</v>
      </c>
      <c r="O90" s="296">
        <v>0.59</v>
      </c>
      <c r="P90" s="345">
        <v>0.59099999999999997</v>
      </c>
      <c r="Q90" s="138">
        <v>595</v>
      </c>
      <c r="R90" s="138"/>
      <c r="S90" s="339"/>
      <c r="T90" s="299"/>
      <c r="U90" s="282" t="s">
        <v>3497</v>
      </c>
      <c r="V90" s="282" t="s">
        <v>4850</v>
      </c>
      <c r="W90" s="282" t="s">
        <v>1260</v>
      </c>
      <c r="X90" s="340" t="s">
        <v>4991</v>
      </c>
      <c r="Y90" s="340">
        <v>44222</v>
      </c>
      <c r="Z90" s="340">
        <v>44224</v>
      </c>
      <c r="AA90" s="340"/>
      <c r="AB90" s="340"/>
      <c r="AC90" s="341"/>
      <c r="AD90" s="342" t="s">
        <v>64</v>
      </c>
      <c r="AE90" s="342" t="s">
        <v>261</v>
      </c>
      <c r="AF90" s="284" t="s">
        <v>4310</v>
      </c>
      <c r="AG90" s="284">
        <v>44141</v>
      </c>
      <c r="AH90" s="284">
        <v>44181</v>
      </c>
      <c r="AI90" s="284"/>
      <c r="AJ90" s="334">
        <f t="shared" ca="1" si="5"/>
        <v>44963</v>
      </c>
      <c r="AK90" s="342">
        <f t="shared" ca="1" si="6"/>
        <v>782</v>
      </c>
      <c r="AL90" s="342">
        <f t="shared" ca="1" si="10"/>
        <v>739</v>
      </c>
      <c r="AM90" s="284" t="s">
        <v>4992</v>
      </c>
      <c r="AN90" s="284" t="s">
        <v>4338</v>
      </c>
      <c r="AO90" s="343">
        <v>8.1229999999999993</v>
      </c>
      <c r="AP90" s="343">
        <v>8.1529999999999987</v>
      </c>
      <c r="AQ90" s="343">
        <v>8.1779999999999973</v>
      </c>
      <c r="AR90" s="343">
        <v>8.1829999999999981</v>
      </c>
      <c r="AS90" s="331">
        <f t="shared" ca="1" si="11"/>
        <v>741</v>
      </c>
      <c r="AV90" s="331" t="s">
        <v>136</v>
      </c>
      <c r="BL90" s="331" t="s">
        <v>3515</v>
      </c>
    </row>
    <row r="91" spans="1:64" s="331" customFormat="1" ht="18" hidden="1" customHeight="1" x14ac:dyDescent="0.35">
      <c r="A91" s="334"/>
      <c r="B91" s="335" t="e">
        <f ca="1">IF(A91="",(IF(ISNUMBER(SUBSTITUTE(LEFT(RIGHT(E91,LEN(E91)-MIN(SEARCH({1,2,3,4,5,6,7,8,9,0},E91&amp;"1234567890"))+1),10),".","/"))=TRUE,AJ91-(SUBSTITUTE(LEFT(RIGHT(E91,LEN(E91)-MIN(SEARCH({1,2,3,4,5,6,7,8,9,0},E91&amp;"1234567890"))+1),10),".","/")),IF((SUBSTITUTE(LEFT(RIGHT(E91,LEN(E91)-MIN(SEARCH({1,2,3,4,5,6,7,8,9,0},E91&amp;"1234567890"))+1),10),".","/"))="","",(AJ91)-(MID(RIGHT((SUBSTITUTE(LEFT(RIGHT(E91,LEN(E91)-MIN(SEARCH({1,2,3,4,5,6,7,8,9,0},E91&amp;"1234567890"))+1),10),".","/")),10),4,2)&amp;"/"&amp;LEFT((RIGHT((SUBSTITUTE(LEFT(RIGHT(E91,LEN(E91)-MIN(SEARCH({1,2,3,4,5,6,7,8,9,0},E91&amp;"1234567890"))+1),10),".","/")),10)),2)&amp;"/"&amp;RIGHT((SUBSTITUTE(LEFT(RIGHT(E91,LEN(E91)-MIN(SEARCH({1,2,3,4,5,6,7,8,9,0},E91&amp;"1234567890"))+1),10),".","/")),4))))),(AJ91-A91))</f>
        <v>#VALUE!</v>
      </c>
      <c r="C91" s="334"/>
      <c r="D91" s="294" t="str">
        <f t="shared" si="12"/>
        <v>FGMKW2-304/2B-001X196,7</v>
      </c>
      <c r="E91" s="294" t="s">
        <v>4993</v>
      </c>
      <c r="F91" s="294" t="s">
        <v>4994</v>
      </c>
      <c r="G91" s="294" t="s">
        <v>4995</v>
      </c>
      <c r="H91" s="294">
        <v>304</v>
      </c>
      <c r="I91" s="337" t="s">
        <v>116</v>
      </c>
      <c r="J91" s="149">
        <v>3.8</v>
      </c>
      <c r="K91" s="149">
        <v>1.43</v>
      </c>
      <c r="L91" s="149">
        <v>1.44</v>
      </c>
      <c r="M91" s="149">
        <v>1.46</v>
      </c>
      <c r="N91" s="335">
        <v>196.7</v>
      </c>
      <c r="O91" s="296">
        <v>0.91</v>
      </c>
      <c r="P91" s="345"/>
      <c r="Q91" s="138">
        <v>196.7</v>
      </c>
      <c r="R91" s="138"/>
      <c r="S91" s="339"/>
      <c r="T91" s="299"/>
      <c r="U91" s="282" t="s">
        <v>3497</v>
      </c>
      <c r="V91" s="282" t="s">
        <v>4996</v>
      </c>
      <c r="W91" s="282" t="s">
        <v>116</v>
      </c>
      <c r="X91" s="340">
        <v>44305</v>
      </c>
      <c r="Y91" s="340">
        <v>44305</v>
      </c>
      <c r="Z91" s="340">
        <v>44305</v>
      </c>
      <c r="AA91" s="340"/>
      <c r="AB91" s="340"/>
      <c r="AC91" s="341"/>
      <c r="AD91" s="342" t="s">
        <v>64</v>
      </c>
      <c r="AE91" s="342" t="s">
        <v>154</v>
      </c>
      <c r="AF91" s="284" t="s">
        <v>4374</v>
      </c>
      <c r="AG91" s="284"/>
      <c r="AH91" s="284">
        <v>44302</v>
      </c>
      <c r="AI91" s="284"/>
      <c r="AJ91" s="334">
        <f t="shared" ca="1" si="5"/>
        <v>44963</v>
      </c>
      <c r="AK91" s="342">
        <f t="shared" ca="1" si="6"/>
        <v>661</v>
      </c>
      <c r="AL91" s="342"/>
      <c r="AM91" s="284"/>
      <c r="AN91" s="284" t="s">
        <v>4997</v>
      </c>
      <c r="AO91" s="343">
        <v>10.555</v>
      </c>
      <c r="AP91" s="343">
        <v>10.565</v>
      </c>
      <c r="AQ91" s="343">
        <v>10.589999999999998</v>
      </c>
      <c r="AR91" s="343">
        <v>10.594999999999999</v>
      </c>
      <c r="AS91" s="331">
        <f t="shared" ca="1" si="11"/>
        <v>658</v>
      </c>
      <c r="AV91" s="331" t="s">
        <v>136</v>
      </c>
      <c r="BL91" s="331" t="s">
        <v>3572</v>
      </c>
    </row>
    <row r="92" spans="1:64" s="331" customFormat="1" ht="18" hidden="1" customHeight="1" x14ac:dyDescent="0.35">
      <c r="A92" s="334">
        <v>44351</v>
      </c>
      <c r="B92" s="335">
        <f ca="1">IF(A92="",(IF(ISNUMBER(SUBSTITUTE(LEFT(RIGHT(E92,LEN(E92)-MIN(SEARCH({1,2,3,4,5,6,7,8,9,0},E92&amp;"1234567890"))+1),10),".","/"))=TRUE,AJ92-(SUBSTITUTE(LEFT(RIGHT(E92,LEN(E92)-MIN(SEARCH({1,2,3,4,5,6,7,8,9,0},E92&amp;"1234567890"))+1),10),".","/")),IF((SUBSTITUTE(LEFT(RIGHT(E92,LEN(E92)-MIN(SEARCH({1,2,3,4,5,6,7,8,9,0},E92&amp;"1234567890"))+1),10),".","/"))="","",(AJ92)-(MID(RIGHT((SUBSTITUTE(LEFT(RIGHT(E92,LEN(E92)-MIN(SEARCH({1,2,3,4,5,6,7,8,9,0},E92&amp;"1234567890"))+1),10),".","/")),10),4,2)&amp;"/"&amp;LEFT((RIGHT((SUBSTITUTE(LEFT(RIGHT(E92,LEN(E92)-MIN(SEARCH({1,2,3,4,5,6,7,8,9,0},E92&amp;"1234567890"))+1),10),".","/")),10)),2)&amp;"/"&amp;RIGHT((SUBSTITUTE(LEFT(RIGHT(E92,LEN(E92)-MIN(SEARCH({1,2,3,4,5,6,7,8,9,0},E92&amp;"1234567890"))+1),10),".","/")),4))))),(AJ92-A92))</f>
        <v>612</v>
      </c>
      <c r="C92" s="334"/>
      <c r="D92" s="294" t="str">
        <f t="shared" si="12"/>
        <v>FGMKW2-304/2B-001X156,8</v>
      </c>
      <c r="E92" s="294" t="s">
        <v>4998</v>
      </c>
      <c r="F92" s="294" t="s">
        <v>4994</v>
      </c>
      <c r="G92" s="294" t="s">
        <v>4999</v>
      </c>
      <c r="H92" s="294">
        <v>304</v>
      </c>
      <c r="I92" s="337" t="s">
        <v>116</v>
      </c>
      <c r="J92" s="149">
        <v>3.8</v>
      </c>
      <c r="K92" s="149">
        <v>1.43</v>
      </c>
      <c r="L92" s="149">
        <v>1.44</v>
      </c>
      <c r="M92" s="149">
        <v>1.46</v>
      </c>
      <c r="N92" s="335">
        <v>156.80000000000001</v>
      </c>
      <c r="O92" s="296">
        <v>0.63500000000000001</v>
      </c>
      <c r="P92" s="345"/>
      <c r="Q92" s="138">
        <v>156.80000000000001</v>
      </c>
      <c r="R92" s="138"/>
      <c r="S92" s="339"/>
      <c r="T92" s="299"/>
      <c r="U92" s="282"/>
      <c r="V92" s="282" t="s">
        <v>3497</v>
      </c>
      <c r="W92" s="282" t="s">
        <v>116</v>
      </c>
      <c r="X92" s="340" t="s">
        <v>5000</v>
      </c>
      <c r="Y92" s="340">
        <v>44305</v>
      </c>
      <c r="Z92" s="340">
        <v>44305</v>
      </c>
      <c r="AA92" s="340">
        <v>44305</v>
      </c>
      <c r="AB92" s="340"/>
      <c r="AC92" s="341"/>
      <c r="AD92" s="342" t="s">
        <v>64</v>
      </c>
      <c r="AE92" s="284" t="s">
        <v>154</v>
      </c>
      <c r="AF92" s="284" t="s">
        <v>4374</v>
      </c>
      <c r="AG92" s="284"/>
      <c r="AH92" s="284">
        <v>44302</v>
      </c>
      <c r="AI92" s="334"/>
      <c r="AJ92" s="334">
        <f t="shared" ca="1" si="5"/>
        <v>44963</v>
      </c>
      <c r="AK92" s="342">
        <f t="shared" ca="1" si="6"/>
        <v>661</v>
      </c>
      <c r="AL92" s="342"/>
      <c r="AM92" s="284"/>
      <c r="AN92" s="343" t="s">
        <v>4997</v>
      </c>
      <c r="AO92" s="343">
        <v>10.555</v>
      </c>
      <c r="AP92" s="343">
        <v>10.565</v>
      </c>
      <c r="AQ92" s="343">
        <v>10.589999999999998</v>
      </c>
      <c r="AR92" s="331">
        <v>10.594999999999999</v>
      </c>
      <c r="AS92" s="331">
        <f ca="1">IF(ISNUMBER(Z92)=TRUE,AJ92-Z92,IF(Z92="","",(AJ92)-(MID(RIGHT(Z92,10),4,2)&amp;"/"&amp;LEFT((RIGHT(Z92,10)),2)&amp;"/"&amp;RIGHT(Z92,4))))</f>
        <v>658</v>
      </c>
      <c r="AW92" s="331" t="s">
        <v>136</v>
      </c>
      <c r="BL92" s="331" t="s">
        <v>3572</v>
      </c>
    </row>
    <row r="93" spans="1:64" s="331" customFormat="1" ht="18" hidden="1" customHeight="1" x14ac:dyDescent="0.35">
      <c r="A93" s="334"/>
      <c r="B93" s="335">
        <f ca="1">IF(A93="",(IF(ISNUMBER(SUBSTITUTE(LEFT(RIGHT(E93,LEN(E93)-MIN(SEARCH({1,2,3,4,5,6,7,8,9,0},E93&amp;"1234567890"))+1),10),".","/"))=TRUE,AJ93-(SUBSTITUTE(LEFT(RIGHT(E93,LEN(E93)-MIN(SEARCH({1,2,3,4,5,6,7,8,9,0},E93&amp;"1234567890"))+1),10),".","/")),IF((SUBSTITUTE(LEFT(RIGHT(E93,LEN(E93)-MIN(SEARCH({1,2,3,4,5,6,7,8,9,0},E93&amp;"1234567890"))+1),10),".","/"))="","",(AJ93)-(MID(RIGHT((SUBSTITUTE(LEFT(RIGHT(E93,LEN(E93)-MIN(SEARCH({1,2,3,4,5,6,7,8,9,0},E93&amp;"1234567890"))+1),10),".","/")),10),4,2)&amp;"/"&amp;LEFT((RIGHT((SUBSTITUTE(LEFT(RIGHT(E93,LEN(E93)-MIN(SEARCH({1,2,3,4,5,6,7,8,9,0},E93&amp;"1234567890"))+1),10),".","/")),10)),2)&amp;"/"&amp;RIGHT((SUBSTITUTE(LEFT(RIGHT(E93,LEN(E93)-MIN(SEARCH({1,2,3,4,5,6,7,8,9,0},E93&amp;"1234567890"))+1),10),".","/")),4))))),(AJ93-A93))</f>
        <v>611</v>
      </c>
      <c r="C93" s="334"/>
      <c r="D93" s="294" t="str">
        <f t="shared" si="12"/>
        <v>FGCKW2-J3/2B-001X97</v>
      </c>
      <c r="E93" s="294" t="s">
        <v>5001</v>
      </c>
      <c r="F93" s="294" t="s">
        <v>5002</v>
      </c>
      <c r="G93" s="294" t="s">
        <v>5003</v>
      </c>
      <c r="H93" s="294" t="s">
        <v>29</v>
      </c>
      <c r="I93" s="337" t="s">
        <v>116</v>
      </c>
      <c r="J93" s="149">
        <v>2.4</v>
      </c>
      <c r="K93" s="149">
        <v>1.4</v>
      </c>
      <c r="L93" s="149">
        <v>1.37</v>
      </c>
      <c r="M93" s="149">
        <v>1.38</v>
      </c>
      <c r="N93" s="335">
        <v>595</v>
      </c>
      <c r="O93" s="296">
        <f>3.865-3.215</f>
        <v>0.65000000000000036</v>
      </c>
      <c r="P93" s="345"/>
      <c r="Q93" s="138">
        <v>97</v>
      </c>
      <c r="R93" s="138"/>
      <c r="S93" s="339"/>
      <c r="T93" s="299"/>
      <c r="U93" s="282" t="s">
        <v>3497</v>
      </c>
      <c r="V93" s="282" t="s">
        <v>412</v>
      </c>
      <c r="W93" s="282" t="s">
        <v>116</v>
      </c>
      <c r="X93" s="340">
        <v>44276</v>
      </c>
      <c r="Y93" s="340">
        <v>44276</v>
      </c>
      <c r="Z93" s="340">
        <v>44277</v>
      </c>
      <c r="AA93" s="340"/>
      <c r="AB93" s="340"/>
      <c r="AC93" s="341"/>
      <c r="AD93" s="342" t="s">
        <v>64</v>
      </c>
      <c r="AE93" s="342" t="s">
        <v>322</v>
      </c>
      <c r="AF93" s="284" t="s">
        <v>371</v>
      </c>
      <c r="AG93" s="284">
        <v>44224</v>
      </c>
      <c r="AH93" s="284">
        <v>44247</v>
      </c>
      <c r="AI93" s="284"/>
      <c r="AJ93" s="334">
        <f t="shared" ca="1" si="5"/>
        <v>44963</v>
      </c>
      <c r="AK93" s="342">
        <f t="shared" ca="1" si="6"/>
        <v>716</v>
      </c>
      <c r="AL93" s="342"/>
      <c r="AM93" s="284" t="s">
        <v>5004</v>
      </c>
      <c r="AN93" s="284" t="s">
        <v>5005</v>
      </c>
      <c r="AO93" s="343">
        <v>8.1199999999999992</v>
      </c>
      <c r="AP93" s="343">
        <v>8.1599999999999984</v>
      </c>
      <c r="AQ93" s="343">
        <v>8.1849999999999969</v>
      </c>
      <c r="AR93" s="343">
        <v>8.1899999999999977</v>
      </c>
      <c r="AS93" s="331">
        <f t="shared" ref="AS93:AS114" ca="1" si="13">IF(ISNUMBER(Y93)=TRUE,AJ93-Y93,IF(Y93="","",(AJ93)-(MID(RIGHT(Y93,10),4,2)&amp;"/"&amp;LEFT((RIGHT(Y93,10)),2)&amp;"/"&amp;RIGHT(Y93,4))))</f>
        <v>687</v>
      </c>
      <c r="AV93" s="331" t="s">
        <v>136</v>
      </c>
      <c r="BL93" s="331" t="s">
        <v>174</v>
      </c>
    </row>
    <row r="94" spans="1:64" s="331" customFormat="1" ht="18" hidden="1" customHeight="1" x14ac:dyDescent="0.35">
      <c r="A94" s="334">
        <v>44516</v>
      </c>
      <c r="B94" s="335">
        <f ca="1">IF(A94="",(IF(ISNUMBER(SUBSTITUTE(LEFT(RIGHT(E94,LEN(E94)-MIN(SEARCH({1,2,3,4,5,6,7,8,9,0},E94&amp;"1234567890"))+1),10),".","/"))=TRUE,AJ94-(SUBSTITUTE(LEFT(RIGHT(E94,LEN(E94)-MIN(SEARCH({1,2,3,4,5,6,7,8,9,0},E94&amp;"1234567890"))+1),10),".","/")),IF((SUBSTITUTE(LEFT(RIGHT(E94,LEN(E94)-MIN(SEARCH({1,2,3,4,5,6,7,8,9,0},E94&amp;"1234567890"))+1),10),".","/"))="","",(AJ94)-(MID(RIGHT((SUBSTITUTE(LEFT(RIGHT(E94,LEN(E94)-MIN(SEARCH({1,2,3,4,5,6,7,8,9,0},E94&amp;"1234567890"))+1),10),".","/")),10),4,2)&amp;"/"&amp;LEFT((RIGHT((SUBSTITUTE(LEFT(RIGHT(E94,LEN(E94)-MIN(SEARCH({1,2,3,4,5,6,7,8,9,0},E94&amp;"1234567890"))+1),10),".","/")),10)),2)&amp;"/"&amp;RIGHT((SUBSTITUTE(LEFT(RIGHT(E94,LEN(E94)-MIN(SEARCH({1,2,3,4,5,6,7,8,9,0},E94&amp;"1234567890"))+1),10),".","/")),4))))),(AJ94-A94))</f>
        <v>447</v>
      </c>
      <c r="C94" s="334"/>
      <c r="D94" s="294" t="str">
        <f t="shared" si="12"/>
        <v>FGCKW2-J3/2B-001X595</v>
      </c>
      <c r="E94" s="294" t="s">
        <v>5006</v>
      </c>
      <c r="F94" s="294" t="s">
        <v>5007</v>
      </c>
      <c r="G94" s="294" t="s">
        <v>5008</v>
      </c>
      <c r="H94" s="294" t="s">
        <v>29</v>
      </c>
      <c r="I94" s="337" t="s">
        <v>116</v>
      </c>
      <c r="J94" s="149">
        <v>2.4</v>
      </c>
      <c r="K94" s="149">
        <v>0.95</v>
      </c>
      <c r="L94" s="149">
        <v>0.93</v>
      </c>
      <c r="M94" s="149">
        <v>0.95</v>
      </c>
      <c r="N94" s="335">
        <v>595</v>
      </c>
      <c r="O94" s="296">
        <v>0.33</v>
      </c>
      <c r="P94" s="345">
        <v>0.33100000000000002</v>
      </c>
      <c r="Q94" s="138">
        <v>595</v>
      </c>
      <c r="R94" s="138"/>
      <c r="S94" s="339"/>
      <c r="T94" s="299"/>
      <c r="U94" s="282" t="s">
        <v>3497</v>
      </c>
      <c r="V94" s="282" t="s">
        <v>116</v>
      </c>
      <c r="W94" s="282"/>
      <c r="X94" s="340">
        <v>44278</v>
      </c>
      <c r="Y94" s="340">
        <v>44278</v>
      </c>
      <c r="Z94" s="340">
        <v>44291</v>
      </c>
      <c r="AA94" s="340">
        <v>44350</v>
      </c>
      <c r="AB94" s="340"/>
      <c r="AC94" s="341"/>
      <c r="AD94" s="342" t="s">
        <v>64</v>
      </c>
      <c r="AE94" s="342" t="s">
        <v>322</v>
      </c>
      <c r="AF94" s="284" t="s">
        <v>371</v>
      </c>
      <c r="AG94" s="284">
        <v>44224</v>
      </c>
      <c r="AH94" s="284">
        <v>44247</v>
      </c>
      <c r="AI94" s="284"/>
      <c r="AJ94" s="334">
        <f t="shared" ca="1" si="5"/>
        <v>44963</v>
      </c>
      <c r="AK94" s="342">
        <f t="shared" ca="1" si="6"/>
        <v>716</v>
      </c>
      <c r="AL94" s="342"/>
      <c r="AM94" s="284" t="s">
        <v>5009</v>
      </c>
      <c r="AN94" s="284" t="s">
        <v>5005</v>
      </c>
      <c r="AO94" s="343">
        <v>8.1300000000000008</v>
      </c>
      <c r="AP94" s="343">
        <v>8.17</v>
      </c>
      <c r="AQ94" s="343">
        <v>8.1949999999999985</v>
      </c>
      <c r="AR94" s="343">
        <v>8.1999999999999993</v>
      </c>
      <c r="AS94" s="331">
        <f t="shared" ca="1" si="13"/>
        <v>685</v>
      </c>
      <c r="AV94" s="331" t="s">
        <v>136</v>
      </c>
      <c r="BL94" s="331" t="s">
        <v>5010</v>
      </c>
    </row>
    <row r="95" spans="1:64" s="331" customFormat="1" ht="18" hidden="1" customHeight="1" x14ac:dyDescent="0.35">
      <c r="A95" s="334">
        <v>44524</v>
      </c>
      <c r="B95" s="335">
        <f ca="1">IF(A95="",(IF(ISNUMBER(SUBSTITUTE(LEFT(RIGHT(E95,LEN(E95)-MIN(SEARCH({1,2,3,4,5,6,7,8,9,0},E95&amp;"1234567890"))+1),10),".","/"))=TRUE,AJ95-(SUBSTITUTE(LEFT(RIGHT(E95,LEN(E95)-MIN(SEARCH({1,2,3,4,5,6,7,8,9,0},E95&amp;"1234567890"))+1),10),".","/")),IF((SUBSTITUTE(LEFT(RIGHT(E95,LEN(E95)-MIN(SEARCH({1,2,3,4,5,6,7,8,9,0},E95&amp;"1234567890"))+1),10),".","/"))="","",(AJ95)-(MID(RIGHT((SUBSTITUTE(LEFT(RIGHT(E95,LEN(E95)-MIN(SEARCH({1,2,3,4,5,6,7,8,9,0},E95&amp;"1234567890"))+1),10),".","/")),10),4,2)&amp;"/"&amp;LEFT((RIGHT((SUBSTITUTE(LEFT(RIGHT(E95,LEN(E95)-MIN(SEARCH({1,2,3,4,5,6,7,8,9,0},E95&amp;"1234567890"))+1),10),".","/")),10)),2)&amp;"/"&amp;RIGHT((SUBSTITUTE(LEFT(RIGHT(E95,LEN(E95)-MIN(SEARCH({1,2,3,4,5,6,7,8,9,0},E95&amp;"1234567890"))+1),10),".","/")),4))))),(AJ95-A95))</f>
        <v>439</v>
      </c>
      <c r="C95" s="334"/>
      <c r="D95" s="294" t="str">
        <f t="shared" si="12"/>
        <v>FGCKW2-J3/2B-001X595</v>
      </c>
      <c r="E95" s="294" t="s">
        <v>5011</v>
      </c>
      <c r="F95" s="294" t="s">
        <v>5012</v>
      </c>
      <c r="G95" s="294" t="s">
        <v>5013</v>
      </c>
      <c r="H95" s="294" t="s">
        <v>29</v>
      </c>
      <c r="I95" s="337" t="s">
        <v>116</v>
      </c>
      <c r="J95" s="149">
        <v>2.4</v>
      </c>
      <c r="K95" s="149">
        <v>0.95</v>
      </c>
      <c r="L95" s="149">
        <v>0.92</v>
      </c>
      <c r="M95" s="149">
        <v>0.95</v>
      </c>
      <c r="N95" s="335">
        <v>595</v>
      </c>
      <c r="O95" s="296">
        <v>0.27</v>
      </c>
      <c r="P95" s="345">
        <v>0.27100000000000002</v>
      </c>
      <c r="Q95" s="138">
        <v>595</v>
      </c>
      <c r="R95" s="138"/>
      <c r="S95" s="339"/>
      <c r="T95" s="299"/>
      <c r="U95" s="282" t="s">
        <v>3497</v>
      </c>
      <c r="V95" s="282"/>
      <c r="W95" s="282" t="s">
        <v>116</v>
      </c>
      <c r="X95" s="340">
        <v>44346</v>
      </c>
      <c r="Y95" s="340">
        <v>44346</v>
      </c>
      <c r="Z95" s="340">
        <v>44347</v>
      </c>
      <c r="AA95" s="340"/>
      <c r="AB95" s="340"/>
      <c r="AC95" s="341"/>
      <c r="AD95" s="342" t="s">
        <v>64</v>
      </c>
      <c r="AE95" s="342" t="s">
        <v>322</v>
      </c>
      <c r="AF95" s="284"/>
      <c r="AG95" s="284"/>
      <c r="AH95" s="284">
        <v>44294</v>
      </c>
      <c r="AI95" s="284"/>
      <c r="AJ95" s="334">
        <f t="shared" ca="1" si="5"/>
        <v>44963</v>
      </c>
      <c r="AK95" s="342">
        <f t="shared" ca="1" si="6"/>
        <v>669</v>
      </c>
      <c r="AL95" s="342"/>
      <c r="AM95" s="284"/>
      <c r="AN95" s="284" t="s">
        <v>5014</v>
      </c>
      <c r="AO95" s="343">
        <v>8.1940000000000008</v>
      </c>
      <c r="AP95" s="343">
        <v>8.234</v>
      </c>
      <c r="AQ95" s="343">
        <v>8.2589999999999986</v>
      </c>
      <c r="AR95" s="343">
        <v>8.2639999999999993</v>
      </c>
      <c r="AS95" s="331">
        <f t="shared" ca="1" si="13"/>
        <v>617</v>
      </c>
      <c r="AV95" s="331" t="s">
        <v>136</v>
      </c>
      <c r="BL95" s="331" t="s">
        <v>3572</v>
      </c>
    </row>
    <row r="96" spans="1:64" s="331" customFormat="1" ht="18" hidden="1" customHeight="1" x14ac:dyDescent="0.35">
      <c r="A96" s="334"/>
      <c r="B96" s="335" t="e">
        <f ca="1">IF(A96="",(IF(ISNUMBER(SUBSTITUTE(LEFT(RIGHT(E96,LEN(E96)-MIN(SEARCH({1,2,3,4,5,6,7,8,9,0},E96&amp;"1234567890"))+1),10),".","/"))=TRUE,AJ96-(SUBSTITUTE(LEFT(RIGHT(E96,LEN(E96)-MIN(SEARCH({1,2,3,4,5,6,7,8,9,0},E96&amp;"1234567890"))+1),10),".","/")),IF((SUBSTITUTE(LEFT(RIGHT(E96,LEN(E96)-MIN(SEARCH({1,2,3,4,5,6,7,8,9,0},E96&amp;"1234567890"))+1),10),".","/"))="","",(AJ96)-(MID(RIGHT((SUBSTITUTE(LEFT(RIGHT(E96,LEN(E96)-MIN(SEARCH({1,2,3,4,5,6,7,8,9,0},E96&amp;"1234567890"))+1),10),".","/")),10),4,2)&amp;"/"&amp;LEFT((RIGHT((SUBSTITUTE(LEFT(RIGHT(E96,LEN(E96)-MIN(SEARCH({1,2,3,4,5,6,7,8,9,0},E96&amp;"1234567890"))+1),10),".","/")),10)),2)&amp;"/"&amp;RIGHT((SUBSTITUTE(LEFT(RIGHT(E96,LEN(E96)-MIN(SEARCH({1,2,3,4,5,6,7,8,9,0},E96&amp;"1234567890"))+1),10),".","/")),4))))),(AJ96-A96))</f>
        <v>#VALUE!</v>
      </c>
      <c r="C96" s="334"/>
      <c r="D96" s="294" t="str">
        <f t="shared" si="12"/>
        <v>FGCKW2-J3/2B-001X595</v>
      </c>
      <c r="E96" s="294" t="s">
        <v>5015</v>
      </c>
      <c r="F96" s="294" t="s">
        <v>5016</v>
      </c>
      <c r="G96" s="294" t="s">
        <v>5017</v>
      </c>
      <c r="H96" s="294" t="s">
        <v>29</v>
      </c>
      <c r="I96" s="337" t="s">
        <v>116</v>
      </c>
      <c r="J96" s="149">
        <v>2.2000000000000002</v>
      </c>
      <c r="K96" s="149">
        <v>0.92</v>
      </c>
      <c r="L96" s="149">
        <v>0.91</v>
      </c>
      <c r="M96" s="149">
        <v>0.94</v>
      </c>
      <c r="N96" s="335">
        <v>595</v>
      </c>
      <c r="O96" s="296">
        <v>0.315</v>
      </c>
      <c r="P96" s="345"/>
      <c r="Q96" s="138">
        <v>595</v>
      </c>
      <c r="R96" s="138"/>
      <c r="S96" s="339"/>
      <c r="T96" s="299"/>
      <c r="U96" s="282" t="s">
        <v>3497</v>
      </c>
      <c r="V96" s="282" t="s">
        <v>579</v>
      </c>
      <c r="W96" s="282" t="s">
        <v>116</v>
      </c>
      <c r="X96" s="340">
        <v>44254</v>
      </c>
      <c r="Y96" s="340">
        <v>44254</v>
      </c>
      <c r="Z96" s="340">
        <v>44257</v>
      </c>
      <c r="AA96" s="340"/>
      <c r="AB96" s="340"/>
      <c r="AC96" s="341"/>
      <c r="AD96" s="342" t="s">
        <v>64</v>
      </c>
      <c r="AE96" s="342" t="s">
        <v>261</v>
      </c>
      <c r="AF96" s="284" t="s">
        <v>298</v>
      </c>
      <c r="AG96" s="284">
        <v>44177</v>
      </c>
      <c r="AH96" s="284">
        <v>44212</v>
      </c>
      <c r="AI96" s="284"/>
      <c r="AJ96" s="334">
        <f t="shared" ca="1" si="5"/>
        <v>44963</v>
      </c>
      <c r="AK96" s="342">
        <f t="shared" ca="1" si="6"/>
        <v>751</v>
      </c>
      <c r="AL96" s="342">
        <f ca="1">IF(ISNUMBER(Z96)=TRUE,AJ96-Z96,IF(Z96="","",(AJ96)-(MID(RIGHT(Z96,10),4,2)&amp;"/"&amp;LEFT((RIGHT(Z96,10)),2)&amp;"/"&amp;RIGHT(Z96,4))))</f>
        <v>706</v>
      </c>
      <c r="AM96" s="284" t="s">
        <v>5018</v>
      </c>
      <c r="AN96" s="284" t="s">
        <v>3807</v>
      </c>
      <c r="AO96" s="343">
        <v>8.2460000000000004</v>
      </c>
      <c r="AP96" s="343">
        <v>8.2859999999999996</v>
      </c>
      <c r="AQ96" s="343">
        <v>8.3109999999999982</v>
      </c>
      <c r="AR96" s="343">
        <v>8.3159999999999989</v>
      </c>
      <c r="AS96" s="331">
        <f t="shared" ca="1" si="13"/>
        <v>709</v>
      </c>
      <c r="AV96" s="331" t="s">
        <v>136</v>
      </c>
      <c r="BL96" s="331" t="s">
        <v>4503</v>
      </c>
    </row>
    <row r="97" spans="1:64" s="331" customFormat="1" ht="18" hidden="1" customHeight="1" x14ac:dyDescent="0.35">
      <c r="A97" s="334">
        <v>44516</v>
      </c>
      <c r="B97" s="335">
        <f ca="1">IF(A97="",(IF(ISNUMBER(SUBSTITUTE(LEFT(RIGHT(E97,LEN(E97)-MIN(SEARCH({1,2,3,4,5,6,7,8,9,0},E97&amp;"1234567890"))+1),10),".","/"))=TRUE,AJ97-(SUBSTITUTE(LEFT(RIGHT(E97,LEN(E97)-MIN(SEARCH({1,2,3,4,5,6,7,8,9,0},E97&amp;"1234567890"))+1),10),".","/")),IF((SUBSTITUTE(LEFT(RIGHT(E97,LEN(E97)-MIN(SEARCH({1,2,3,4,5,6,7,8,9,0},E97&amp;"1234567890"))+1),10),".","/"))="","",(AJ97)-(MID(RIGHT((SUBSTITUTE(LEFT(RIGHT(E97,LEN(E97)-MIN(SEARCH({1,2,3,4,5,6,7,8,9,0},E97&amp;"1234567890"))+1),10),".","/")),10),4,2)&amp;"/"&amp;LEFT((RIGHT((SUBSTITUTE(LEFT(RIGHT(E97,LEN(E97)-MIN(SEARCH({1,2,3,4,5,6,7,8,9,0},E97&amp;"1234567890"))+1),10),".","/")),10)),2)&amp;"/"&amp;RIGHT((SUBSTITUTE(LEFT(RIGHT(E97,LEN(E97)-MIN(SEARCH({1,2,3,4,5,6,7,8,9,0},E97&amp;"1234567890"))+1),10),".","/")),4))))),(AJ97-A97))</f>
        <v>447</v>
      </c>
      <c r="C97" s="334"/>
      <c r="D97" s="294" t="str">
        <f t="shared" si="12"/>
        <v>FGCKW2-J4/2B-000X610</v>
      </c>
      <c r="E97" s="294" t="s">
        <v>5019</v>
      </c>
      <c r="F97" s="294" t="s">
        <v>5020</v>
      </c>
      <c r="G97" s="294" t="s">
        <v>5021</v>
      </c>
      <c r="H97" s="294" t="s">
        <v>30</v>
      </c>
      <c r="I97" s="337" t="s">
        <v>116</v>
      </c>
      <c r="J97" s="149">
        <v>0.47</v>
      </c>
      <c r="K97" s="149">
        <v>0.28000000000000003</v>
      </c>
      <c r="L97" s="149">
        <v>0.26</v>
      </c>
      <c r="M97" s="149">
        <v>0.28000000000000003</v>
      </c>
      <c r="N97" s="335">
        <v>620</v>
      </c>
      <c r="O97" s="296">
        <v>0.65</v>
      </c>
      <c r="P97" s="345">
        <v>0.65100000000000002</v>
      </c>
      <c r="Q97" s="138">
        <v>610</v>
      </c>
      <c r="R97" s="138"/>
      <c r="S97" s="339"/>
      <c r="T97" s="299"/>
      <c r="U97" s="282" t="s">
        <v>3497</v>
      </c>
      <c r="V97" s="282" t="s">
        <v>117</v>
      </c>
      <c r="W97" s="282" t="s">
        <v>116</v>
      </c>
      <c r="X97" s="340" t="s">
        <v>5022</v>
      </c>
      <c r="Y97" s="340" t="s">
        <v>5022</v>
      </c>
      <c r="Z97" s="340" t="s">
        <v>5023</v>
      </c>
      <c r="AA97" s="340">
        <v>44343</v>
      </c>
      <c r="AB97" s="340"/>
      <c r="AC97" s="341"/>
      <c r="AD97" s="342" t="s">
        <v>65</v>
      </c>
      <c r="AE97" s="342" t="s">
        <v>322</v>
      </c>
      <c r="AF97" s="284" t="s">
        <v>5024</v>
      </c>
      <c r="AG97" s="284">
        <v>44263</v>
      </c>
      <c r="AH97" s="284">
        <v>44279</v>
      </c>
      <c r="AI97" s="284"/>
      <c r="AJ97" s="334">
        <f t="shared" ca="1" si="5"/>
        <v>44963</v>
      </c>
      <c r="AK97" s="342">
        <f t="shared" ca="1" si="6"/>
        <v>684</v>
      </c>
      <c r="AL97" s="342"/>
      <c r="AM97" s="284" t="s">
        <v>5025</v>
      </c>
      <c r="AN97" s="284" t="s">
        <v>5026</v>
      </c>
      <c r="AO97" s="343">
        <v>10.132999999999999</v>
      </c>
      <c r="AP97" s="343">
        <v>10.173</v>
      </c>
      <c r="AQ97" s="343">
        <v>10.197999999999999</v>
      </c>
      <c r="AR97" s="343">
        <v>10.202999999999999</v>
      </c>
      <c r="AS97" s="331" t="e">
        <f t="shared" ca="1" si="13"/>
        <v>#VALUE!</v>
      </c>
      <c r="AV97" s="331" t="s">
        <v>136</v>
      </c>
      <c r="BL97" s="331" t="s">
        <v>3572</v>
      </c>
    </row>
    <row r="98" spans="1:64" s="331" customFormat="1" ht="18" hidden="1" customHeight="1" x14ac:dyDescent="0.35">
      <c r="A98" s="334">
        <v>44492</v>
      </c>
      <c r="B98" s="335">
        <f ca="1">IF(A98="",(IF(ISNUMBER(SUBSTITUTE(LEFT(RIGHT(E98,LEN(E98)-MIN(SEARCH({1,2,3,4,5,6,7,8,9,0},E98&amp;"1234567890"))+1),10),".","/"))=TRUE,AJ98-(SUBSTITUTE(LEFT(RIGHT(E98,LEN(E98)-MIN(SEARCH({1,2,3,4,5,6,7,8,9,0},E98&amp;"1234567890"))+1),10),".","/")),IF((SUBSTITUTE(LEFT(RIGHT(E98,LEN(E98)-MIN(SEARCH({1,2,3,4,5,6,7,8,9,0},E98&amp;"1234567890"))+1),10),".","/"))="","",(AJ98)-(MID(RIGHT((SUBSTITUTE(LEFT(RIGHT(E98,LEN(E98)-MIN(SEARCH({1,2,3,4,5,6,7,8,9,0},E98&amp;"1234567890"))+1),10),".","/")),10),4,2)&amp;"/"&amp;LEFT((RIGHT((SUBSTITUTE(LEFT(RIGHT(E98,LEN(E98)-MIN(SEARCH({1,2,3,4,5,6,7,8,9,0},E98&amp;"1234567890"))+1),10),".","/")),10)),2)&amp;"/"&amp;RIGHT((SUBSTITUTE(LEFT(RIGHT(E98,LEN(E98)-MIN(SEARCH({1,2,3,4,5,6,7,8,9,0},E98&amp;"1234567890"))+1),10),".","/")),4))))),(AJ98-A98))</f>
        <v>471</v>
      </c>
      <c r="C98" s="334"/>
      <c r="D98" s="294" t="str">
        <f t="shared" si="12"/>
        <v>FGCKW2-J1/2B-000X700</v>
      </c>
      <c r="E98" s="294" t="s">
        <v>5019</v>
      </c>
      <c r="F98" s="294" t="s">
        <v>5027</v>
      </c>
      <c r="G98" s="294" t="s">
        <v>5028</v>
      </c>
      <c r="H98" s="294" t="s">
        <v>27</v>
      </c>
      <c r="I98" s="337" t="s">
        <v>116</v>
      </c>
      <c r="J98" s="149">
        <v>0.72</v>
      </c>
      <c r="K98" s="149">
        <v>0.35</v>
      </c>
      <c r="L98" s="149">
        <v>0.34</v>
      </c>
      <c r="M98" s="149">
        <v>0.37</v>
      </c>
      <c r="N98" s="335">
        <v>703</v>
      </c>
      <c r="O98" s="296">
        <v>0.23499999999999999</v>
      </c>
      <c r="P98" s="345">
        <v>0.23599999999999999</v>
      </c>
      <c r="Q98" s="138">
        <v>700</v>
      </c>
      <c r="R98" s="138"/>
      <c r="S98" s="339"/>
      <c r="T98" s="299"/>
      <c r="U98" s="282" t="s">
        <v>3497</v>
      </c>
      <c r="V98" s="282"/>
      <c r="W98" s="282" t="s">
        <v>116</v>
      </c>
      <c r="X98" s="340">
        <v>44364</v>
      </c>
      <c r="Y98" s="340">
        <v>44365</v>
      </c>
      <c r="Z98" s="340">
        <v>44369</v>
      </c>
      <c r="AA98" s="340">
        <v>44364</v>
      </c>
      <c r="AB98" s="340"/>
      <c r="AC98" s="341"/>
      <c r="AD98" s="342" t="s">
        <v>116</v>
      </c>
      <c r="AE98" s="342" t="s">
        <v>261</v>
      </c>
      <c r="AF98" s="284" t="s">
        <v>278</v>
      </c>
      <c r="AG98" s="284"/>
      <c r="AH98" s="284">
        <v>44126</v>
      </c>
      <c r="AI98" s="284"/>
      <c r="AJ98" s="334">
        <f t="shared" ca="1" si="5"/>
        <v>44963</v>
      </c>
      <c r="AK98" s="342">
        <f t="shared" ca="1" si="6"/>
        <v>837</v>
      </c>
      <c r="AL98" s="342">
        <f ca="1">IF(ISNUMBER(Z98)=TRUE,AJ98-Z98,IF(Z98="","",(AJ98)-(MID(RIGHT(Z98,10),4,2)&amp;"/"&amp;LEFT((RIGHT(Z98,10)),2)&amp;"/"&amp;RIGHT(Z98,4))))</f>
        <v>594</v>
      </c>
      <c r="AM98" s="284" t="s">
        <v>5029</v>
      </c>
      <c r="AN98" s="284" t="s">
        <v>5030</v>
      </c>
      <c r="AO98" s="343">
        <v>11.542999999999999</v>
      </c>
      <c r="AP98" s="343">
        <v>11.572999999999999</v>
      </c>
      <c r="AQ98" s="343">
        <v>11.597999999999997</v>
      </c>
      <c r="AR98" s="343">
        <v>11.602999999999998</v>
      </c>
      <c r="AS98" s="331">
        <f t="shared" ca="1" si="13"/>
        <v>598</v>
      </c>
      <c r="AV98" s="331" t="s">
        <v>136</v>
      </c>
    </row>
    <row r="99" spans="1:64" s="331" customFormat="1" ht="18" hidden="1" customHeight="1" x14ac:dyDescent="0.35">
      <c r="A99" s="334">
        <v>44492</v>
      </c>
      <c r="B99" s="335">
        <f ca="1">IF(A99="",(IF(ISNUMBER(SUBSTITUTE(LEFT(RIGHT(E99,LEN(E99)-MIN(SEARCH({1,2,3,4,5,6,7,8,9,0},E99&amp;"1234567890"))+1),10),".","/"))=TRUE,AJ99-(SUBSTITUTE(LEFT(RIGHT(E99,LEN(E99)-MIN(SEARCH({1,2,3,4,5,6,7,8,9,0},E99&amp;"1234567890"))+1),10),".","/")),IF((SUBSTITUTE(LEFT(RIGHT(E99,LEN(E99)-MIN(SEARCH({1,2,3,4,5,6,7,8,9,0},E99&amp;"1234567890"))+1),10),".","/"))="","",(AJ99)-(MID(RIGHT((SUBSTITUTE(LEFT(RIGHT(E99,LEN(E99)-MIN(SEARCH({1,2,3,4,5,6,7,8,9,0},E99&amp;"1234567890"))+1),10),".","/")),10),4,2)&amp;"/"&amp;LEFT((RIGHT((SUBSTITUTE(LEFT(RIGHT(E99,LEN(E99)-MIN(SEARCH({1,2,3,4,5,6,7,8,9,0},E99&amp;"1234567890"))+1),10),".","/")),10)),2)&amp;"/"&amp;RIGHT((SUBSTITUTE(LEFT(RIGHT(E99,LEN(E99)-MIN(SEARCH({1,2,3,4,5,6,7,8,9,0},E99&amp;"1234567890"))+1),10),".","/")),4))))),(AJ99-A99))</f>
        <v>471</v>
      </c>
      <c r="C99" s="334"/>
      <c r="D99" s="294" t="str">
        <f t="shared" si="12"/>
        <v>FGCKW2-316L/2B-002X770</v>
      </c>
      <c r="E99" s="294" t="s">
        <v>5031</v>
      </c>
      <c r="F99" s="294" t="s">
        <v>5032</v>
      </c>
      <c r="G99" s="294" t="s">
        <v>5033</v>
      </c>
      <c r="H99" s="294" t="s">
        <v>148</v>
      </c>
      <c r="I99" s="337" t="s">
        <v>116</v>
      </c>
      <c r="J99" s="149">
        <v>3.79</v>
      </c>
      <c r="K99" s="149">
        <v>1.5</v>
      </c>
      <c r="L99" s="149">
        <v>1.52</v>
      </c>
      <c r="M99" s="149">
        <v>1.54</v>
      </c>
      <c r="N99" s="335">
        <v>770</v>
      </c>
      <c r="O99" s="296">
        <v>0.56499999999999995</v>
      </c>
      <c r="P99" s="345">
        <v>0.56599999999999995</v>
      </c>
      <c r="Q99" s="138">
        <v>770</v>
      </c>
      <c r="R99" s="138"/>
      <c r="S99" s="339"/>
      <c r="T99" s="299"/>
      <c r="U99" s="282" t="s">
        <v>3497</v>
      </c>
      <c r="V99" s="282"/>
      <c r="W99" s="282" t="s">
        <v>116</v>
      </c>
      <c r="X99" s="340">
        <v>44374</v>
      </c>
      <c r="Y99" s="340">
        <v>44374</v>
      </c>
      <c r="Z99" s="340">
        <v>44375</v>
      </c>
      <c r="AA99" s="340">
        <v>44375</v>
      </c>
      <c r="AB99" s="340"/>
      <c r="AC99" s="341"/>
      <c r="AD99" s="342" t="s">
        <v>64</v>
      </c>
      <c r="AE99" s="342" t="s">
        <v>154</v>
      </c>
      <c r="AF99" s="284" t="s">
        <v>4409</v>
      </c>
      <c r="AG99" s="284"/>
      <c r="AH99" s="284">
        <v>44373</v>
      </c>
      <c r="AI99" s="284"/>
      <c r="AJ99" s="334">
        <f t="shared" ca="1" si="5"/>
        <v>44963</v>
      </c>
      <c r="AK99" s="342">
        <f t="shared" ca="1" si="6"/>
        <v>590</v>
      </c>
      <c r="AL99" s="342"/>
      <c r="AM99" s="284"/>
      <c r="AN99" s="284" t="s">
        <v>4410</v>
      </c>
      <c r="AO99" s="343">
        <v>12.26</v>
      </c>
      <c r="AP99" s="343">
        <v>12.27</v>
      </c>
      <c r="AQ99" s="343">
        <v>12.294999999999998</v>
      </c>
      <c r="AR99" s="343">
        <v>12.299999999999999</v>
      </c>
      <c r="AS99" s="331">
        <f t="shared" ca="1" si="13"/>
        <v>589</v>
      </c>
      <c r="AV99" s="331" t="s">
        <v>136</v>
      </c>
    </row>
    <row r="100" spans="1:64" s="331" customFormat="1" ht="18" hidden="1" customHeight="1" x14ac:dyDescent="0.35">
      <c r="A100" s="334">
        <v>44525</v>
      </c>
      <c r="B100" s="335">
        <f ca="1">IF(A100="",(IF(ISNUMBER(SUBSTITUTE(LEFT(RIGHT(E100,LEN(E100)-MIN(SEARCH({1,2,3,4,5,6,7,8,9,0},E100&amp;"1234567890"))+1),10),".","/"))=TRUE,AJ100-(SUBSTITUTE(LEFT(RIGHT(E100,LEN(E100)-MIN(SEARCH({1,2,3,4,5,6,7,8,9,0},E100&amp;"1234567890"))+1),10),".","/")),IF((SUBSTITUTE(LEFT(RIGHT(E100,LEN(E100)-MIN(SEARCH({1,2,3,4,5,6,7,8,9,0},E100&amp;"1234567890"))+1),10),".","/"))="","",(AJ100)-(MID(RIGHT((SUBSTITUTE(LEFT(RIGHT(E100,LEN(E100)-MIN(SEARCH({1,2,3,4,5,6,7,8,9,0},E100&amp;"1234567890"))+1),10),".","/")),10),4,2)&amp;"/"&amp;LEFT((RIGHT((SUBSTITUTE(LEFT(RIGHT(E100,LEN(E100)-MIN(SEARCH({1,2,3,4,5,6,7,8,9,0},E100&amp;"1234567890"))+1),10),".","/")),10)),2)&amp;"/"&amp;RIGHT((SUBSTITUTE(LEFT(RIGHT(E100,LEN(E100)-MIN(SEARCH({1,2,3,4,5,6,7,8,9,0},E100&amp;"1234567890"))+1),10),".","/")),4))))),(AJ100-A100))</f>
        <v>438</v>
      </c>
      <c r="C100" s="334"/>
      <c r="D100" s="294" t="str">
        <f t="shared" si="12"/>
        <v>FGCKW2-304/304L/2B-002X770</v>
      </c>
      <c r="E100" s="294" t="s">
        <v>5034</v>
      </c>
      <c r="F100" s="294" t="s">
        <v>5035</v>
      </c>
      <c r="G100" s="294" t="s">
        <v>5036</v>
      </c>
      <c r="H100" s="294" t="s">
        <v>377</v>
      </c>
      <c r="I100" s="337" t="s">
        <v>116</v>
      </c>
      <c r="J100" s="149">
        <v>3.8</v>
      </c>
      <c r="K100" s="149">
        <v>2</v>
      </c>
      <c r="L100" s="149">
        <v>2.0099999999999998</v>
      </c>
      <c r="M100" s="149">
        <v>2.0299999999999998</v>
      </c>
      <c r="N100" s="335">
        <v>770</v>
      </c>
      <c r="O100" s="296">
        <v>0.32500000000000001</v>
      </c>
      <c r="P100" s="345">
        <v>0.32600000000000001</v>
      </c>
      <c r="Q100" s="138">
        <v>770</v>
      </c>
      <c r="R100" s="366"/>
      <c r="S100" s="339"/>
      <c r="T100" s="299"/>
      <c r="U100" s="282" t="s">
        <v>3497</v>
      </c>
      <c r="V100" s="282"/>
      <c r="W100" s="282" t="s">
        <v>116</v>
      </c>
      <c r="X100" s="340">
        <v>44388</v>
      </c>
      <c r="Y100" s="340">
        <v>44389</v>
      </c>
      <c r="Z100" s="340">
        <v>44389</v>
      </c>
      <c r="AA100" s="340"/>
      <c r="AB100" s="340"/>
      <c r="AC100" s="341"/>
      <c r="AD100" s="342" t="s">
        <v>64</v>
      </c>
      <c r="AE100" s="342" t="s">
        <v>154</v>
      </c>
      <c r="AF100" s="284" t="s">
        <v>874</v>
      </c>
      <c r="AG100" s="284"/>
      <c r="AH100" s="284">
        <v>44388</v>
      </c>
      <c r="AI100" s="284"/>
      <c r="AJ100" s="334">
        <f ca="1">TODAY()</f>
        <v>44963</v>
      </c>
      <c r="AK100" s="342">
        <f t="shared" ca="1" si="6"/>
        <v>575</v>
      </c>
      <c r="AL100" s="342"/>
      <c r="AM100" s="284"/>
      <c r="AN100" s="284" t="s">
        <v>5037</v>
      </c>
      <c r="AO100" s="343">
        <v>10.119999999999999</v>
      </c>
      <c r="AP100" s="343">
        <v>10.130000000000001</v>
      </c>
      <c r="AQ100" s="343">
        <v>10.154999999999999</v>
      </c>
      <c r="AR100" s="343">
        <v>10.16</v>
      </c>
      <c r="AS100" s="331">
        <f t="shared" ca="1" si="13"/>
        <v>574</v>
      </c>
      <c r="AV100" s="331" t="s">
        <v>136</v>
      </c>
      <c r="BL100" s="331" t="s">
        <v>137</v>
      </c>
    </row>
    <row r="101" spans="1:64" s="331" customFormat="1" ht="18" hidden="1" customHeight="1" x14ac:dyDescent="0.35">
      <c r="A101" s="334"/>
      <c r="B101" s="335">
        <f ca="1">IF(A101="",(IF(ISNUMBER(SUBSTITUTE(LEFT(RIGHT(E101,LEN(E101)-MIN(SEARCH({1,2,3,4,5,6,7,8,9,0},E101&amp;"1234567890"))+1),10),".","/"))=TRUE,AJ101-(SUBSTITUTE(LEFT(RIGHT(E101,LEN(E101)-MIN(SEARCH({1,2,3,4,5,6,7,8,9,0},E101&amp;"1234567890"))+1),10),".","/")),IF((SUBSTITUTE(LEFT(RIGHT(E101,LEN(E101)-MIN(SEARCH({1,2,3,4,5,6,7,8,9,0},E101&amp;"1234567890"))+1),10),".","/"))="","",(AJ101)-(MID(RIGHT((SUBSTITUTE(LEFT(RIGHT(E101,LEN(E101)-MIN(SEARCH({1,2,3,4,5,6,7,8,9,0},E101&amp;"1234567890"))+1),10),".","/")),10),4,2)&amp;"/"&amp;LEFT((RIGHT((SUBSTITUTE(LEFT(RIGHT(E101,LEN(E101)-MIN(SEARCH({1,2,3,4,5,6,7,8,9,0},E101&amp;"1234567890"))+1),10),".","/")),10)),2)&amp;"/"&amp;RIGHT((SUBSTITUTE(LEFT(RIGHT(E101,LEN(E101)-MIN(SEARCH({1,2,3,4,5,6,7,8,9,0},E101&amp;"1234567890"))+1),10),".","/")),4))))),(AJ101-A101))</f>
        <v>426</v>
      </c>
      <c r="C101" s="334"/>
      <c r="D101" s="294" t="str">
        <f t="shared" si="12"/>
        <v>FGCKW2-304/2B-001X770</v>
      </c>
      <c r="E101" s="294" t="s">
        <v>5034</v>
      </c>
      <c r="F101" s="294" t="s">
        <v>5038</v>
      </c>
      <c r="G101" s="294" t="s">
        <v>5039</v>
      </c>
      <c r="H101" s="294">
        <v>304</v>
      </c>
      <c r="I101" s="337" t="s">
        <v>116</v>
      </c>
      <c r="J101" s="149">
        <v>3.28</v>
      </c>
      <c r="K101" s="149">
        <v>1.1499999999999999</v>
      </c>
      <c r="L101" s="149">
        <v>1.1499999999999999</v>
      </c>
      <c r="M101" s="149">
        <v>1.17</v>
      </c>
      <c r="N101" s="335">
        <v>770</v>
      </c>
      <c r="O101" s="296">
        <v>0.22500000000000001</v>
      </c>
      <c r="P101" s="345"/>
      <c r="Q101" s="138">
        <v>770</v>
      </c>
      <c r="R101" s="366"/>
      <c r="S101" s="339"/>
      <c r="T101" s="299"/>
      <c r="U101" s="282" t="s">
        <v>3497</v>
      </c>
      <c r="V101" s="282"/>
      <c r="W101" s="282" t="s">
        <v>116</v>
      </c>
      <c r="X101" s="340">
        <v>44388</v>
      </c>
      <c r="Y101" s="340">
        <v>44388</v>
      </c>
      <c r="Z101" s="340">
        <v>44389</v>
      </c>
      <c r="AA101" s="340"/>
      <c r="AB101" s="340"/>
      <c r="AC101" s="341"/>
      <c r="AD101" s="342" t="s">
        <v>64</v>
      </c>
      <c r="AE101" s="342" t="s">
        <v>154</v>
      </c>
      <c r="AF101" s="284" t="s">
        <v>2816</v>
      </c>
      <c r="AG101" s="284"/>
      <c r="AH101" s="284">
        <v>44388</v>
      </c>
      <c r="AI101" s="284"/>
      <c r="AJ101" s="334">
        <f ca="1">TODAY()</f>
        <v>44963</v>
      </c>
      <c r="AK101" s="342">
        <f t="shared" ca="1" si="6"/>
        <v>575</v>
      </c>
      <c r="AL101" s="342"/>
      <c r="AM101" s="284"/>
      <c r="AN101" s="284" t="s">
        <v>5040</v>
      </c>
      <c r="AO101" s="343">
        <v>10.625</v>
      </c>
      <c r="AP101" s="343">
        <v>10.635</v>
      </c>
      <c r="AQ101" s="343">
        <v>10.659999999999998</v>
      </c>
      <c r="AR101" s="343">
        <v>10.664999999999999</v>
      </c>
      <c r="AS101" s="331">
        <f t="shared" ca="1" si="13"/>
        <v>575</v>
      </c>
      <c r="AV101" s="331" t="s">
        <v>136</v>
      </c>
    </row>
    <row r="102" spans="1:64" s="331" customFormat="1" ht="18" hidden="1" customHeight="1" x14ac:dyDescent="0.35">
      <c r="A102" s="334">
        <v>44492</v>
      </c>
      <c r="B102" s="335">
        <f ca="1">IF(A102="",(IF(ISNUMBER(SUBSTITUTE(LEFT(RIGHT(E102,LEN(E102)-MIN(SEARCH({1,2,3,4,5,6,7,8,9,0},E102&amp;"1234567890"))+1),10),".","/"))=TRUE,AJ102-(SUBSTITUTE(LEFT(RIGHT(E102,LEN(E102)-MIN(SEARCH({1,2,3,4,5,6,7,8,9,0},E102&amp;"1234567890"))+1),10),".","/")),IF((SUBSTITUTE(LEFT(RIGHT(E102,LEN(E102)-MIN(SEARCH({1,2,3,4,5,6,7,8,9,0},E102&amp;"1234567890"))+1),10),".","/"))="","",(AJ102)-(MID(RIGHT((SUBSTITUTE(LEFT(RIGHT(E102,LEN(E102)-MIN(SEARCH({1,2,3,4,5,6,7,8,9,0},E102&amp;"1234567890"))+1),10),".","/")),10),4,2)&amp;"/"&amp;LEFT((RIGHT((SUBSTITUTE(LEFT(RIGHT(E102,LEN(E102)-MIN(SEARCH({1,2,3,4,5,6,7,8,9,0},E102&amp;"1234567890"))+1),10),".","/")),10)),2)&amp;"/"&amp;RIGHT((SUBSTITUTE(LEFT(RIGHT(E102,LEN(E102)-MIN(SEARCH({1,2,3,4,5,6,7,8,9,0},E102&amp;"1234567890"))+1),10),".","/")),4))))),(AJ102-A102))</f>
        <v>471</v>
      </c>
      <c r="C102" s="334"/>
      <c r="D102" s="294" t="str">
        <f t="shared" si="12"/>
        <v>FGCKW2-304/2B-001X770</v>
      </c>
      <c r="E102" s="294" t="s">
        <v>5041</v>
      </c>
      <c r="F102" s="294" t="s">
        <v>5042</v>
      </c>
      <c r="G102" s="294" t="s">
        <v>5043</v>
      </c>
      <c r="H102" s="294">
        <v>304</v>
      </c>
      <c r="I102" s="337" t="s">
        <v>116</v>
      </c>
      <c r="J102" s="149">
        <v>3.79</v>
      </c>
      <c r="K102" s="149">
        <v>1.45</v>
      </c>
      <c r="L102" s="149">
        <v>1.43</v>
      </c>
      <c r="M102" s="149">
        <v>1.47</v>
      </c>
      <c r="N102" s="335">
        <v>770</v>
      </c>
      <c r="O102" s="296">
        <v>0.36</v>
      </c>
      <c r="P102" s="345">
        <v>0.36099999999999999</v>
      </c>
      <c r="Q102" s="138">
        <v>770</v>
      </c>
      <c r="R102" s="366"/>
      <c r="S102" s="339"/>
      <c r="T102" s="299"/>
      <c r="U102" s="282" t="s">
        <v>3497</v>
      </c>
      <c r="V102" s="282"/>
      <c r="W102" s="282" t="s">
        <v>116</v>
      </c>
      <c r="X102" s="340">
        <v>44391</v>
      </c>
      <c r="Y102" s="340">
        <v>44391</v>
      </c>
      <c r="Z102" s="340">
        <v>44393</v>
      </c>
      <c r="AA102" s="340"/>
      <c r="AB102" s="340"/>
      <c r="AC102" s="341"/>
      <c r="AD102" s="342" t="s">
        <v>64</v>
      </c>
      <c r="AE102" s="342" t="s">
        <v>154</v>
      </c>
      <c r="AF102" s="284" t="s">
        <v>874</v>
      </c>
      <c r="AG102" s="284"/>
      <c r="AH102" s="284">
        <v>44388</v>
      </c>
      <c r="AI102" s="284"/>
      <c r="AJ102" s="334">
        <f ca="1">TODAY()</f>
        <v>44963</v>
      </c>
      <c r="AK102" s="342">
        <f t="shared" ca="1" si="6"/>
        <v>575</v>
      </c>
      <c r="AL102" s="342"/>
      <c r="AM102" s="284"/>
      <c r="AN102" s="284" t="s">
        <v>4391</v>
      </c>
      <c r="AO102" s="343">
        <v>12.025</v>
      </c>
      <c r="AP102" s="343">
        <v>12.035</v>
      </c>
      <c r="AQ102" s="343">
        <v>12.059999999999999</v>
      </c>
      <c r="AR102" s="343">
        <v>12.065</v>
      </c>
      <c r="AS102" s="331">
        <f t="shared" ca="1" si="13"/>
        <v>572</v>
      </c>
      <c r="AV102" s="331" t="s">
        <v>136</v>
      </c>
    </row>
    <row r="103" spans="1:64" s="331" customFormat="1" ht="18" hidden="1" customHeight="1" x14ac:dyDescent="0.35">
      <c r="A103" s="334">
        <v>44492</v>
      </c>
      <c r="B103" s="335">
        <f ca="1">IF(A103="",(IF(ISNUMBER(SUBSTITUTE(LEFT(RIGHT(E103,LEN(E103)-MIN(SEARCH({1,2,3,4,5,6,7,8,9,0},E103&amp;"1234567890"))+1),10),".","/"))=TRUE,AJ103-(SUBSTITUTE(LEFT(RIGHT(E103,LEN(E103)-MIN(SEARCH({1,2,3,4,5,6,7,8,9,0},E103&amp;"1234567890"))+1),10),".","/")),IF((SUBSTITUTE(LEFT(RIGHT(E103,LEN(E103)-MIN(SEARCH({1,2,3,4,5,6,7,8,9,0},E103&amp;"1234567890"))+1),10),".","/"))="","",(AJ103)-(MID(RIGHT((SUBSTITUTE(LEFT(RIGHT(E103,LEN(E103)-MIN(SEARCH({1,2,3,4,5,6,7,8,9,0},E103&amp;"1234567890"))+1),10),".","/")),10),4,2)&amp;"/"&amp;LEFT((RIGHT((SUBSTITUTE(LEFT(RIGHT(E103,LEN(E103)-MIN(SEARCH({1,2,3,4,5,6,7,8,9,0},E103&amp;"1234567890"))+1),10),".","/")),10)),2)&amp;"/"&amp;RIGHT((SUBSTITUTE(LEFT(RIGHT(E103,LEN(E103)-MIN(SEARCH({1,2,3,4,5,6,7,8,9,0},E103&amp;"1234567890"))+1),10),".","/")),4))))),(AJ103-A103))</f>
        <v>471</v>
      </c>
      <c r="C103" s="334"/>
      <c r="D103" s="294" t="str">
        <f t="shared" si="12"/>
        <v>FGCKW2-304/2B-001X770</v>
      </c>
      <c r="E103" s="294" t="s">
        <v>5041</v>
      </c>
      <c r="F103" s="294" t="s">
        <v>5044</v>
      </c>
      <c r="G103" s="294" t="s">
        <v>5045</v>
      </c>
      <c r="H103" s="294">
        <v>304</v>
      </c>
      <c r="I103" s="337" t="s">
        <v>116</v>
      </c>
      <c r="J103" s="149">
        <v>3.84</v>
      </c>
      <c r="K103" s="149">
        <v>1.45</v>
      </c>
      <c r="L103" s="149">
        <v>1.45</v>
      </c>
      <c r="M103" s="149">
        <v>1.47</v>
      </c>
      <c r="N103" s="335">
        <v>770</v>
      </c>
      <c r="O103" s="296">
        <v>0.48</v>
      </c>
      <c r="P103" s="345">
        <v>0.48099999999999998</v>
      </c>
      <c r="Q103" s="138">
        <v>770</v>
      </c>
      <c r="R103" s="366"/>
      <c r="S103" s="339"/>
      <c r="T103" s="299"/>
      <c r="U103" s="282" t="s">
        <v>3497</v>
      </c>
      <c r="V103" s="282"/>
      <c r="W103" s="282" t="s">
        <v>116</v>
      </c>
      <c r="X103" s="340">
        <v>44388</v>
      </c>
      <c r="Y103" s="340">
        <v>44388</v>
      </c>
      <c r="Z103" s="340">
        <v>44393</v>
      </c>
      <c r="AA103" s="340"/>
      <c r="AB103" s="340"/>
      <c r="AC103" s="341"/>
      <c r="AD103" s="342" t="s">
        <v>64</v>
      </c>
      <c r="AE103" s="342" t="s">
        <v>154</v>
      </c>
      <c r="AF103" s="284" t="s">
        <v>868</v>
      </c>
      <c r="AG103" s="284"/>
      <c r="AH103" s="284">
        <v>44388</v>
      </c>
      <c r="AI103" s="284"/>
      <c r="AJ103" s="334">
        <f ca="1">TODAY()</f>
        <v>44963</v>
      </c>
      <c r="AK103" s="342">
        <f t="shared" ca="1" si="6"/>
        <v>575</v>
      </c>
      <c r="AL103" s="342"/>
      <c r="AM103" s="284"/>
      <c r="AN103" s="284" t="s">
        <v>5046</v>
      </c>
      <c r="AO103" s="343">
        <v>10.53</v>
      </c>
      <c r="AP103" s="343">
        <v>10.54</v>
      </c>
      <c r="AQ103" s="343">
        <v>10.564999999999998</v>
      </c>
      <c r="AR103" s="343">
        <v>10.569999999999999</v>
      </c>
      <c r="AS103" s="331">
        <f t="shared" ca="1" si="13"/>
        <v>575</v>
      </c>
      <c r="AV103" s="331" t="s">
        <v>136</v>
      </c>
    </row>
    <row r="104" spans="1:64" s="331" customFormat="1" ht="18" hidden="1" customHeight="1" x14ac:dyDescent="0.35">
      <c r="A104" s="334">
        <v>44492</v>
      </c>
      <c r="B104" s="335">
        <f ca="1">IF(A104="",(IF(ISNUMBER(SUBSTITUTE(LEFT(RIGHT(E104,LEN(E104)-MIN(SEARCH({1,2,3,4,5,6,7,8,9,0},E104&amp;"1234567890"))+1),10),".","/"))=TRUE,AJ104-(SUBSTITUTE(LEFT(RIGHT(E104,LEN(E104)-MIN(SEARCH({1,2,3,4,5,6,7,8,9,0},E104&amp;"1234567890"))+1),10),".","/")),IF((SUBSTITUTE(LEFT(RIGHT(E104,LEN(E104)-MIN(SEARCH({1,2,3,4,5,6,7,8,9,0},E104&amp;"1234567890"))+1),10),".","/"))="","",(AJ104)-(MID(RIGHT((SUBSTITUTE(LEFT(RIGHT(E104,LEN(E104)-MIN(SEARCH({1,2,3,4,5,6,7,8,9,0},E104&amp;"1234567890"))+1),10),".","/")),10),4,2)&amp;"/"&amp;LEFT((RIGHT((SUBSTITUTE(LEFT(RIGHT(E104,LEN(E104)-MIN(SEARCH({1,2,3,4,5,6,7,8,9,0},E104&amp;"1234567890"))+1),10),".","/")),10)),2)&amp;"/"&amp;RIGHT((SUBSTITUTE(LEFT(RIGHT(E104,LEN(E104)-MIN(SEARCH({1,2,3,4,5,6,7,8,9,0},E104&amp;"1234567890"))+1),10),".","/")),4))))),(AJ104-A104))</f>
        <v>471</v>
      </c>
      <c r="C104" s="334"/>
      <c r="D104" s="294" t="str">
        <f t="shared" si="12"/>
        <v>FGCKW2-304/304L/2B-001X770</v>
      </c>
      <c r="E104" s="294" t="s">
        <v>5041</v>
      </c>
      <c r="F104" s="294" t="s">
        <v>5047</v>
      </c>
      <c r="G104" s="294" t="s">
        <v>5048</v>
      </c>
      <c r="H104" s="294" t="s">
        <v>377</v>
      </c>
      <c r="I104" s="337" t="s">
        <v>116</v>
      </c>
      <c r="J104" s="149">
        <v>2.98</v>
      </c>
      <c r="K104" s="149">
        <v>1.02</v>
      </c>
      <c r="L104" s="149">
        <v>1</v>
      </c>
      <c r="M104" s="149">
        <v>1.03</v>
      </c>
      <c r="N104" s="335">
        <v>770</v>
      </c>
      <c r="O104" s="296">
        <v>0.30499999999999999</v>
      </c>
      <c r="P104" s="345">
        <v>0.30599999999999999</v>
      </c>
      <c r="Q104" s="138">
        <v>770</v>
      </c>
      <c r="R104" s="366"/>
      <c r="S104" s="339"/>
      <c r="T104" s="299"/>
      <c r="U104" s="282" t="s">
        <v>3497</v>
      </c>
      <c r="V104" s="282"/>
      <c r="W104" s="282" t="s">
        <v>116</v>
      </c>
      <c r="X104" s="340">
        <v>44391</v>
      </c>
      <c r="Y104" s="340">
        <v>44391</v>
      </c>
      <c r="Z104" s="340">
        <v>44393</v>
      </c>
      <c r="AA104" s="340"/>
      <c r="AB104" s="340"/>
      <c r="AC104" s="341"/>
      <c r="AD104" s="342" t="s">
        <v>64</v>
      </c>
      <c r="AE104" s="342" t="s">
        <v>154</v>
      </c>
      <c r="AF104" s="284" t="s">
        <v>874</v>
      </c>
      <c r="AG104" s="284"/>
      <c r="AH104" s="284">
        <v>44388</v>
      </c>
      <c r="AI104" s="284"/>
      <c r="AJ104" s="334">
        <f ca="1">TODAY()</f>
        <v>44963</v>
      </c>
      <c r="AK104" s="342">
        <f t="shared" ca="1" si="6"/>
        <v>575</v>
      </c>
      <c r="AL104" s="342"/>
      <c r="AM104" s="284"/>
      <c r="AN104" s="284" t="s">
        <v>5049</v>
      </c>
      <c r="AO104" s="343">
        <v>10.09</v>
      </c>
      <c r="AP104" s="343">
        <v>10.1</v>
      </c>
      <c r="AQ104" s="343">
        <v>10.124999999999998</v>
      </c>
      <c r="AR104" s="343">
        <v>10.129999999999999</v>
      </c>
      <c r="AS104" s="331">
        <f t="shared" ca="1" si="13"/>
        <v>572</v>
      </c>
      <c r="AV104" s="331" t="s">
        <v>136</v>
      </c>
    </row>
    <row r="105" spans="1:64" s="331" customFormat="1" ht="18" hidden="1" customHeight="1" x14ac:dyDescent="0.35">
      <c r="A105" s="334">
        <v>44492</v>
      </c>
      <c r="B105" s="335">
        <f ca="1">IF(A105="",(IF(ISNUMBER(SUBSTITUTE(LEFT(RIGHT(E105,LEN(E105)-MIN(SEARCH({1,2,3,4,5,6,7,8,9,0},E105&amp;"1234567890"))+1),10),".","/"))=TRUE,AJ105-(SUBSTITUTE(LEFT(RIGHT(E105,LEN(E105)-MIN(SEARCH({1,2,3,4,5,6,7,8,9,0},E105&amp;"1234567890"))+1),10),".","/")),IF((SUBSTITUTE(LEFT(RIGHT(E105,LEN(E105)-MIN(SEARCH({1,2,3,4,5,6,7,8,9,0},E105&amp;"1234567890"))+1),10),".","/"))="","",(AJ105)-(MID(RIGHT((SUBSTITUTE(LEFT(RIGHT(E105,LEN(E105)-MIN(SEARCH({1,2,3,4,5,6,7,8,9,0},E105&amp;"1234567890"))+1),10),".","/")),10),4,2)&amp;"/"&amp;LEFT((RIGHT((SUBSTITUTE(LEFT(RIGHT(E105,LEN(E105)-MIN(SEARCH({1,2,3,4,5,6,7,8,9,0},E105&amp;"1234567890"))+1),10),".","/")),10)),2)&amp;"/"&amp;RIGHT((SUBSTITUTE(LEFT(RIGHT(E105,LEN(E105)-MIN(SEARCH({1,2,3,4,5,6,7,8,9,0},E105&amp;"1234567890"))+1),10),".","/")),4))))),(AJ105-A105))</f>
        <v>471</v>
      </c>
      <c r="C105" s="334"/>
      <c r="D105" s="294" t="str">
        <f t="shared" si="12"/>
        <v>FGCKW2-304/304L/2B-002X770</v>
      </c>
      <c r="E105" s="294" t="s">
        <v>5050</v>
      </c>
      <c r="F105" s="294" t="s">
        <v>5051</v>
      </c>
      <c r="G105" s="294" t="s">
        <v>5052</v>
      </c>
      <c r="H105" s="294" t="s">
        <v>377</v>
      </c>
      <c r="I105" s="337" t="s">
        <v>116</v>
      </c>
      <c r="J105" s="149">
        <v>3.94</v>
      </c>
      <c r="K105" s="149">
        <v>2</v>
      </c>
      <c r="L105" s="149">
        <v>1.99</v>
      </c>
      <c r="M105" s="149">
        <v>2.0099999999999998</v>
      </c>
      <c r="N105" s="335">
        <v>770</v>
      </c>
      <c r="O105" s="296">
        <v>0.32500000000000001</v>
      </c>
      <c r="P105" s="345">
        <v>0.32600000000000001</v>
      </c>
      <c r="Q105" s="138">
        <v>770</v>
      </c>
      <c r="R105" s="366"/>
      <c r="S105" s="339"/>
      <c r="T105" s="299"/>
      <c r="U105" s="282" t="s">
        <v>3497</v>
      </c>
      <c r="V105" s="282"/>
      <c r="W105" s="282" t="s">
        <v>116</v>
      </c>
      <c r="X105" s="340">
        <v>44394</v>
      </c>
      <c r="Y105" s="340">
        <v>44394</v>
      </c>
      <c r="Z105" s="340">
        <v>44398</v>
      </c>
      <c r="AA105" s="340"/>
      <c r="AB105" s="340"/>
      <c r="AC105" s="341"/>
      <c r="AD105" s="342" t="s">
        <v>64</v>
      </c>
      <c r="AE105" s="342" t="s">
        <v>154</v>
      </c>
      <c r="AF105" s="284" t="s">
        <v>874</v>
      </c>
      <c r="AG105" s="284"/>
      <c r="AH105" s="284">
        <v>44388</v>
      </c>
      <c r="AI105" s="284"/>
      <c r="AJ105" s="334">
        <f t="shared" ref="AJ105:AJ138" ca="1" si="14">TODAY()</f>
        <v>44963</v>
      </c>
      <c r="AK105" s="342">
        <f t="shared" ca="1" si="6"/>
        <v>575</v>
      </c>
      <c r="AL105" s="342"/>
      <c r="AM105" s="284"/>
      <c r="AN105" s="284" t="s">
        <v>5053</v>
      </c>
      <c r="AO105" s="343">
        <v>10.49</v>
      </c>
      <c r="AP105" s="343">
        <v>10.5</v>
      </c>
      <c r="AQ105" s="343">
        <v>10.524999999999999</v>
      </c>
      <c r="AR105" s="343">
        <v>10.53</v>
      </c>
      <c r="AS105" s="331">
        <f t="shared" ca="1" si="13"/>
        <v>569</v>
      </c>
      <c r="AV105" s="331" t="s">
        <v>136</v>
      </c>
    </row>
    <row r="106" spans="1:64" s="331" customFormat="1" ht="18" hidden="1" customHeight="1" x14ac:dyDescent="0.35">
      <c r="A106" s="334">
        <v>44414</v>
      </c>
      <c r="B106" s="335">
        <f ca="1">IF(A106="",(IF(ISNUMBER(SUBSTITUTE(LEFT(RIGHT(E106,LEN(E106)-MIN(SEARCH({1,2,3,4,5,6,7,8,9,0},E106&amp;"1234567890"))+1),10),".","/"))=TRUE,AJ106-(SUBSTITUTE(LEFT(RIGHT(E106,LEN(E106)-MIN(SEARCH({1,2,3,4,5,6,7,8,9,0},E106&amp;"1234567890"))+1),10),".","/")),IF((SUBSTITUTE(LEFT(RIGHT(E106,LEN(E106)-MIN(SEARCH({1,2,3,4,5,6,7,8,9,0},E106&amp;"1234567890"))+1),10),".","/"))="","",(AJ106)-(MID(RIGHT((SUBSTITUTE(LEFT(RIGHT(E106,LEN(E106)-MIN(SEARCH({1,2,3,4,5,6,7,8,9,0},E106&amp;"1234567890"))+1),10),".","/")),10),4,2)&amp;"/"&amp;LEFT((RIGHT((SUBSTITUTE(LEFT(RIGHT(E106,LEN(E106)-MIN(SEARCH({1,2,3,4,5,6,7,8,9,0},E106&amp;"1234567890"))+1),10),".","/")),10)),2)&amp;"/"&amp;RIGHT((SUBSTITUTE(LEFT(RIGHT(E106,LEN(E106)-MIN(SEARCH({1,2,3,4,5,6,7,8,9,0},E106&amp;"1234567890"))+1),10),".","/")),4))))),(AJ106-A106))</f>
        <v>549</v>
      </c>
      <c r="C106" s="334"/>
      <c r="D106" s="294" t="str">
        <f t="shared" si="12"/>
        <v>FGCKW2-304/2B-002X770</v>
      </c>
      <c r="E106" s="294" t="s">
        <v>5054</v>
      </c>
      <c r="F106" s="294" t="s">
        <v>5055</v>
      </c>
      <c r="G106" s="294" t="s">
        <v>5056</v>
      </c>
      <c r="H106" s="294">
        <v>304</v>
      </c>
      <c r="I106" s="337" t="s">
        <v>116</v>
      </c>
      <c r="J106" s="149">
        <v>3.8</v>
      </c>
      <c r="K106" s="149">
        <v>1.5</v>
      </c>
      <c r="L106" s="149">
        <v>1.48</v>
      </c>
      <c r="M106" s="149">
        <v>1.52</v>
      </c>
      <c r="N106" s="335">
        <v>770</v>
      </c>
      <c r="O106" s="296">
        <v>0.34</v>
      </c>
      <c r="P106" s="345">
        <v>0.34100000000000003</v>
      </c>
      <c r="Q106" s="138">
        <v>770</v>
      </c>
      <c r="R106" s="366"/>
      <c r="S106" s="339"/>
      <c r="T106" s="299"/>
      <c r="U106" s="282" t="s">
        <v>3497</v>
      </c>
      <c r="V106" s="282"/>
      <c r="W106" s="282" t="s">
        <v>116</v>
      </c>
      <c r="X106" s="340">
        <v>44396</v>
      </c>
      <c r="Y106" s="340">
        <v>44396</v>
      </c>
      <c r="Z106" s="340">
        <v>44400</v>
      </c>
      <c r="AA106" s="340"/>
      <c r="AB106" s="340"/>
      <c r="AC106" s="341"/>
      <c r="AD106" s="342" t="s">
        <v>64</v>
      </c>
      <c r="AE106" s="342" t="s">
        <v>154</v>
      </c>
      <c r="AF106" s="284" t="s">
        <v>874</v>
      </c>
      <c r="AG106" s="284"/>
      <c r="AH106" s="284">
        <v>44388</v>
      </c>
      <c r="AI106" s="284"/>
      <c r="AJ106" s="334">
        <f t="shared" ca="1" si="14"/>
        <v>44963</v>
      </c>
      <c r="AK106" s="342">
        <f t="shared" ca="1" si="6"/>
        <v>575</v>
      </c>
      <c r="AL106" s="342"/>
      <c r="AM106" s="284"/>
      <c r="AN106" s="284" t="s">
        <v>5057</v>
      </c>
      <c r="AO106" s="343">
        <v>12.07</v>
      </c>
      <c r="AP106" s="343">
        <v>12.08</v>
      </c>
      <c r="AQ106" s="343">
        <v>12.104999999999999</v>
      </c>
      <c r="AR106" s="343">
        <v>12.11</v>
      </c>
      <c r="AS106" s="331">
        <f t="shared" ca="1" si="13"/>
        <v>567</v>
      </c>
      <c r="AV106" s="331" t="s">
        <v>136</v>
      </c>
      <c r="BL106" s="331" t="s">
        <v>3515</v>
      </c>
    </row>
    <row r="107" spans="1:64" s="331" customFormat="1" ht="18" hidden="1" customHeight="1" x14ac:dyDescent="0.35">
      <c r="A107" s="334"/>
      <c r="B107" s="335" t="e">
        <f ca="1">IF(A107="",(IF(ISNUMBER(SUBSTITUTE(LEFT(RIGHT(E107,LEN(E107)-MIN(SEARCH({1,2,3,4,5,6,7,8,9,0},E107&amp;"1234567890"))+1),10),".","/"))=TRUE,AJ107-(SUBSTITUTE(LEFT(RIGHT(E107,LEN(E107)-MIN(SEARCH({1,2,3,4,5,6,7,8,9,0},E107&amp;"1234567890"))+1),10),".","/")),IF((SUBSTITUTE(LEFT(RIGHT(E107,LEN(E107)-MIN(SEARCH({1,2,3,4,5,6,7,8,9,0},E107&amp;"1234567890"))+1),10),".","/"))="","",(AJ107)-(MID(RIGHT((SUBSTITUTE(LEFT(RIGHT(E107,LEN(E107)-MIN(SEARCH({1,2,3,4,5,6,7,8,9,0},E107&amp;"1234567890"))+1),10),".","/")),10),4,2)&amp;"/"&amp;LEFT((RIGHT((SUBSTITUTE(LEFT(RIGHT(E107,LEN(E107)-MIN(SEARCH({1,2,3,4,5,6,7,8,9,0},E107&amp;"1234567890"))+1),10),".","/")),10)),2)&amp;"/"&amp;RIGHT((SUBSTITUTE(LEFT(RIGHT(E107,LEN(E107)-MIN(SEARCH({1,2,3,4,5,6,7,8,9,0},E107&amp;"1234567890"))+1),10),".","/")),4))))),(AJ107-A107))</f>
        <v>#VALUE!</v>
      </c>
      <c r="C107" s="334"/>
      <c r="D107" s="294" t="str">
        <f t="shared" si="12"/>
        <v>FGCKW2-304/2B-002X770</v>
      </c>
      <c r="E107" s="294" t="s">
        <v>5058</v>
      </c>
      <c r="F107" s="294" t="s">
        <v>5059</v>
      </c>
      <c r="G107" s="294" t="s">
        <v>5060</v>
      </c>
      <c r="H107" s="294">
        <v>304</v>
      </c>
      <c r="I107" s="337" t="s">
        <v>116</v>
      </c>
      <c r="J107" s="149">
        <v>3.78</v>
      </c>
      <c r="K107" s="149">
        <v>1.5</v>
      </c>
      <c r="L107" s="149">
        <v>1.47</v>
      </c>
      <c r="M107" s="149">
        <v>1.52</v>
      </c>
      <c r="N107" s="335">
        <v>770</v>
      </c>
      <c r="O107" s="296">
        <v>0.47499999999999998</v>
      </c>
      <c r="P107" s="345"/>
      <c r="Q107" s="138">
        <v>770</v>
      </c>
      <c r="R107" s="366"/>
      <c r="S107" s="339"/>
      <c r="T107" s="299"/>
      <c r="U107" s="282" t="s">
        <v>3497</v>
      </c>
      <c r="V107" s="282"/>
      <c r="W107" s="282" t="s">
        <v>116</v>
      </c>
      <c r="X107" s="340">
        <v>44397</v>
      </c>
      <c r="Y107" s="340">
        <v>44397</v>
      </c>
      <c r="Z107" s="340">
        <v>44398</v>
      </c>
      <c r="AA107" s="340">
        <v>44398</v>
      </c>
      <c r="AB107" s="340"/>
      <c r="AC107" s="341"/>
      <c r="AD107" s="342" t="s">
        <v>64</v>
      </c>
      <c r="AE107" s="342" t="s">
        <v>154</v>
      </c>
      <c r="AF107" s="284" t="s">
        <v>874</v>
      </c>
      <c r="AG107" s="284"/>
      <c r="AH107" s="284">
        <v>44388</v>
      </c>
      <c r="AI107" s="284"/>
      <c r="AJ107" s="334">
        <f t="shared" ca="1" si="14"/>
        <v>44963</v>
      </c>
      <c r="AK107" s="342">
        <f t="shared" ca="1" si="6"/>
        <v>575</v>
      </c>
      <c r="AL107" s="342"/>
      <c r="AM107" s="284"/>
      <c r="AN107" s="284" t="s">
        <v>5061</v>
      </c>
      <c r="AO107" s="343">
        <v>12.05</v>
      </c>
      <c r="AP107" s="343">
        <v>12.06</v>
      </c>
      <c r="AQ107" s="343">
        <v>12.084999999999999</v>
      </c>
      <c r="AR107" s="343">
        <v>12.09</v>
      </c>
      <c r="AS107" s="331">
        <f t="shared" ca="1" si="13"/>
        <v>566</v>
      </c>
      <c r="AV107" s="331" t="s">
        <v>136</v>
      </c>
    </row>
    <row r="108" spans="1:64" s="331" customFormat="1" ht="18" hidden="1" customHeight="1" x14ac:dyDescent="0.35">
      <c r="A108" s="334">
        <v>44492</v>
      </c>
      <c r="B108" s="335">
        <f ca="1">IF(A108="",(IF(ISNUMBER(SUBSTITUTE(LEFT(RIGHT(E108,LEN(E108)-MIN(SEARCH({1,2,3,4,5,6,7,8,9,0},E108&amp;"1234567890"))+1),10),".","/"))=TRUE,AJ108-(SUBSTITUTE(LEFT(RIGHT(E108,LEN(E108)-MIN(SEARCH({1,2,3,4,5,6,7,8,9,0},E108&amp;"1234567890"))+1),10),".","/")),IF((SUBSTITUTE(LEFT(RIGHT(E108,LEN(E108)-MIN(SEARCH({1,2,3,4,5,6,7,8,9,0},E108&amp;"1234567890"))+1),10),".","/"))="","",(AJ108)-(MID(RIGHT((SUBSTITUTE(LEFT(RIGHT(E108,LEN(E108)-MIN(SEARCH({1,2,3,4,5,6,7,8,9,0},E108&amp;"1234567890"))+1),10),".","/")),10),4,2)&amp;"/"&amp;LEFT((RIGHT((SUBSTITUTE(LEFT(RIGHT(E108,LEN(E108)-MIN(SEARCH({1,2,3,4,5,6,7,8,9,0},E108&amp;"1234567890"))+1),10),".","/")),10)),2)&amp;"/"&amp;RIGHT((SUBSTITUTE(LEFT(RIGHT(E108,LEN(E108)-MIN(SEARCH({1,2,3,4,5,6,7,8,9,0},E108&amp;"1234567890"))+1),10),".","/")),4))))),(AJ108-A108))</f>
        <v>471</v>
      </c>
      <c r="C108" s="334"/>
      <c r="D108" s="294" t="str">
        <f t="shared" si="12"/>
        <v>FGCKW2-304/304L/2B-001X770</v>
      </c>
      <c r="E108" s="294" t="s">
        <v>5062</v>
      </c>
      <c r="F108" s="294" t="s">
        <v>5063</v>
      </c>
      <c r="G108" s="294" t="s">
        <v>5064</v>
      </c>
      <c r="H108" s="294" t="s">
        <v>377</v>
      </c>
      <c r="I108" s="337" t="s">
        <v>116</v>
      </c>
      <c r="J108" s="149">
        <v>3</v>
      </c>
      <c r="K108" s="149">
        <v>1</v>
      </c>
      <c r="L108" s="149">
        <v>0.96</v>
      </c>
      <c r="M108" s="149">
        <v>0.98</v>
      </c>
      <c r="N108" s="335">
        <v>770</v>
      </c>
      <c r="O108" s="296">
        <v>0.51500000000000001</v>
      </c>
      <c r="P108" s="345">
        <v>0.51600000000000001</v>
      </c>
      <c r="Q108" s="138">
        <v>770</v>
      </c>
      <c r="R108" s="366"/>
      <c r="S108" s="339"/>
      <c r="T108" s="299"/>
      <c r="U108" s="282" t="s">
        <v>3497</v>
      </c>
      <c r="V108" s="282"/>
      <c r="W108" s="282" t="s">
        <v>116</v>
      </c>
      <c r="X108" s="340">
        <v>44399</v>
      </c>
      <c r="Y108" s="340">
        <v>44400</v>
      </c>
      <c r="Z108" s="340">
        <v>44401</v>
      </c>
      <c r="AA108" s="340"/>
      <c r="AB108" s="340"/>
      <c r="AC108" s="341"/>
      <c r="AD108" s="342" t="s">
        <v>64</v>
      </c>
      <c r="AE108" s="342" t="s">
        <v>154</v>
      </c>
      <c r="AF108" s="284" t="s">
        <v>868</v>
      </c>
      <c r="AG108" s="284"/>
      <c r="AH108" s="284">
        <v>44388</v>
      </c>
      <c r="AI108" s="284"/>
      <c r="AJ108" s="334">
        <f t="shared" ca="1" si="14"/>
        <v>44963</v>
      </c>
      <c r="AK108" s="342">
        <f t="shared" ca="1" si="6"/>
        <v>575</v>
      </c>
      <c r="AL108" s="342"/>
      <c r="AM108" s="284"/>
      <c r="AN108" s="284" t="s">
        <v>5065</v>
      </c>
      <c r="AO108" s="343">
        <v>10.515000000000001</v>
      </c>
      <c r="AP108" s="343">
        <v>10.525</v>
      </c>
      <c r="AQ108" s="343">
        <v>10.549999999999999</v>
      </c>
      <c r="AR108" s="343">
        <v>10.555</v>
      </c>
      <c r="AS108" s="331">
        <f t="shared" ca="1" si="13"/>
        <v>563</v>
      </c>
      <c r="AV108" s="331" t="s">
        <v>136</v>
      </c>
      <c r="BL108" s="331" t="s">
        <v>3572</v>
      </c>
    </row>
    <row r="109" spans="1:64" s="331" customFormat="1" ht="18" hidden="1" customHeight="1" x14ac:dyDescent="0.35">
      <c r="A109" s="334">
        <v>44490</v>
      </c>
      <c r="B109" s="335">
        <f ca="1">IF(A109="",(IF(ISNUMBER(SUBSTITUTE(LEFT(RIGHT(E109,LEN(E109)-MIN(SEARCH({1,2,3,4,5,6,7,8,9,0},E109&amp;"1234567890"))+1),10),".","/"))=TRUE,AJ109-(SUBSTITUTE(LEFT(RIGHT(E109,LEN(E109)-MIN(SEARCH({1,2,3,4,5,6,7,8,9,0},E109&amp;"1234567890"))+1),10),".","/")),IF((SUBSTITUTE(LEFT(RIGHT(E109,LEN(E109)-MIN(SEARCH({1,2,3,4,5,6,7,8,9,0},E109&amp;"1234567890"))+1),10),".","/"))="","",(AJ109)-(MID(RIGHT((SUBSTITUTE(LEFT(RIGHT(E109,LEN(E109)-MIN(SEARCH({1,2,3,4,5,6,7,8,9,0},E109&amp;"1234567890"))+1),10),".","/")),10),4,2)&amp;"/"&amp;LEFT((RIGHT((SUBSTITUTE(LEFT(RIGHT(E109,LEN(E109)-MIN(SEARCH({1,2,3,4,5,6,7,8,9,0},E109&amp;"1234567890"))+1),10),".","/")),10)),2)&amp;"/"&amp;RIGHT((SUBSTITUTE(LEFT(RIGHT(E109,LEN(E109)-MIN(SEARCH({1,2,3,4,5,6,7,8,9,0},E109&amp;"1234567890"))+1),10),".","/")),4))))),(AJ109-A109))</f>
        <v>473</v>
      </c>
      <c r="C109" s="334"/>
      <c r="D109" s="294" t="str">
        <f t="shared" si="12"/>
        <v>FGCKW2-304/304L/2B-000X755</v>
      </c>
      <c r="E109" s="294" t="s">
        <v>5062</v>
      </c>
      <c r="F109" s="294" t="s">
        <v>5066</v>
      </c>
      <c r="G109" s="294" t="s">
        <v>5067</v>
      </c>
      <c r="H109" s="294" t="s">
        <v>377</v>
      </c>
      <c r="I109" s="337" t="s">
        <v>116</v>
      </c>
      <c r="J109" s="149">
        <v>0.73</v>
      </c>
      <c r="K109" s="149">
        <v>0.38</v>
      </c>
      <c r="L109" s="149">
        <v>0.37</v>
      </c>
      <c r="M109" s="149">
        <v>0.38</v>
      </c>
      <c r="N109" s="335">
        <v>766</v>
      </c>
      <c r="O109" s="296">
        <v>0.26</v>
      </c>
      <c r="P109" s="345">
        <v>0.26100000000000001</v>
      </c>
      <c r="Q109" s="138">
        <v>755</v>
      </c>
      <c r="R109" s="366"/>
      <c r="S109" s="339"/>
      <c r="T109" s="299"/>
      <c r="U109" s="282" t="s">
        <v>3497</v>
      </c>
      <c r="V109" s="282" t="s">
        <v>5068</v>
      </c>
      <c r="W109" s="282" t="s">
        <v>116</v>
      </c>
      <c r="X109" s="340" t="s">
        <v>5069</v>
      </c>
      <c r="Y109" s="340" t="s">
        <v>5070</v>
      </c>
      <c r="Z109" s="340" t="s">
        <v>5071</v>
      </c>
      <c r="AA109" s="340">
        <v>44402</v>
      </c>
      <c r="AB109" s="340"/>
      <c r="AC109" s="341"/>
      <c r="AD109" s="342" t="s">
        <v>64</v>
      </c>
      <c r="AE109" s="342" t="s">
        <v>154</v>
      </c>
      <c r="AF109" s="284" t="s">
        <v>868</v>
      </c>
      <c r="AG109" s="284"/>
      <c r="AH109" s="284">
        <v>44388</v>
      </c>
      <c r="AI109" s="284"/>
      <c r="AJ109" s="334">
        <f t="shared" ca="1" si="14"/>
        <v>44963</v>
      </c>
      <c r="AK109" s="342">
        <f t="shared" ca="1" si="6"/>
        <v>575</v>
      </c>
      <c r="AL109" s="342"/>
      <c r="AM109" s="284"/>
      <c r="AN109" s="284" t="s">
        <v>5072</v>
      </c>
      <c r="AO109" s="343">
        <v>10.48</v>
      </c>
      <c r="AP109" s="343">
        <v>10.49</v>
      </c>
      <c r="AQ109" s="343">
        <v>10.514999999999999</v>
      </c>
      <c r="AR109" s="343">
        <v>10.52</v>
      </c>
      <c r="AS109" s="331" t="e">
        <f t="shared" ca="1" si="13"/>
        <v>#VALUE!</v>
      </c>
      <c r="AV109" s="331" t="s">
        <v>136</v>
      </c>
      <c r="BL109" s="331" t="s">
        <v>3572</v>
      </c>
    </row>
    <row r="110" spans="1:64" s="331" customFormat="1" ht="18.75" hidden="1" customHeight="1" x14ac:dyDescent="0.35">
      <c r="A110" s="334">
        <v>44524</v>
      </c>
      <c r="B110" s="335">
        <f ca="1">IF(A110="",(IF(ISNUMBER(SUBSTITUTE(LEFT(RIGHT(E110,LEN(E110)-MIN(SEARCH({1,2,3,4,5,6,7,8,9,0},E110&amp;"1234567890"))+1),10),".","/"))=TRUE,AJ110-(SUBSTITUTE(LEFT(RIGHT(E110,LEN(E110)-MIN(SEARCH({1,2,3,4,5,6,7,8,9,0},E110&amp;"1234567890"))+1),10),".","/")),IF((SUBSTITUTE(LEFT(RIGHT(E110,LEN(E110)-MIN(SEARCH({1,2,3,4,5,6,7,8,9,0},E110&amp;"1234567890"))+1),10),".","/"))="","",(AJ110)-(MID(RIGHT((SUBSTITUTE(LEFT(RIGHT(E110,LEN(E110)-MIN(SEARCH({1,2,3,4,5,6,7,8,9,0},E110&amp;"1234567890"))+1),10),".","/")),10),4,2)&amp;"/"&amp;LEFT((RIGHT((SUBSTITUTE(LEFT(RIGHT(E110,LEN(E110)-MIN(SEARCH({1,2,3,4,5,6,7,8,9,0},E110&amp;"1234567890"))+1),10),".","/")),10)),2)&amp;"/"&amp;RIGHT((SUBSTITUTE(LEFT(RIGHT(E110,LEN(E110)-MIN(SEARCH({1,2,3,4,5,6,7,8,9,0},E110&amp;"1234567890"))+1),10),".","/")),4))))),(AJ110-A110))</f>
        <v>439</v>
      </c>
      <c r="C110" s="334"/>
      <c r="D110" s="294" t="str">
        <f t="shared" si="12"/>
        <v>FGCKW2-304/304L/2B-002X760</v>
      </c>
      <c r="E110" s="294" t="s">
        <v>5073</v>
      </c>
      <c r="F110" s="294" t="s">
        <v>5074</v>
      </c>
      <c r="G110" s="294" t="s">
        <v>5075</v>
      </c>
      <c r="H110" s="294" t="s">
        <v>377</v>
      </c>
      <c r="I110" s="337" t="s">
        <v>116</v>
      </c>
      <c r="J110" s="149">
        <v>3.8</v>
      </c>
      <c r="K110" s="149">
        <v>1.9</v>
      </c>
      <c r="L110" s="149">
        <v>1.88</v>
      </c>
      <c r="M110" s="149">
        <v>1.93</v>
      </c>
      <c r="N110" s="335">
        <v>770</v>
      </c>
      <c r="O110" s="296">
        <v>0.25</v>
      </c>
      <c r="P110" s="345">
        <v>0.251</v>
      </c>
      <c r="Q110" s="138">
        <v>760</v>
      </c>
      <c r="R110" s="138"/>
      <c r="S110" s="339"/>
      <c r="T110" s="299"/>
      <c r="U110" s="282" t="s">
        <v>3497</v>
      </c>
      <c r="V110" s="282"/>
      <c r="W110" s="282"/>
      <c r="X110" s="340">
        <v>44399</v>
      </c>
      <c r="Y110" s="340">
        <v>44399</v>
      </c>
      <c r="Z110" s="340">
        <v>44405</v>
      </c>
      <c r="AA110" s="340"/>
      <c r="AB110" s="340"/>
      <c r="AC110" s="341"/>
      <c r="AD110" s="342" t="s">
        <v>64</v>
      </c>
      <c r="AE110" s="342" t="s">
        <v>154</v>
      </c>
      <c r="AF110" s="284" t="s">
        <v>2816</v>
      </c>
      <c r="AG110" s="284"/>
      <c r="AH110" s="284">
        <v>44388</v>
      </c>
      <c r="AI110" s="284"/>
      <c r="AJ110" s="334">
        <f t="shared" ca="1" si="14"/>
        <v>44963</v>
      </c>
      <c r="AK110" s="342">
        <f t="shared" ca="1" si="6"/>
        <v>575</v>
      </c>
      <c r="AL110" s="342"/>
      <c r="AM110" s="284"/>
      <c r="AN110" s="284" t="s">
        <v>5076</v>
      </c>
      <c r="AO110" s="343">
        <v>10.39</v>
      </c>
      <c r="AP110" s="343">
        <v>10.4</v>
      </c>
      <c r="AQ110" s="343">
        <v>10.424999999999999</v>
      </c>
      <c r="AR110" s="343">
        <v>10.43</v>
      </c>
      <c r="AS110" s="331">
        <f t="shared" ca="1" si="13"/>
        <v>564</v>
      </c>
      <c r="AV110" s="331" t="s">
        <v>136</v>
      </c>
      <c r="BL110" s="331" t="s">
        <v>3572</v>
      </c>
    </row>
    <row r="111" spans="1:64" s="331" customFormat="1" ht="18" hidden="1" customHeight="1" x14ac:dyDescent="0.35">
      <c r="A111" s="334">
        <v>44524</v>
      </c>
      <c r="B111" s="335">
        <f ca="1">IF(A111="",(IF(ISNUMBER(SUBSTITUTE(LEFT(RIGHT(E111,LEN(E111)-MIN(SEARCH({1,2,3,4,5,6,7,8,9,0},E111&amp;"1234567890"))+1),10),".","/"))=TRUE,AJ111-(SUBSTITUTE(LEFT(RIGHT(E111,LEN(E111)-MIN(SEARCH({1,2,3,4,5,6,7,8,9,0},E111&amp;"1234567890"))+1),10),".","/")),IF((SUBSTITUTE(LEFT(RIGHT(E111,LEN(E111)-MIN(SEARCH({1,2,3,4,5,6,7,8,9,0},E111&amp;"1234567890"))+1),10),".","/"))="","",(AJ111)-(MID(RIGHT((SUBSTITUTE(LEFT(RIGHT(E111,LEN(E111)-MIN(SEARCH({1,2,3,4,5,6,7,8,9,0},E111&amp;"1234567890"))+1),10),".","/")),10),4,2)&amp;"/"&amp;LEFT((RIGHT((SUBSTITUTE(LEFT(RIGHT(E111,LEN(E111)-MIN(SEARCH({1,2,3,4,5,6,7,8,9,0},E111&amp;"1234567890"))+1),10),".","/")),10)),2)&amp;"/"&amp;RIGHT((SUBSTITUTE(LEFT(RIGHT(E111,LEN(E111)-MIN(SEARCH({1,2,3,4,5,6,7,8,9,0},E111&amp;"1234567890"))+1),10),".","/")),4))))),(AJ111-A111))</f>
        <v>439</v>
      </c>
      <c r="C111" s="334"/>
      <c r="D111" s="294" t="str">
        <f t="shared" si="12"/>
        <v>FGCKW2-304/2B-002X770</v>
      </c>
      <c r="E111" s="294" t="s">
        <v>5077</v>
      </c>
      <c r="F111" s="294" t="s">
        <v>4385</v>
      </c>
      <c r="G111" s="294" t="s">
        <v>5078</v>
      </c>
      <c r="H111" s="294">
        <v>304</v>
      </c>
      <c r="I111" s="337" t="s">
        <v>116</v>
      </c>
      <c r="J111" s="149">
        <v>3.78</v>
      </c>
      <c r="K111" s="149">
        <v>1.76</v>
      </c>
      <c r="L111" s="149">
        <v>1.72</v>
      </c>
      <c r="M111" s="149">
        <v>1.76</v>
      </c>
      <c r="N111" s="335">
        <v>770</v>
      </c>
      <c r="O111" s="296">
        <v>0.62</v>
      </c>
      <c r="P111" s="345">
        <v>0.621</v>
      </c>
      <c r="Q111" s="138">
        <v>770</v>
      </c>
      <c r="R111" s="366"/>
      <c r="S111" s="339"/>
      <c r="T111" s="299"/>
      <c r="U111" s="282" t="s">
        <v>3497</v>
      </c>
      <c r="V111" s="282"/>
      <c r="W111" s="282" t="s">
        <v>116</v>
      </c>
      <c r="X111" s="340">
        <v>44401</v>
      </c>
      <c r="Y111" s="340">
        <v>44401</v>
      </c>
      <c r="Z111" s="340">
        <v>44402</v>
      </c>
      <c r="AA111" s="340"/>
      <c r="AB111" s="340"/>
      <c r="AC111" s="341"/>
      <c r="AD111" s="342" t="s">
        <v>64</v>
      </c>
      <c r="AE111" s="342" t="s">
        <v>154</v>
      </c>
      <c r="AF111" s="284" t="s">
        <v>2816</v>
      </c>
      <c r="AG111" s="284"/>
      <c r="AH111" s="284">
        <v>44388</v>
      </c>
      <c r="AI111" s="284"/>
      <c r="AJ111" s="334">
        <f t="shared" ca="1" si="14"/>
        <v>44963</v>
      </c>
      <c r="AK111" s="342">
        <f t="shared" ca="1" si="6"/>
        <v>575</v>
      </c>
      <c r="AL111" s="342"/>
      <c r="AM111" s="284"/>
      <c r="AN111" s="284" t="s">
        <v>4388</v>
      </c>
      <c r="AO111" s="343">
        <v>10.44</v>
      </c>
      <c r="AP111" s="343">
        <v>10.45</v>
      </c>
      <c r="AQ111" s="343">
        <v>10.474999999999998</v>
      </c>
      <c r="AR111" s="343">
        <v>10.479999999999999</v>
      </c>
      <c r="AS111" s="331">
        <f t="shared" ca="1" si="13"/>
        <v>562</v>
      </c>
      <c r="AV111" s="331" t="s">
        <v>136</v>
      </c>
      <c r="BL111" s="331" t="s">
        <v>3572</v>
      </c>
    </row>
    <row r="112" spans="1:64" s="331" customFormat="1" ht="18" hidden="1" customHeight="1" x14ac:dyDescent="0.35">
      <c r="A112" s="334">
        <v>44524</v>
      </c>
      <c r="B112" s="335">
        <f ca="1">IF(A112="",(IF(ISNUMBER(SUBSTITUTE(LEFT(RIGHT(E112,LEN(E112)-MIN(SEARCH({1,2,3,4,5,6,7,8,9,0},E112&amp;"1234567890"))+1),10),".","/"))=TRUE,AJ112-(SUBSTITUTE(LEFT(RIGHT(E112,LEN(E112)-MIN(SEARCH({1,2,3,4,5,6,7,8,9,0},E112&amp;"1234567890"))+1),10),".","/")),IF((SUBSTITUTE(LEFT(RIGHT(E112,LEN(E112)-MIN(SEARCH({1,2,3,4,5,6,7,8,9,0},E112&amp;"1234567890"))+1),10),".","/"))="","",(AJ112)-(MID(RIGHT((SUBSTITUTE(LEFT(RIGHT(E112,LEN(E112)-MIN(SEARCH({1,2,3,4,5,6,7,8,9,0},E112&amp;"1234567890"))+1),10),".","/")),10),4,2)&amp;"/"&amp;LEFT((RIGHT((SUBSTITUTE(LEFT(RIGHT(E112,LEN(E112)-MIN(SEARCH({1,2,3,4,5,6,7,8,9,0},E112&amp;"1234567890"))+1),10),".","/")),10)),2)&amp;"/"&amp;RIGHT((SUBSTITUTE(LEFT(RIGHT(E112,LEN(E112)-MIN(SEARCH({1,2,3,4,5,6,7,8,9,0},E112&amp;"1234567890"))+1),10),".","/")),4))))),(AJ112-A112))</f>
        <v>439</v>
      </c>
      <c r="C112" s="334"/>
      <c r="D112" s="294" t="str">
        <f t="shared" si="12"/>
        <v>FGCKW2-304/304L/2B-002X760</v>
      </c>
      <c r="E112" s="294" t="s">
        <v>5079</v>
      </c>
      <c r="F112" s="294" t="s">
        <v>5080</v>
      </c>
      <c r="G112" s="294" t="s">
        <v>5081</v>
      </c>
      <c r="H112" s="294" t="s">
        <v>377</v>
      </c>
      <c r="I112" s="337" t="s">
        <v>116</v>
      </c>
      <c r="J112" s="149">
        <v>3.97</v>
      </c>
      <c r="K112" s="149">
        <v>1.5</v>
      </c>
      <c r="L112" s="149">
        <v>1.46</v>
      </c>
      <c r="M112" s="149">
        <v>1.5</v>
      </c>
      <c r="N112" s="335">
        <v>770</v>
      </c>
      <c r="O112" s="296">
        <v>0.625</v>
      </c>
      <c r="P112" s="345">
        <v>0.626</v>
      </c>
      <c r="Q112" s="138">
        <v>760</v>
      </c>
      <c r="R112" s="366"/>
      <c r="S112" s="339"/>
      <c r="T112" s="299"/>
      <c r="U112" s="282" t="s">
        <v>3497</v>
      </c>
      <c r="V112" s="282"/>
      <c r="W112" s="282" t="s">
        <v>116</v>
      </c>
      <c r="X112" s="340">
        <v>44401</v>
      </c>
      <c r="Y112" s="340">
        <v>44402</v>
      </c>
      <c r="Z112" s="340">
        <v>44404</v>
      </c>
      <c r="AA112" s="340"/>
      <c r="AB112" s="340"/>
      <c r="AC112" s="341"/>
      <c r="AD112" s="342" t="s">
        <v>64</v>
      </c>
      <c r="AE112" s="342" t="s">
        <v>154</v>
      </c>
      <c r="AF112" s="284" t="s">
        <v>868</v>
      </c>
      <c r="AG112" s="284"/>
      <c r="AH112" s="284">
        <v>44388</v>
      </c>
      <c r="AI112" s="284"/>
      <c r="AJ112" s="334">
        <f t="shared" ca="1" si="14"/>
        <v>44963</v>
      </c>
      <c r="AK112" s="342">
        <f t="shared" ca="1" si="6"/>
        <v>575</v>
      </c>
      <c r="AL112" s="342"/>
      <c r="AM112" s="284"/>
      <c r="AN112" s="284" t="s">
        <v>5082</v>
      </c>
      <c r="AO112" s="343">
        <v>12.14</v>
      </c>
      <c r="AP112" s="343">
        <v>12.15</v>
      </c>
      <c r="AQ112" s="343">
        <v>12.174999999999999</v>
      </c>
      <c r="AR112" s="343">
        <v>12.18</v>
      </c>
      <c r="AS112" s="331">
        <f t="shared" ca="1" si="13"/>
        <v>561</v>
      </c>
      <c r="AV112" s="331" t="s">
        <v>136</v>
      </c>
      <c r="BL112" s="331" t="s">
        <v>3572</v>
      </c>
    </row>
    <row r="113" spans="1:64" s="331" customFormat="1" ht="18" hidden="1" customHeight="1" x14ac:dyDescent="0.35">
      <c r="A113" s="334">
        <v>44524</v>
      </c>
      <c r="B113" s="335">
        <f ca="1">IF(A113="",(IF(ISNUMBER(SUBSTITUTE(LEFT(RIGHT(E113,LEN(E113)-MIN(SEARCH({1,2,3,4,5,6,7,8,9,0},E113&amp;"1234567890"))+1),10),".","/"))=TRUE,AJ113-(SUBSTITUTE(LEFT(RIGHT(E113,LEN(E113)-MIN(SEARCH({1,2,3,4,5,6,7,8,9,0},E113&amp;"1234567890"))+1),10),".","/")),IF((SUBSTITUTE(LEFT(RIGHT(E113,LEN(E113)-MIN(SEARCH({1,2,3,4,5,6,7,8,9,0},E113&amp;"1234567890"))+1),10),".","/"))="","",(AJ113)-(MID(RIGHT((SUBSTITUTE(LEFT(RIGHT(E113,LEN(E113)-MIN(SEARCH({1,2,3,4,5,6,7,8,9,0},E113&amp;"1234567890"))+1),10),".","/")),10),4,2)&amp;"/"&amp;LEFT((RIGHT((SUBSTITUTE(LEFT(RIGHT(E113,LEN(E113)-MIN(SEARCH({1,2,3,4,5,6,7,8,9,0},E113&amp;"1234567890"))+1),10),".","/")),10)),2)&amp;"/"&amp;RIGHT((SUBSTITUTE(LEFT(RIGHT(E113,LEN(E113)-MIN(SEARCH({1,2,3,4,5,6,7,8,9,0},E113&amp;"1234567890"))+1),10),".","/")),4))))),(AJ113-A113))</f>
        <v>439</v>
      </c>
      <c r="C113" s="334"/>
      <c r="D113" s="294" t="str">
        <f t="shared" si="12"/>
        <v>FGCKW2-J3/2B-000X585</v>
      </c>
      <c r="E113" s="294" t="s">
        <v>5083</v>
      </c>
      <c r="F113" s="294" t="s">
        <v>5084</v>
      </c>
      <c r="G113" s="294" t="s">
        <v>5085</v>
      </c>
      <c r="H113" s="294" t="s">
        <v>29</v>
      </c>
      <c r="I113" s="337" t="s">
        <v>116</v>
      </c>
      <c r="J113" s="149">
        <v>0.74</v>
      </c>
      <c r="K113" s="149">
        <v>0.4</v>
      </c>
      <c r="L113" s="149">
        <v>0.39</v>
      </c>
      <c r="M113" s="149">
        <v>0.4</v>
      </c>
      <c r="N113" s="335">
        <v>587</v>
      </c>
      <c r="O113" s="296">
        <v>0.21</v>
      </c>
      <c r="P113" s="345">
        <v>0.21099999999999999</v>
      </c>
      <c r="Q113" s="138">
        <v>585</v>
      </c>
      <c r="R113" s="138"/>
      <c r="S113" s="339"/>
      <c r="T113" s="299"/>
      <c r="U113" s="282" t="s">
        <v>3497</v>
      </c>
      <c r="V113" s="282" t="s">
        <v>284</v>
      </c>
      <c r="W113" s="282" t="s">
        <v>116</v>
      </c>
      <c r="X113" s="340" t="s">
        <v>5086</v>
      </c>
      <c r="Y113" s="340" t="s">
        <v>5087</v>
      </c>
      <c r="Z113" s="340" t="s">
        <v>5088</v>
      </c>
      <c r="AA113" s="340">
        <v>44365</v>
      </c>
      <c r="AB113" s="340"/>
      <c r="AC113" s="341"/>
      <c r="AD113" s="342" t="s">
        <v>64</v>
      </c>
      <c r="AE113" s="342" t="s">
        <v>322</v>
      </c>
      <c r="AF113" s="284" t="s">
        <v>5089</v>
      </c>
      <c r="AG113" s="284">
        <v>44263</v>
      </c>
      <c r="AH113" s="284">
        <v>44280</v>
      </c>
      <c r="AI113" s="284"/>
      <c r="AJ113" s="334">
        <f t="shared" ca="1" si="14"/>
        <v>44963</v>
      </c>
      <c r="AK113" s="342">
        <f t="shared" ca="1" si="6"/>
        <v>683</v>
      </c>
      <c r="AL113" s="342"/>
      <c r="AM113" s="284" t="s">
        <v>5090</v>
      </c>
      <c r="AN113" s="284" t="s">
        <v>5091</v>
      </c>
      <c r="AO113" s="343">
        <v>9.5879999999999992</v>
      </c>
      <c r="AP113" s="343">
        <v>9.6280000000000001</v>
      </c>
      <c r="AQ113" s="343">
        <v>9.6529999999999987</v>
      </c>
      <c r="AR113" s="343">
        <v>9.6579999999999995</v>
      </c>
      <c r="AS113" s="331" t="e">
        <f t="shared" ca="1" si="13"/>
        <v>#VALUE!</v>
      </c>
      <c r="AV113" s="331" t="s">
        <v>136</v>
      </c>
      <c r="BL113" s="331" t="s">
        <v>3572</v>
      </c>
    </row>
    <row r="114" spans="1:64" s="331" customFormat="1" ht="18" hidden="1" customHeight="1" x14ac:dyDescent="0.35">
      <c r="A114" s="334">
        <v>44488</v>
      </c>
      <c r="B114" s="335">
        <f ca="1">IF(A114="",(IF(ISNUMBER(SUBSTITUTE(LEFT(RIGHT(E114,LEN(E114)-MIN(SEARCH({1,2,3,4,5,6,7,8,9,0},E114&amp;"1234567890"))+1),10),".","/"))=TRUE,AJ114-(SUBSTITUTE(LEFT(RIGHT(E114,LEN(E114)-MIN(SEARCH({1,2,3,4,5,6,7,8,9,0},E114&amp;"1234567890"))+1),10),".","/")),IF((SUBSTITUTE(LEFT(RIGHT(E114,LEN(E114)-MIN(SEARCH({1,2,3,4,5,6,7,8,9,0},E114&amp;"1234567890"))+1),10),".","/"))="","",(AJ114)-(MID(RIGHT((SUBSTITUTE(LEFT(RIGHT(E114,LEN(E114)-MIN(SEARCH({1,2,3,4,5,6,7,8,9,0},E114&amp;"1234567890"))+1),10),".","/")),10),4,2)&amp;"/"&amp;LEFT((RIGHT((SUBSTITUTE(LEFT(RIGHT(E114,LEN(E114)-MIN(SEARCH({1,2,3,4,5,6,7,8,9,0},E114&amp;"1234567890"))+1),10),".","/")),10)),2)&amp;"/"&amp;RIGHT((SUBSTITUTE(LEFT(RIGHT(E114,LEN(E114)-MIN(SEARCH({1,2,3,4,5,6,7,8,9,0},E114&amp;"1234567890"))+1),10),".","/")),4))))),(AJ114-A114))</f>
        <v>475</v>
      </c>
      <c r="C114" s="334"/>
      <c r="D114" s="294" t="str">
        <f t="shared" si="12"/>
        <v>FGCKW2-304/2B-001X760</v>
      </c>
      <c r="E114" s="294" t="s">
        <v>5092</v>
      </c>
      <c r="F114" s="294" t="s">
        <v>5093</v>
      </c>
      <c r="G114" s="294" t="s">
        <v>5094</v>
      </c>
      <c r="H114" s="294">
        <v>304</v>
      </c>
      <c r="I114" s="337" t="s">
        <v>116</v>
      </c>
      <c r="J114" s="149">
        <v>3.77</v>
      </c>
      <c r="K114" s="149">
        <v>1.1499999999999999</v>
      </c>
      <c r="L114" s="149">
        <v>1.1299999999999999</v>
      </c>
      <c r="M114" s="149">
        <v>1.1599999999999999</v>
      </c>
      <c r="N114" s="335">
        <v>770</v>
      </c>
      <c r="O114" s="296">
        <v>0.375</v>
      </c>
      <c r="P114" s="345">
        <f>O114+0.001</f>
        <v>0.376</v>
      </c>
      <c r="Q114" s="138">
        <v>760</v>
      </c>
      <c r="R114" s="138"/>
      <c r="S114" s="339"/>
      <c r="T114" s="299"/>
      <c r="U114" s="282" t="s">
        <v>3497</v>
      </c>
      <c r="V114" s="282"/>
      <c r="W114" s="282" t="s">
        <v>116</v>
      </c>
      <c r="X114" s="340">
        <v>44404</v>
      </c>
      <c r="Y114" s="340">
        <v>44404</v>
      </c>
      <c r="Z114" s="340">
        <v>44424</v>
      </c>
      <c r="AA114" s="340"/>
      <c r="AB114" s="340"/>
      <c r="AC114" s="341"/>
      <c r="AD114" s="342" t="s">
        <v>64</v>
      </c>
      <c r="AE114" s="342" t="s">
        <v>154</v>
      </c>
      <c r="AF114" s="284" t="s">
        <v>868</v>
      </c>
      <c r="AG114" s="284"/>
      <c r="AH114" s="284">
        <v>44388</v>
      </c>
      <c r="AI114" s="284"/>
      <c r="AJ114" s="334">
        <f t="shared" ca="1" si="14"/>
        <v>44963</v>
      </c>
      <c r="AK114" s="342">
        <f t="shared" ca="1" si="6"/>
        <v>575</v>
      </c>
      <c r="AL114" s="342"/>
      <c r="AM114" s="284"/>
      <c r="AN114" s="284" t="s">
        <v>5095</v>
      </c>
      <c r="AO114" s="343">
        <v>10.404999999999999</v>
      </c>
      <c r="AP114" s="343">
        <v>10.414999999999999</v>
      </c>
      <c r="AQ114" s="343">
        <v>10.439999999999998</v>
      </c>
      <c r="AR114" s="343">
        <v>10.444999999999999</v>
      </c>
      <c r="AS114" s="331">
        <f t="shared" ca="1" si="13"/>
        <v>559</v>
      </c>
      <c r="AV114" s="331" t="s">
        <v>136</v>
      </c>
      <c r="BL114" s="331" t="s">
        <v>4503</v>
      </c>
    </row>
    <row r="115" spans="1:64" s="331" customFormat="1" ht="18" hidden="1" customHeight="1" x14ac:dyDescent="0.35">
      <c r="A115" s="334">
        <v>44488</v>
      </c>
      <c r="B115" s="335">
        <f ca="1">IF(A115="",(IF(ISNUMBER(SUBSTITUTE(LEFT(RIGHT(E115,LEN(E115)-MIN(SEARCH({1,2,3,4,5,6,7,8,9,0},E115&amp;"1234567890"))+1),10),".","/"))=TRUE,AJ115-(SUBSTITUTE(LEFT(RIGHT(E115,LEN(E115)-MIN(SEARCH({1,2,3,4,5,6,7,8,9,0},E115&amp;"1234567890"))+1),10),".","/")),IF((SUBSTITUTE(LEFT(RIGHT(E115,LEN(E115)-MIN(SEARCH({1,2,3,4,5,6,7,8,9,0},E115&amp;"1234567890"))+1),10),".","/"))="","",(AJ115)-(MID(RIGHT((SUBSTITUTE(LEFT(RIGHT(E115,LEN(E115)-MIN(SEARCH({1,2,3,4,5,6,7,8,9,0},E115&amp;"1234567890"))+1),10),".","/")),10),4,2)&amp;"/"&amp;LEFT((RIGHT((SUBSTITUTE(LEFT(RIGHT(E115,LEN(E115)-MIN(SEARCH({1,2,3,4,5,6,7,8,9,0},E115&amp;"1234567890"))+1),10),".","/")),10)),2)&amp;"/"&amp;RIGHT((SUBSTITUTE(LEFT(RIGHT(E115,LEN(E115)-MIN(SEARCH({1,2,3,4,5,6,7,8,9,0},E115&amp;"1234567890"))+1),10),".","/")),4))))),(AJ115-A115))</f>
        <v>475</v>
      </c>
      <c r="C115" s="334"/>
      <c r="D115" s="294" t="str">
        <f t="shared" si="12"/>
        <v>FGCKW2-304/304L/2B-001X770</v>
      </c>
      <c r="E115" s="294" t="s">
        <v>5096</v>
      </c>
      <c r="F115" s="294" t="s">
        <v>5097</v>
      </c>
      <c r="G115" s="294" t="s">
        <v>5098</v>
      </c>
      <c r="H115" s="294" t="s">
        <v>377</v>
      </c>
      <c r="I115" s="337" t="s">
        <v>116</v>
      </c>
      <c r="J115" s="149">
        <v>3.79</v>
      </c>
      <c r="K115" s="149">
        <v>1.45</v>
      </c>
      <c r="L115" s="149">
        <v>1.43</v>
      </c>
      <c r="M115" s="149">
        <v>1.44</v>
      </c>
      <c r="N115" s="335">
        <v>770</v>
      </c>
      <c r="O115" s="296">
        <v>0.36</v>
      </c>
      <c r="P115" s="345">
        <f>O115+0.001</f>
        <v>0.36099999999999999</v>
      </c>
      <c r="Q115" s="138">
        <v>770</v>
      </c>
      <c r="R115" s="138"/>
      <c r="S115" s="339"/>
      <c r="T115" s="299"/>
      <c r="U115" s="282" t="s">
        <v>3497</v>
      </c>
      <c r="V115" s="282"/>
      <c r="W115" s="282" t="s">
        <v>116</v>
      </c>
      <c r="X115" s="340">
        <v>44438</v>
      </c>
      <c r="Y115" s="340">
        <v>44438</v>
      </c>
      <c r="Z115" s="340">
        <v>44438</v>
      </c>
      <c r="AA115" s="340"/>
      <c r="AB115" s="340"/>
      <c r="AC115" s="341"/>
      <c r="AD115" s="342" t="s">
        <v>64</v>
      </c>
      <c r="AE115" s="342" t="s">
        <v>154</v>
      </c>
      <c r="AF115" s="284" t="s">
        <v>1148</v>
      </c>
      <c r="AG115" s="284"/>
      <c r="AH115" s="284">
        <v>44431</v>
      </c>
      <c r="AI115" s="284"/>
      <c r="AJ115" s="334">
        <f t="shared" ca="1" si="14"/>
        <v>44963</v>
      </c>
      <c r="AK115" s="342">
        <f t="shared" ca="1" si="6"/>
        <v>532</v>
      </c>
      <c r="AL115" s="342"/>
      <c r="AM115" s="284"/>
      <c r="AN115" s="284" t="s">
        <v>5099</v>
      </c>
      <c r="AO115" s="343">
        <v>12.16</v>
      </c>
      <c r="AP115" s="343">
        <v>12.17</v>
      </c>
      <c r="AQ115" s="343">
        <v>12.194999999999999</v>
      </c>
      <c r="AR115" s="343">
        <v>12.2</v>
      </c>
      <c r="AV115" s="331" t="s">
        <v>136</v>
      </c>
      <c r="BL115" s="331" t="s">
        <v>174</v>
      </c>
    </row>
    <row r="116" spans="1:64" s="331" customFormat="1" ht="18" hidden="1" customHeight="1" x14ac:dyDescent="0.35">
      <c r="A116" s="334">
        <v>44488</v>
      </c>
      <c r="B116" s="335">
        <f ca="1">IF(A116="",(IF(ISNUMBER(SUBSTITUTE(LEFT(RIGHT(E116,LEN(E116)-MIN(SEARCH({1,2,3,4,5,6,7,8,9,0},E116&amp;"1234567890"))+1),10),".","/"))=TRUE,AJ116-(SUBSTITUTE(LEFT(RIGHT(E116,LEN(E116)-MIN(SEARCH({1,2,3,4,5,6,7,8,9,0},E116&amp;"1234567890"))+1),10),".","/")),IF((SUBSTITUTE(LEFT(RIGHT(E116,LEN(E116)-MIN(SEARCH({1,2,3,4,5,6,7,8,9,0},E116&amp;"1234567890"))+1),10),".","/"))="","",(AJ116)-(MID(RIGHT((SUBSTITUTE(LEFT(RIGHT(E116,LEN(E116)-MIN(SEARCH({1,2,3,4,5,6,7,8,9,0},E116&amp;"1234567890"))+1),10),".","/")),10),4,2)&amp;"/"&amp;LEFT((RIGHT((SUBSTITUTE(LEFT(RIGHT(E116,LEN(E116)-MIN(SEARCH({1,2,3,4,5,6,7,8,9,0},E116&amp;"1234567890"))+1),10),".","/")),10)),2)&amp;"/"&amp;RIGHT((SUBSTITUTE(LEFT(RIGHT(E116,LEN(E116)-MIN(SEARCH({1,2,3,4,5,6,7,8,9,0},E116&amp;"1234567890"))+1),10),".","/")),4))))),(AJ116-A116))</f>
        <v>475</v>
      </c>
      <c r="C116" s="334"/>
      <c r="D116" s="294" t="str">
        <f t="shared" si="12"/>
        <v>FGCKW2-304/304L/2B-002X770</v>
      </c>
      <c r="E116" s="294" t="s">
        <v>5100</v>
      </c>
      <c r="F116" s="294" t="s">
        <v>5101</v>
      </c>
      <c r="G116" s="294" t="s">
        <v>5102</v>
      </c>
      <c r="H116" s="294" t="s">
        <v>377</v>
      </c>
      <c r="I116" s="337" t="s">
        <v>116</v>
      </c>
      <c r="J116" s="149">
        <v>3.8</v>
      </c>
      <c r="K116" s="149">
        <v>1.5</v>
      </c>
      <c r="L116" s="149">
        <v>1.49</v>
      </c>
      <c r="M116" s="149">
        <v>1.53</v>
      </c>
      <c r="N116" s="335">
        <v>770</v>
      </c>
      <c r="O116" s="296">
        <v>0.54</v>
      </c>
      <c r="P116" s="345">
        <f>O116+0.001</f>
        <v>0.54100000000000004</v>
      </c>
      <c r="Q116" s="138">
        <v>770</v>
      </c>
      <c r="R116" s="138"/>
      <c r="S116" s="339"/>
      <c r="T116" s="299"/>
      <c r="U116" s="282" t="s">
        <v>3497</v>
      </c>
      <c r="V116" s="282"/>
      <c r="W116" s="282" t="s">
        <v>116</v>
      </c>
      <c r="X116" s="340">
        <v>44438</v>
      </c>
      <c r="Y116" s="340">
        <v>44438</v>
      </c>
      <c r="Z116" s="340">
        <v>44440</v>
      </c>
      <c r="AA116" s="340"/>
      <c r="AB116" s="340"/>
      <c r="AC116" s="341"/>
      <c r="AD116" s="342" t="s">
        <v>64</v>
      </c>
      <c r="AE116" s="342" t="s">
        <v>154</v>
      </c>
      <c r="AF116" s="284" t="s">
        <v>1139</v>
      </c>
      <c r="AG116" s="284"/>
      <c r="AH116" s="284">
        <v>44431</v>
      </c>
      <c r="AI116" s="284"/>
      <c r="AJ116" s="334">
        <f t="shared" ca="1" si="14"/>
        <v>44963</v>
      </c>
      <c r="AK116" s="342">
        <f t="shared" ca="1" si="6"/>
        <v>532</v>
      </c>
      <c r="AL116" s="342"/>
      <c r="AM116" s="284"/>
      <c r="AN116" s="284" t="s">
        <v>5103</v>
      </c>
      <c r="AO116" s="343">
        <v>10.38</v>
      </c>
      <c r="AP116" s="343">
        <v>10.39</v>
      </c>
      <c r="AQ116" s="343">
        <v>10.414999999999999</v>
      </c>
      <c r="AR116" s="343">
        <v>10.42</v>
      </c>
      <c r="AV116" s="331" t="s">
        <v>136</v>
      </c>
      <c r="BL116" s="331" t="s">
        <v>4503</v>
      </c>
    </row>
    <row r="117" spans="1:64" s="331" customFormat="1" ht="18" hidden="1" customHeight="1" x14ac:dyDescent="0.35">
      <c r="A117" s="334">
        <v>44488</v>
      </c>
      <c r="B117" s="335">
        <f ca="1">IF(A117="",(IF(ISNUMBER(SUBSTITUTE(LEFT(RIGHT(E117,LEN(E117)-MIN(SEARCH({1,2,3,4,5,6,7,8,9,0},E117&amp;"1234567890"))+1),10),".","/"))=TRUE,AJ117-(SUBSTITUTE(LEFT(RIGHT(E117,LEN(E117)-MIN(SEARCH({1,2,3,4,5,6,7,8,9,0},E117&amp;"1234567890"))+1),10),".","/")),IF((SUBSTITUTE(LEFT(RIGHT(E117,LEN(E117)-MIN(SEARCH({1,2,3,4,5,6,7,8,9,0},E117&amp;"1234567890"))+1),10),".","/"))="","",(AJ117)-(MID(RIGHT((SUBSTITUTE(LEFT(RIGHT(E117,LEN(E117)-MIN(SEARCH({1,2,3,4,5,6,7,8,9,0},E117&amp;"1234567890"))+1),10),".","/")),10),4,2)&amp;"/"&amp;LEFT((RIGHT((SUBSTITUTE(LEFT(RIGHT(E117,LEN(E117)-MIN(SEARCH({1,2,3,4,5,6,7,8,9,0},E117&amp;"1234567890"))+1),10),".","/")),10)),2)&amp;"/"&amp;RIGHT((SUBSTITUTE(LEFT(RIGHT(E117,LEN(E117)-MIN(SEARCH({1,2,3,4,5,6,7,8,9,0},E117&amp;"1234567890"))+1),10),".","/")),4))))),(AJ117-A117))</f>
        <v>475</v>
      </c>
      <c r="C117" s="334"/>
      <c r="D117" s="294" t="str">
        <f t="shared" si="12"/>
        <v>FGCKW2-304/304L/2B-001X760</v>
      </c>
      <c r="E117" s="294" t="s">
        <v>5104</v>
      </c>
      <c r="F117" s="294" t="s">
        <v>5105</v>
      </c>
      <c r="G117" s="294" t="s">
        <v>5106</v>
      </c>
      <c r="H117" s="294" t="s">
        <v>377</v>
      </c>
      <c r="I117" s="337" t="s">
        <v>116</v>
      </c>
      <c r="J117" s="149">
        <v>3.79</v>
      </c>
      <c r="K117" s="149">
        <v>1.2</v>
      </c>
      <c r="L117" s="149">
        <v>1.2</v>
      </c>
      <c r="M117" s="149">
        <v>1.23</v>
      </c>
      <c r="N117" s="335">
        <v>770</v>
      </c>
      <c r="O117" s="296">
        <v>0.52500000000000002</v>
      </c>
      <c r="P117" s="345">
        <f>O117+0.001</f>
        <v>0.52600000000000002</v>
      </c>
      <c r="Q117" s="138">
        <v>760</v>
      </c>
      <c r="R117" s="138"/>
      <c r="S117" s="339"/>
      <c r="T117" s="299"/>
      <c r="U117" s="282" t="s">
        <v>3497</v>
      </c>
      <c r="V117" s="282"/>
      <c r="W117" s="138" t="s">
        <v>116</v>
      </c>
      <c r="X117" s="340">
        <v>44438</v>
      </c>
      <c r="Y117" s="340">
        <v>44438</v>
      </c>
      <c r="Z117" s="340">
        <v>44441</v>
      </c>
      <c r="AA117" s="340">
        <v>44441</v>
      </c>
      <c r="AB117" s="340"/>
      <c r="AC117" s="341"/>
      <c r="AD117" s="342" t="s">
        <v>64</v>
      </c>
      <c r="AE117" s="342" t="s">
        <v>154</v>
      </c>
      <c r="AF117" s="284" t="s">
        <v>1148</v>
      </c>
      <c r="AG117" s="284"/>
      <c r="AH117" s="284">
        <v>44431</v>
      </c>
      <c r="AI117" s="284"/>
      <c r="AJ117" s="334">
        <f t="shared" ca="1" si="14"/>
        <v>44963</v>
      </c>
      <c r="AK117" s="342">
        <f t="shared" ca="1" si="6"/>
        <v>532</v>
      </c>
      <c r="AL117" s="342"/>
      <c r="AM117" s="284"/>
      <c r="AN117" s="284" t="s">
        <v>5107</v>
      </c>
      <c r="AO117" s="343">
        <v>11.98</v>
      </c>
      <c r="AP117" s="343">
        <v>11.99</v>
      </c>
      <c r="AQ117" s="343">
        <v>12.014999999999999</v>
      </c>
      <c r="AR117" s="343">
        <v>12.02</v>
      </c>
      <c r="AV117" s="331" t="s">
        <v>136</v>
      </c>
      <c r="BL117" s="331" t="s">
        <v>4503</v>
      </c>
    </row>
    <row r="118" spans="1:64" s="331" customFormat="1" ht="18" hidden="1" customHeight="1" x14ac:dyDescent="0.35">
      <c r="A118" s="334">
        <v>44492</v>
      </c>
      <c r="B118" s="335">
        <f ca="1">IF(A118="",(IF(ISNUMBER(SUBSTITUTE(LEFT(RIGHT(E118,LEN(E118)-MIN(SEARCH({1,2,3,4,5,6,7,8,9,0},E118&amp;"1234567890"))+1),10),".","/"))=TRUE,AJ118-(SUBSTITUTE(LEFT(RIGHT(E118,LEN(E118)-MIN(SEARCH({1,2,3,4,5,6,7,8,9,0},E118&amp;"1234567890"))+1),10),".","/")),IF((SUBSTITUTE(LEFT(RIGHT(E118,LEN(E118)-MIN(SEARCH({1,2,3,4,5,6,7,8,9,0},E118&amp;"1234567890"))+1),10),".","/"))="","",(AJ118)-(MID(RIGHT((SUBSTITUTE(LEFT(RIGHT(E118,LEN(E118)-MIN(SEARCH({1,2,3,4,5,6,7,8,9,0},E118&amp;"1234567890"))+1),10),".","/")),10),4,2)&amp;"/"&amp;LEFT((RIGHT((SUBSTITUTE(LEFT(RIGHT(E118,LEN(E118)-MIN(SEARCH({1,2,3,4,5,6,7,8,9,0},E118&amp;"1234567890"))+1),10),".","/")),10)),2)&amp;"/"&amp;RIGHT((SUBSTITUTE(LEFT(RIGHT(E118,LEN(E118)-MIN(SEARCH({1,2,3,4,5,6,7,8,9,0},E118&amp;"1234567890"))+1),10),".","/")),4))))),(AJ118-A118))</f>
        <v>471</v>
      </c>
      <c r="C118" s="334"/>
      <c r="D118" s="294" t="str">
        <f t="shared" si="12"/>
        <v>FGCKW2-304/304L/2B-001X770</v>
      </c>
      <c r="E118" s="294" t="s">
        <v>5108</v>
      </c>
      <c r="F118" s="294" t="s">
        <v>5109</v>
      </c>
      <c r="G118" s="294" t="s">
        <v>5110</v>
      </c>
      <c r="H118" s="294" t="s">
        <v>377</v>
      </c>
      <c r="I118" s="337" t="s">
        <v>116</v>
      </c>
      <c r="J118" s="149">
        <v>3.79</v>
      </c>
      <c r="K118" s="149">
        <v>1.41</v>
      </c>
      <c r="L118" s="149">
        <v>1.4</v>
      </c>
      <c r="M118" s="149">
        <v>1.42</v>
      </c>
      <c r="N118" s="335">
        <v>770</v>
      </c>
      <c r="O118" s="296">
        <v>0.315</v>
      </c>
      <c r="P118" s="345">
        <v>0.316</v>
      </c>
      <c r="Q118" s="138">
        <v>770</v>
      </c>
      <c r="R118" s="138"/>
      <c r="S118" s="339"/>
      <c r="T118" s="299"/>
      <c r="U118" s="282" t="s">
        <v>3497</v>
      </c>
      <c r="V118" s="282"/>
      <c r="W118" s="138" t="s">
        <v>116</v>
      </c>
      <c r="X118" s="340">
        <v>44439</v>
      </c>
      <c r="Y118" s="340">
        <v>44439</v>
      </c>
      <c r="Z118" s="340">
        <v>44442</v>
      </c>
      <c r="AA118" s="340"/>
      <c r="AB118" s="340"/>
      <c r="AC118" s="341"/>
      <c r="AD118" s="342" t="s">
        <v>64</v>
      </c>
      <c r="AE118" s="342" t="s">
        <v>154</v>
      </c>
      <c r="AF118" s="284" t="s">
        <v>868</v>
      </c>
      <c r="AG118" s="284"/>
      <c r="AH118" s="284">
        <v>44431</v>
      </c>
      <c r="AI118" s="284"/>
      <c r="AJ118" s="334">
        <f t="shared" ca="1" si="14"/>
        <v>44963</v>
      </c>
      <c r="AK118" s="342">
        <f t="shared" ca="1" si="6"/>
        <v>532</v>
      </c>
      <c r="AL118" s="342"/>
      <c r="AM118" s="284"/>
      <c r="AN118" s="284" t="s">
        <v>5111</v>
      </c>
      <c r="AO118" s="343">
        <v>10.4</v>
      </c>
      <c r="AP118" s="343">
        <v>10.41</v>
      </c>
      <c r="AQ118" s="343">
        <v>10.434999999999999</v>
      </c>
      <c r="AR118" s="343">
        <v>10.44</v>
      </c>
      <c r="AV118" s="331" t="s">
        <v>136</v>
      </c>
      <c r="BL118" s="331" t="s">
        <v>3572</v>
      </c>
    </row>
    <row r="119" spans="1:64" s="331" customFormat="1" ht="18" hidden="1" customHeight="1" x14ac:dyDescent="0.35">
      <c r="A119" s="334">
        <v>44529</v>
      </c>
      <c r="B119" s="335">
        <f ca="1">IF(A119="",(IF(ISNUMBER(SUBSTITUTE(LEFT(RIGHT(E119,LEN(E119)-MIN(SEARCH({1,2,3,4,5,6,7,8,9,0},E119&amp;"1234567890"))+1),10),".","/"))=TRUE,AJ119-(SUBSTITUTE(LEFT(RIGHT(E119,LEN(E119)-MIN(SEARCH({1,2,3,4,5,6,7,8,9,0},E119&amp;"1234567890"))+1),10),".","/")),IF((SUBSTITUTE(LEFT(RIGHT(E119,LEN(E119)-MIN(SEARCH({1,2,3,4,5,6,7,8,9,0},E119&amp;"1234567890"))+1),10),".","/"))="","",(AJ119)-(MID(RIGHT((SUBSTITUTE(LEFT(RIGHT(E119,LEN(E119)-MIN(SEARCH({1,2,3,4,5,6,7,8,9,0},E119&amp;"1234567890"))+1),10),".","/")),10),4,2)&amp;"/"&amp;LEFT((RIGHT((SUBSTITUTE(LEFT(RIGHT(E119,LEN(E119)-MIN(SEARCH({1,2,3,4,5,6,7,8,9,0},E119&amp;"1234567890"))+1),10),".","/")),10)),2)&amp;"/"&amp;RIGHT((SUBSTITUTE(LEFT(RIGHT(E119,LEN(E119)-MIN(SEARCH({1,2,3,4,5,6,7,8,9,0},E119&amp;"1234567890"))+1),10),".","/")),4))))),(AJ119-A119))</f>
        <v>434</v>
      </c>
      <c r="C119" s="334"/>
      <c r="D119" s="294" t="str">
        <f t="shared" si="12"/>
        <v>FGCKW2-304/304L/2B-000X763</v>
      </c>
      <c r="E119" s="294" t="s">
        <v>5112</v>
      </c>
      <c r="F119" s="294" t="s">
        <v>1151</v>
      </c>
      <c r="G119" s="294" t="s">
        <v>5113</v>
      </c>
      <c r="H119" s="294" t="s">
        <v>377</v>
      </c>
      <c r="I119" s="337" t="s">
        <v>116</v>
      </c>
      <c r="J119" s="149">
        <v>0.8</v>
      </c>
      <c r="K119" s="149">
        <v>0.4</v>
      </c>
      <c r="L119" s="149"/>
      <c r="M119" s="149"/>
      <c r="N119" s="335">
        <v>763</v>
      </c>
      <c r="O119" s="296">
        <v>0.66500000000000004</v>
      </c>
      <c r="P119" s="345">
        <v>0.66600000000000004</v>
      </c>
      <c r="Q119" s="138">
        <v>763</v>
      </c>
      <c r="R119" s="138"/>
      <c r="S119" s="339"/>
      <c r="T119" s="299"/>
      <c r="U119" s="282" t="s">
        <v>3497</v>
      </c>
      <c r="V119" s="282" t="s">
        <v>5114</v>
      </c>
      <c r="W119" s="138" t="s">
        <v>116</v>
      </c>
      <c r="X119" s="340" t="s">
        <v>1155</v>
      </c>
      <c r="Y119" s="340" t="s">
        <v>1155</v>
      </c>
      <c r="Z119" s="340">
        <v>44451</v>
      </c>
      <c r="AA119" s="340">
        <v>44451</v>
      </c>
      <c r="AB119" s="340"/>
      <c r="AC119" s="341"/>
      <c r="AD119" s="342" t="s">
        <v>64</v>
      </c>
      <c r="AE119" s="342" t="s">
        <v>154</v>
      </c>
      <c r="AF119" s="284" t="s">
        <v>1148</v>
      </c>
      <c r="AG119" s="284"/>
      <c r="AH119" s="284">
        <v>44431</v>
      </c>
      <c r="AI119" s="284"/>
      <c r="AJ119" s="334">
        <f t="shared" ca="1" si="14"/>
        <v>44963</v>
      </c>
      <c r="AK119" s="342">
        <f t="shared" ca="1" si="6"/>
        <v>532</v>
      </c>
      <c r="AL119" s="342"/>
      <c r="AM119" s="284"/>
      <c r="AN119" s="284" t="s">
        <v>1158</v>
      </c>
      <c r="AO119" s="343">
        <v>10.484999999999999</v>
      </c>
      <c r="AP119" s="343">
        <v>10.494999999999999</v>
      </c>
      <c r="AQ119" s="343">
        <v>10.519999999999998</v>
      </c>
      <c r="AR119" s="343">
        <v>10.524999999999999</v>
      </c>
      <c r="AV119" s="331" t="s">
        <v>136</v>
      </c>
      <c r="BL119" s="331" t="s">
        <v>301</v>
      </c>
    </row>
    <row r="120" spans="1:64" s="331" customFormat="1" ht="18" hidden="1" customHeight="1" x14ac:dyDescent="0.35">
      <c r="A120" s="334"/>
      <c r="B120" s="335" t="e">
        <f ca="1">IF(A120="",(IF(ISNUMBER(SUBSTITUTE(LEFT(RIGHT(E120,LEN(E120)-MIN(SEARCH({1,2,3,4,5,6,7,8,9,0},E120&amp;"1234567890"))+1),10),".","/"))=TRUE,AJ120-(SUBSTITUTE(LEFT(RIGHT(E120,LEN(E120)-MIN(SEARCH({1,2,3,4,5,6,7,8,9,0},E120&amp;"1234567890"))+1),10),".","/")),IF((SUBSTITUTE(LEFT(RIGHT(E120,LEN(E120)-MIN(SEARCH({1,2,3,4,5,6,7,8,9,0},E120&amp;"1234567890"))+1),10),".","/"))="","",(AJ120)-(MID(RIGHT((SUBSTITUTE(LEFT(RIGHT(E120,LEN(E120)-MIN(SEARCH({1,2,3,4,5,6,7,8,9,0},E120&amp;"1234567890"))+1),10),".","/")),10),4,2)&amp;"/"&amp;LEFT((RIGHT((SUBSTITUTE(LEFT(RIGHT(E120,LEN(E120)-MIN(SEARCH({1,2,3,4,5,6,7,8,9,0},E120&amp;"1234567890"))+1),10),".","/")),10)),2)&amp;"/"&amp;RIGHT((SUBSTITUTE(LEFT(RIGHT(E120,LEN(E120)-MIN(SEARCH({1,2,3,4,5,6,7,8,9,0},E120&amp;"1234567890"))+1),10),".","/")),4))))),(AJ120-A120))</f>
        <v>#VALUE!</v>
      </c>
      <c r="C120" s="334"/>
      <c r="D120" s="294" t="str">
        <f t="shared" si="12"/>
        <v>FGCKW2-304/2B-000X755</v>
      </c>
      <c r="E120" s="294" t="s">
        <v>5115</v>
      </c>
      <c r="F120" s="294" t="s">
        <v>5116</v>
      </c>
      <c r="G120" s="294" t="s">
        <v>5117</v>
      </c>
      <c r="H120" s="294">
        <v>304</v>
      </c>
      <c r="I120" s="337" t="s">
        <v>116</v>
      </c>
      <c r="J120" s="149">
        <v>0.8</v>
      </c>
      <c r="K120" s="149">
        <v>0.4</v>
      </c>
      <c r="L120" s="149">
        <v>0.39</v>
      </c>
      <c r="M120" s="149">
        <v>0.4</v>
      </c>
      <c r="N120" s="335">
        <v>765</v>
      </c>
      <c r="O120" s="296">
        <v>0.28999999999999998</v>
      </c>
      <c r="P120" s="345"/>
      <c r="Q120" s="138">
        <v>755</v>
      </c>
      <c r="R120" s="138"/>
      <c r="S120" s="339"/>
      <c r="T120" s="299"/>
      <c r="U120" s="282" t="s">
        <v>3497</v>
      </c>
      <c r="V120" s="282"/>
      <c r="W120" s="138" t="s">
        <v>116</v>
      </c>
      <c r="X120" s="340" t="s">
        <v>5118</v>
      </c>
      <c r="Y120" s="340" t="s">
        <v>5119</v>
      </c>
      <c r="Z120" s="340" t="s">
        <v>1156</v>
      </c>
      <c r="AA120" s="340">
        <v>44452</v>
      </c>
      <c r="AB120" s="340"/>
      <c r="AC120" s="341"/>
      <c r="AD120" s="342" t="s">
        <v>64</v>
      </c>
      <c r="AE120" s="342" t="s">
        <v>154</v>
      </c>
      <c r="AF120" s="284" t="s">
        <v>1148</v>
      </c>
      <c r="AG120" s="284"/>
      <c r="AH120" s="284">
        <v>44431</v>
      </c>
      <c r="AI120" s="284"/>
      <c r="AJ120" s="334">
        <f t="shared" ca="1" si="14"/>
        <v>44963</v>
      </c>
      <c r="AK120" s="342">
        <f t="shared" ca="1" si="6"/>
        <v>532</v>
      </c>
      <c r="AL120" s="342"/>
      <c r="AM120" s="284"/>
      <c r="AN120" s="284" t="s">
        <v>5120</v>
      </c>
      <c r="AO120" s="343">
        <v>10.57</v>
      </c>
      <c r="AP120" s="343">
        <v>10.58</v>
      </c>
      <c r="AQ120" s="343">
        <v>10.604999999999999</v>
      </c>
      <c r="AR120" s="343">
        <v>10.61</v>
      </c>
      <c r="AV120" s="331" t="s">
        <v>136</v>
      </c>
      <c r="BL120" s="331" t="s">
        <v>4503</v>
      </c>
    </row>
    <row r="121" spans="1:64" s="331" customFormat="1" ht="18" hidden="1" customHeight="1" x14ac:dyDescent="0.35">
      <c r="A121" s="334">
        <v>44490</v>
      </c>
      <c r="B121" s="335">
        <f ca="1">IF(A121="",(IF(ISNUMBER(SUBSTITUTE(LEFT(RIGHT(E121,LEN(E121)-MIN(SEARCH({1,2,3,4,5,6,7,8,9,0},E121&amp;"1234567890"))+1),10),".","/"))=TRUE,AJ121-(SUBSTITUTE(LEFT(RIGHT(E121,LEN(E121)-MIN(SEARCH({1,2,3,4,5,6,7,8,9,0},E121&amp;"1234567890"))+1),10),".","/")),IF((SUBSTITUTE(LEFT(RIGHT(E121,LEN(E121)-MIN(SEARCH({1,2,3,4,5,6,7,8,9,0},E121&amp;"1234567890"))+1),10),".","/"))="","",(AJ121)-(MID(RIGHT((SUBSTITUTE(LEFT(RIGHT(E121,LEN(E121)-MIN(SEARCH({1,2,3,4,5,6,7,8,9,0},E121&amp;"1234567890"))+1),10),".","/")),10),4,2)&amp;"/"&amp;LEFT((RIGHT((SUBSTITUTE(LEFT(RIGHT(E121,LEN(E121)-MIN(SEARCH({1,2,3,4,5,6,7,8,9,0},E121&amp;"1234567890"))+1),10),".","/")),10)),2)&amp;"/"&amp;RIGHT((SUBSTITUTE(LEFT(RIGHT(E121,LEN(E121)-MIN(SEARCH({1,2,3,4,5,6,7,8,9,0},E121&amp;"1234567890"))+1),10),".","/")),4))))),(AJ121-A121))</f>
        <v>473</v>
      </c>
      <c r="C121" s="334"/>
      <c r="D121" s="294" t="str">
        <f t="shared" si="12"/>
        <v>FGCKW2-304/2B-000X755</v>
      </c>
      <c r="E121" s="294" t="s">
        <v>5115</v>
      </c>
      <c r="F121" s="294" t="s">
        <v>5121</v>
      </c>
      <c r="G121" s="294" t="s">
        <v>5122</v>
      </c>
      <c r="H121" s="294">
        <v>304</v>
      </c>
      <c r="I121" s="337" t="s">
        <v>116</v>
      </c>
      <c r="J121" s="149">
        <v>0.8</v>
      </c>
      <c r="K121" s="149">
        <v>0.4</v>
      </c>
      <c r="L121" s="149">
        <v>0.4</v>
      </c>
      <c r="M121" s="149">
        <v>0.41</v>
      </c>
      <c r="N121" s="335">
        <v>765</v>
      </c>
      <c r="O121" s="296">
        <v>0.26</v>
      </c>
      <c r="P121" s="345">
        <v>0.26100000000000001</v>
      </c>
      <c r="Q121" s="138">
        <v>755</v>
      </c>
      <c r="R121" s="138"/>
      <c r="S121" s="339"/>
      <c r="T121" s="299"/>
      <c r="U121" s="282" t="s">
        <v>3497</v>
      </c>
      <c r="V121" s="282"/>
      <c r="W121" s="138" t="s">
        <v>116</v>
      </c>
      <c r="X121" s="340" t="s">
        <v>5118</v>
      </c>
      <c r="Y121" s="340" t="s">
        <v>5123</v>
      </c>
      <c r="Z121" s="340" t="s">
        <v>1156</v>
      </c>
      <c r="AA121" s="340">
        <v>44452</v>
      </c>
      <c r="AB121" s="340"/>
      <c r="AC121" s="341"/>
      <c r="AD121" s="342" t="s">
        <v>64</v>
      </c>
      <c r="AE121" s="342" t="s">
        <v>154</v>
      </c>
      <c r="AF121" s="284" t="s">
        <v>1148</v>
      </c>
      <c r="AG121" s="284"/>
      <c r="AH121" s="284">
        <v>44431</v>
      </c>
      <c r="AI121" s="284"/>
      <c r="AJ121" s="334">
        <f t="shared" ca="1" si="14"/>
        <v>44963</v>
      </c>
      <c r="AK121" s="342">
        <f t="shared" ref="AK121:AK181" ca="1" si="15">IF(AH121&lt;&gt;0,AJ121-AH121,0)</f>
        <v>532</v>
      </c>
      <c r="AL121" s="342"/>
      <c r="AM121" s="284"/>
      <c r="AN121" s="284" t="s">
        <v>5124</v>
      </c>
      <c r="AO121" s="343">
        <v>10.55</v>
      </c>
      <c r="AP121" s="343">
        <v>10.56</v>
      </c>
      <c r="AQ121" s="343">
        <v>10.584999999999999</v>
      </c>
      <c r="AR121" s="343">
        <v>10.59</v>
      </c>
      <c r="AV121" s="331" t="s">
        <v>136</v>
      </c>
      <c r="BL121" s="331" t="s">
        <v>4503</v>
      </c>
    </row>
    <row r="122" spans="1:64" s="331" customFormat="1" ht="18" hidden="1" customHeight="1" x14ac:dyDescent="0.35">
      <c r="A122" s="334">
        <v>44516</v>
      </c>
      <c r="B122" s="335">
        <f ca="1">IF(A122="",(IF(ISNUMBER(SUBSTITUTE(LEFT(RIGHT(E122,LEN(E122)-MIN(SEARCH({1,2,3,4,5,6,7,8,9,0},E122&amp;"1234567890"))+1),10),".","/"))=TRUE,AJ122-(SUBSTITUTE(LEFT(RIGHT(E122,LEN(E122)-MIN(SEARCH({1,2,3,4,5,6,7,8,9,0},E122&amp;"1234567890"))+1),10),".","/")),IF((SUBSTITUTE(LEFT(RIGHT(E122,LEN(E122)-MIN(SEARCH({1,2,3,4,5,6,7,8,9,0},E122&amp;"1234567890"))+1),10),".","/"))="","",(AJ122)-(MID(RIGHT((SUBSTITUTE(LEFT(RIGHT(E122,LEN(E122)-MIN(SEARCH({1,2,3,4,5,6,7,8,9,0},E122&amp;"1234567890"))+1),10),".","/")),10),4,2)&amp;"/"&amp;LEFT((RIGHT((SUBSTITUTE(LEFT(RIGHT(E122,LEN(E122)-MIN(SEARCH({1,2,3,4,5,6,7,8,9,0},E122&amp;"1234567890"))+1),10),".","/")),10)),2)&amp;"/"&amp;RIGHT((SUBSTITUTE(LEFT(RIGHT(E122,LEN(E122)-MIN(SEARCH({1,2,3,4,5,6,7,8,9,0},E122&amp;"1234567890"))+1),10),".","/")),4))))),(AJ122-A122))</f>
        <v>447</v>
      </c>
      <c r="C122" s="334"/>
      <c r="D122" s="294" t="str">
        <f t="shared" si="12"/>
        <v>FGCKW2-304/304L/FH-000XMULTI</v>
      </c>
      <c r="E122" s="294" t="s">
        <v>5115</v>
      </c>
      <c r="F122" s="294" t="s">
        <v>863</v>
      </c>
      <c r="G122" s="294" t="s">
        <v>5125</v>
      </c>
      <c r="H122" s="294" t="s">
        <v>377</v>
      </c>
      <c r="I122" s="337" t="s">
        <v>65</v>
      </c>
      <c r="J122" s="149">
        <v>0.78</v>
      </c>
      <c r="K122" s="149">
        <v>0.4</v>
      </c>
      <c r="L122" s="149"/>
      <c r="M122" s="149"/>
      <c r="N122" s="335">
        <v>757</v>
      </c>
      <c r="O122" s="296">
        <v>0.65</v>
      </c>
      <c r="P122" s="345">
        <v>0.65100000000000002</v>
      </c>
      <c r="Q122" s="138" t="s">
        <v>3598</v>
      </c>
      <c r="R122" s="138">
        <f>326+389</f>
        <v>715</v>
      </c>
      <c r="S122" s="339"/>
      <c r="T122" s="299"/>
      <c r="U122" s="282" t="s">
        <v>3497</v>
      </c>
      <c r="V122" s="282" t="s">
        <v>865</v>
      </c>
      <c r="W122" s="138" t="s">
        <v>116</v>
      </c>
      <c r="X122" s="340" t="s">
        <v>866</v>
      </c>
      <c r="Y122" s="340" t="s">
        <v>866</v>
      </c>
      <c r="Z122" s="340">
        <v>44404</v>
      </c>
      <c r="AA122" s="340">
        <v>44441</v>
      </c>
      <c r="AB122" s="340"/>
      <c r="AC122" s="341"/>
      <c r="AD122" s="342" t="s">
        <v>64</v>
      </c>
      <c r="AE122" s="342" t="s">
        <v>154</v>
      </c>
      <c r="AF122" s="284" t="s">
        <v>868</v>
      </c>
      <c r="AG122" s="284"/>
      <c r="AH122" s="284">
        <v>44388</v>
      </c>
      <c r="AI122" s="284"/>
      <c r="AJ122" s="334">
        <f t="shared" ca="1" si="14"/>
        <v>44963</v>
      </c>
      <c r="AK122" s="342">
        <f t="shared" ca="1" si="15"/>
        <v>575</v>
      </c>
      <c r="AL122" s="342"/>
      <c r="AM122" s="284"/>
      <c r="AN122" s="284" t="s">
        <v>869</v>
      </c>
      <c r="AO122" s="343">
        <v>10.42</v>
      </c>
      <c r="AP122" s="343">
        <v>10.43</v>
      </c>
      <c r="AQ122" s="343">
        <v>10.454999999999998</v>
      </c>
      <c r="AR122" s="343">
        <v>10.459999999999999</v>
      </c>
      <c r="AS122" s="331">
        <f ca="1">IF(ISNUMBER(Y122)=TRUE,AJ122-Y122,IF(Y122="","",(AJ122)-(MID(RIGHT(Y122,10),4,2)&amp;"/"&amp;LEFT((RIGHT(Y122,10)),2)&amp;"/"&amp;RIGHT(Y122,4))))</f>
        <v>607</v>
      </c>
      <c r="AV122" s="331" t="s">
        <v>136</v>
      </c>
      <c r="BL122" s="331" t="s">
        <v>3572</v>
      </c>
    </row>
    <row r="123" spans="1:64" s="331" customFormat="1" ht="18" hidden="1" customHeight="1" x14ac:dyDescent="0.35">
      <c r="A123" s="334">
        <v>44488</v>
      </c>
      <c r="B123" s="335">
        <f ca="1">IF(A123="",(IF(ISNUMBER(SUBSTITUTE(LEFT(RIGHT(E123,LEN(E123)-MIN(SEARCH({1,2,3,4,5,6,7,8,9,0},E123&amp;"1234567890"))+1),10),".","/"))=TRUE,AJ123-(SUBSTITUTE(LEFT(RIGHT(E123,LEN(E123)-MIN(SEARCH({1,2,3,4,5,6,7,8,9,0},E123&amp;"1234567890"))+1),10),".","/")),IF((SUBSTITUTE(LEFT(RIGHT(E123,LEN(E123)-MIN(SEARCH({1,2,3,4,5,6,7,8,9,0},E123&amp;"1234567890"))+1),10),".","/"))="","",(AJ123)-(MID(RIGHT((SUBSTITUTE(LEFT(RIGHT(E123,LEN(E123)-MIN(SEARCH({1,2,3,4,5,6,7,8,9,0},E123&amp;"1234567890"))+1),10),".","/")),10),4,2)&amp;"/"&amp;LEFT((RIGHT((SUBSTITUTE(LEFT(RIGHT(E123,LEN(E123)-MIN(SEARCH({1,2,3,4,5,6,7,8,9,0},E123&amp;"1234567890"))+1),10),".","/")),10)),2)&amp;"/"&amp;RIGHT((SUBSTITUTE(LEFT(RIGHT(E123,LEN(E123)-MIN(SEARCH({1,2,3,4,5,6,7,8,9,0},E123&amp;"1234567890"))+1),10),".","/")),4))))),(AJ123-A123))</f>
        <v>475</v>
      </c>
      <c r="C123" s="334"/>
      <c r="D123" s="294" t="str">
        <f t="shared" si="12"/>
        <v>FGCKW2-304/304L/2B-001X760</v>
      </c>
      <c r="E123" s="294" t="s">
        <v>5126</v>
      </c>
      <c r="F123" s="294" t="s">
        <v>5127</v>
      </c>
      <c r="G123" s="294" t="s">
        <v>5128</v>
      </c>
      <c r="H123" s="294" t="s">
        <v>377</v>
      </c>
      <c r="I123" s="337" t="s">
        <v>116</v>
      </c>
      <c r="J123" s="149">
        <v>3.77</v>
      </c>
      <c r="K123" s="149">
        <v>1.1000000000000001</v>
      </c>
      <c r="L123" s="149">
        <v>1.0900000000000001</v>
      </c>
      <c r="M123" s="149">
        <v>1.1100000000000001</v>
      </c>
      <c r="N123" s="335">
        <v>770</v>
      </c>
      <c r="O123" s="296">
        <v>0.89</v>
      </c>
      <c r="P123" s="345">
        <f>O123+0.001</f>
        <v>0.89100000000000001</v>
      </c>
      <c r="Q123" s="138">
        <v>760</v>
      </c>
      <c r="R123" s="138"/>
      <c r="S123" s="339"/>
      <c r="T123" s="299"/>
      <c r="U123" s="282" t="s">
        <v>3497</v>
      </c>
      <c r="V123" s="282"/>
      <c r="W123" s="138" t="s">
        <v>116</v>
      </c>
      <c r="X123" s="340">
        <v>44450</v>
      </c>
      <c r="Y123" s="340">
        <v>44450</v>
      </c>
      <c r="Z123" s="340">
        <v>44455</v>
      </c>
      <c r="AA123" s="340">
        <v>44455</v>
      </c>
      <c r="AB123" s="340"/>
      <c r="AC123" s="341"/>
      <c r="AD123" s="342" t="s">
        <v>64</v>
      </c>
      <c r="AE123" s="342" t="s">
        <v>154</v>
      </c>
      <c r="AF123" s="284" t="s">
        <v>1139</v>
      </c>
      <c r="AG123" s="284"/>
      <c r="AH123" s="284">
        <v>44431</v>
      </c>
      <c r="AI123" s="284"/>
      <c r="AJ123" s="334">
        <f t="shared" ca="1" si="14"/>
        <v>44963</v>
      </c>
      <c r="AK123" s="342">
        <f t="shared" ca="1" si="15"/>
        <v>532</v>
      </c>
      <c r="AL123" s="342">
        <f t="shared" ref="AL123:AL181" ca="1" si="16">IF(ISNUMBER(Z123)=TRUE,AJ123-Z123,IF(Z123="","",(AJ123)-(MID(RIGHT(Z123,10),4,2)&amp;"/"&amp;LEFT((RIGHT(Z123,10)),2)&amp;"/"&amp;RIGHT(Z123,4))))</f>
        <v>508</v>
      </c>
      <c r="AM123" s="284"/>
      <c r="AN123" s="284" t="s">
        <v>5129</v>
      </c>
      <c r="AO123" s="343">
        <v>10.34</v>
      </c>
      <c r="AP123" s="343">
        <v>10.35</v>
      </c>
      <c r="AQ123" s="343">
        <v>10.374999999999998</v>
      </c>
      <c r="AR123" s="343">
        <v>10.379999999999999</v>
      </c>
      <c r="AV123" s="331" t="s">
        <v>136</v>
      </c>
      <c r="BL123" s="331" t="s">
        <v>3572</v>
      </c>
    </row>
    <row r="124" spans="1:64" s="331" customFormat="1" ht="18" hidden="1" customHeight="1" x14ac:dyDescent="0.35">
      <c r="A124" s="334">
        <v>44492</v>
      </c>
      <c r="B124" s="335">
        <f ca="1">IF(A124="",(IF(ISNUMBER(SUBSTITUTE(LEFT(RIGHT(E124,LEN(E124)-MIN(SEARCH({1,2,3,4,5,6,7,8,9,0},E124&amp;"1234567890"))+1),10),".","/"))=TRUE,AJ124-(SUBSTITUTE(LEFT(RIGHT(E124,LEN(E124)-MIN(SEARCH({1,2,3,4,5,6,7,8,9,0},E124&amp;"1234567890"))+1),10),".","/")),IF((SUBSTITUTE(LEFT(RIGHT(E124,LEN(E124)-MIN(SEARCH({1,2,3,4,5,6,7,8,9,0},E124&amp;"1234567890"))+1),10),".","/"))="","",(AJ124)-(MID(RIGHT((SUBSTITUTE(LEFT(RIGHT(E124,LEN(E124)-MIN(SEARCH({1,2,3,4,5,6,7,8,9,0},E124&amp;"1234567890"))+1),10),".","/")),10),4,2)&amp;"/"&amp;LEFT((RIGHT((SUBSTITUTE(LEFT(RIGHT(E124,LEN(E124)-MIN(SEARCH({1,2,3,4,5,6,7,8,9,0},E124&amp;"1234567890"))+1),10),".","/")),10)),2)&amp;"/"&amp;RIGHT((SUBSTITUTE(LEFT(RIGHT(E124,LEN(E124)-MIN(SEARCH({1,2,3,4,5,6,7,8,9,0},E124&amp;"1234567890"))+1),10),".","/")),4))))),(AJ124-A124))</f>
        <v>471</v>
      </c>
      <c r="C124" s="334"/>
      <c r="D124" s="294" t="str">
        <f t="shared" si="12"/>
        <v>FGCKW2-304/304L/2B-001X770</v>
      </c>
      <c r="E124" s="294" t="s">
        <v>5126</v>
      </c>
      <c r="F124" s="294" t="s">
        <v>5130</v>
      </c>
      <c r="G124" s="294" t="s">
        <v>5131</v>
      </c>
      <c r="H124" s="294" t="s">
        <v>377</v>
      </c>
      <c r="I124" s="337" t="s">
        <v>116</v>
      </c>
      <c r="J124" s="149">
        <v>3.79</v>
      </c>
      <c r="K124" s="149">
        <v>1.43</v>
      </c>
      <c r="L124" s="149">
        <v>1.43</v>
      </c>
      <c r="M124" s="149">
        <v>1.47</v>
      </c>
      <c r="N124" s="335">
        <v>770</v>
      </c>
      <c r="O124" s="296">
        <v>0.27</v>
      </c>
      <c r="P124" s="345">
        <v>0.27100000000000002</v>
      </c>
      <c r="Q124" s="138">
        <v>770</v>
      </c>
      <c r="R124" s="138"/>
      <c r="S124" s="339"/>
      <c r="T124" s="299"/>
      <c r="U124" s="282" t="s">
        <v>3497</v>
      </c>
      <c r="V124" s="282"/>
      <c r="W124" s="138" t="s">
        <v>116</v>
      </c>
      <c r="X124" s="340">
        <v>44439</v>
      </c>
      <c r="Y124" s="340">
        <v>44439</v>
      </c>
      <c r="Z124" s="340">
        <v>44441</v>
      </c>
      <c r="AA124" s="340"/>
      <c r="AB124" s="340"/>
      <c r="AC124" s="341"/>
      <c r="AD124" s="342" t="s">
        <v>64</v>
      </c>
      <c r="AE124" s="342" t="s">
        <v>154</v>
      </c>
      <c r="AF124" s="284" t="s">
        <v>1148</v>
      </c>
      <c r="AG124" s="284"/>
      <c r="AH124" s="284">
        <v>44431</v>
      </c>
      <c r="AI124" s="284"/>
      <c r="AJ124" s="334">
        <f t="shared" ca="1" si="14"/>
        <v>44963</v>
      </c>
      <c r="AK124" s="342">
        <f t="shared" ca="1" si="15"/>
        <v>532</v>
      </c>
      <c r="AL124" s="342">
        <f t="shared" ca="1" si="16"/>
        <v>522</v>
      </c>
      <c r="AM124" s="284"/>
      <c r="AN124" s="284" t="s">
        <v>5132</v>
      </c>
      <c r="AO124" s="343">
        <v>11.7</v>
      </c>
      <c r="AP124" s="343">
        <v>11.71</v>
      </c>
      <c r="AQ124" s="343">
        <v>11.734999999999999</v>
      </c>
      <c r="AR124" s="343">
        <v>11.74</v>
      </c>
      <c r="AV124" s="331" t="s">
        <v>136</v>
      </c>
    </row>
    <row r="125" spans="1:64" s="331" customFormat="1" ht="18" hidden="1" customHeight="1" x14ac:dyDescent="0.35">
      <c r="A125" s="334">
        <v>44488</v>
      </c>
      <c r="B125" s="335">
        <f ca="1">IF(A125="",(IF(ISNUMBER(SUBSTITUTE(LEFT(RIGHT(E125,LEN(E125)-MIN(SEARCH({1,2,3,4,5,6,7,8,9,0},E125&amp;"1234567890"))+1),10),".","/"))=TRUE,AJ125-(SUBSTITUTE(LEFT(RIGHT(E125,LEN(E125)-MIN(SEARCH({1,2,3,4,5,6,7,8,9,0},E125&amp;"1234567890"))+1),10),".","/")),IF((SUBSTITUTE(LEFT(RIGHT(E125,LEN(E125)-MIN(SEARCH({1,2,3,4,5,6,7,8,9,0},E125&amp;"1234567890"))+1),10),".","/"))="","",(AJ125)-(MID(RIGHT((SUBSTITUTE(LEFT(RIGHT(E125,LEN(E125)-MIN(SEARCH({1,2,3,4,5,6,7,8,9,0},E125&amp;"1234567890"))+1),10),".","/")),10),4,2)&amp;"/"&amp;LEFT((RIGHT((SUBSTITUTE(LEFT(RIGHT(E125,LEN(E125)-MIN(SEARCH({1,2,3,4,5,6,7,8,9,0},E125&amp;"1234567890"))+1),10),".","/")),10)),2)&amp;"/"&amp;RIGHT((SUBSTITUTE(LEFT(RIGHT(E125,LEN(E125)-MIN(SEARCH({1,2,3,4,5,6,7,8,9,0},E125&amp;"1234567890"))+1),10),".","/")),4))))),(AJ125-A125))</f>
        <v>475</v>
      </c>
      <c r="C125" s="334"/>
      <c r="D125" s="294" t="str">
        <f t="shared" si="12"/>
        <v>FGCKW2-304/304L/2B-002X760</v>
      </c>
      <c r="E125" s="294" t="s">
        <v>5133</v>
      </c>
      <c r="F125" s="294" t="s">
        <v>5134</v>
      </c>
      <c r="G125" s="294" t="s">
        <v>5135</v>
      </c>
      <c r="H125" s="294" t="s">
        <v>377</v>
      </c>
      <c r="I125" s="337" t="s">
        <v>116</v>
      </c>
      <c r="J125" s="149">
        <v>3.81</v>
      </c>
      <c r="K125" s="149">
        <v>1.85</v>
      </c>
      <c r="L125" s="149">
        <v>1.86</v>
      </c>
      <c r="M125" s="149">
        <v>1.91</v>
      </c>
      <c r="N125" s="335">
        <v>770</v>
      </c>
      <c r="O125" s="296">
        <v>0.26500000000000001</v>
      </c>
      <c r="P125" s="345">
        <f>O125+0.001</f>
        <v>0.26600000000000001</v>
      </c>
      <c r="Q125" s="138">
        <v>760</v>
      </c>
      <c r="R125" s="138"/>
      <c r="S125" s="339"/>
      <c r="T125" s="299"/>
      <c r="U125" s="282" t="s">
        <v>3497</v>
      </c>
      <c r="V125" s="282"/>
      <c r="W125" s="138" t="s">
        <v>116</v>
      </c>
      <c r="X125" s="340">
        <v>44450</v>
      </c>
      <c r="Y125" s="340">
        <v>44450</v>
      </c>
      <c r="Z125" s="340">
        <v>44457</v>
      </c>
      <c r="AA125" s="340"/>
      <c r="AB125" s="340"/>
      <c r="AC125" s="341"/>
      <c r="AD125" s="342" t="s">
        <v>64</v>
      </c>
      <c r="AE125" s="342" t="s">
        <v>154</v>
      </c>
      <c r="AF125" s="284" t="s">
        <v>1139</v>
      </c>
      <c r="AG125" s="284"/>
      <c r="AH125" s="284">
        <v>44431</v>
      </c>
      <c r="AI125" s="284"/>
      <c r="AJ125" s="334">
        <f t="shared" ca="1" si="14"/>
        <v>44963</v>
      </c>
      <c r="AK125" s="342">
        <f t="shared" ca="1" si="15"/>
        <v>532</v>
      </c>
      <c r="AL125" s="342">
        <f t="shared" ca="1" si="16"/>
        <v>506</v>
      </c>
      <c r="AM125" s="284"/>
      <c r="AN125" s="284" t="s">
        <v>5103</v>
      </c>
      <c r="AO125" s="343">
        <v>10.35</v>
      </c>
      <c r="AP125" s="343">
        <v>10.36</v>
      </c>
      <c r="AQ125" s="343">
        <v>10.384999999999998</v>
      </c>
      <c r="AR125" s="343">
        <v>10.389999999999999</v>
      </c>
      <c r="AV125" s="331" t="s">
        <v>136</v>
      </c>
    </row>
    <row r="126" spans="1:64" s="331" customFormat="1" ht="18" hidden="1" customHeight="1" x14ac:dyDescent="0.35">
      <c r="A126" s="334">
        <v>44492</v>
      </c>
      <c r="B126" s="335">
        <f ca="1">IF(A126="",(IF(ISNUMBER(SUBSTITUTE(LEFT(RIGHT(E126,LEN(E126)-MIN(SEARCH({1,2,3,4,5,6,7,8,9,0},E126&amp;"1234567890"))+1),10),".","/"))=TRUE,AJ126-(SUBSTITUTE(LEFT(RIGHT(E126,LEN(E126)-MIN(SEARCH({1,2,3,4,5,6,7,8,9,0},E126&amp;"1234567890"))+1),10),".","/")),IF((SUBSTITUTE(LEFT(RIGHT(E126,LEN(E126)-MIN(SEARCH({1,2,3,4,5,6,7,8,9,0},E126&amp;"1234567890"))+1),10),".","/"))="","",(AJ126)-(MID(RIGHT((SUBSTITUTE(LEFT(RIGHT(E126,LEN(E126)-MIN(SEARCH({1,2,3,4,5,6,7,8,9,0},E126&amp;"1234567890"))+1),10),".","/")),10),4,2)&amp;"/"&amp;LEFT((RIGHT((SUBSTITUTE(LEFT(RIGHT(E126,LEN(E126)-MIN(SEARCH({1,2,3,4,5,6,7,8,9,0},E126&amp;"1234567890"))+1),10),".","/")),10)),2)&amp;"/"&amp;RIGHT((SUBSTITUTE(LEFT(RIGHT(E126,LEN(E126)-MIN(SEARCH({1,2,3,4,5,6,7,8,9,0},E126&amp;"1234567890"))+1),10),".","/")),4))))),(AJ126-A126))</f>
        <v>471</v>
      </c>
      <c r="C126" s="334"/>
      <c r="D126" s="294" t="str">
        <f t="shared" si="12"/>
        <v>FGCKW2-304/304L/2B-002X760</v>
      </c>
      <c r="E126" s="294" t="s">
        <v>5133</v>
      </c>
      <c r="F126" s="294" t="s">
        <v>5136</v>
      </c>
      <c r="G126" s="294" t="s">
        <v>5137</v>
      </c>
      <c r="H126" s="294" t="s">
        <v>377</v>
      </c>
      <c r="I126" s="337" t="s">
        <v>116</v>
      </c>
      <c r="J126" s="149">
        <v>3.88</v>
      </c>
      <c r="K126" s="149">
        <v>1.85</v>
      </c>
      <c r="L126" s="149">
        <v>1.85</v>
      </c>
      <c r="M126" s="149">
        <v>1.87</v>
      </c>
      <c r="N126" s="335">
        <v>770</v>
      </c>
      <c r="O126" s="296">
        <v>0.495</v>
      </c>
      <c r="P126" s="345">
        <v>0.496</v>
      </c>
      <c r="Q126" s="138">
        <v>760</v>
      </c>
      <c r="R126" s="138"/>
      <c r="S126" s="339"/>
      <c r="T126" s="299"/>
      <c r="U126" s="282" t="s">
        <v>3497</v>
      </c>
      <c r="V126" s="282"/>
      <c r="W126" s="138" t="s">
        <v>116</v>
      </c>
      <c r="X126" s="340">
        <v>44452</v>
      </c>
      <c r="Y126" s="340">
        <v>44452</v>
      </c>
      <c r="Z126" s="340">
        <v>44457</v>
      </c>
      <c r="AA126" s="340"/>
      <c r="AB126" s="340"/>
      <c r="AC126" s="341"/>
      <c r="AD126" s="342" t="s">
        <v>64</v>
      </c>
      <c r="AE126" s="342" t="s">
        <v>154</v>
      </c>
      <c r="AF126" s="284" t="s">
        <v>1148</v>
      </c>
      <c r="AG126" s="284"/>
      <c r="AH126" s="284">
        <v>44431</v>
      </c>
      <c r="AI126" s="284"/>
      <c r="AJ126" s="334">
        <f t="shared" ca="1" si="14"/>
        <v>44963</v>
      </c>
      <c r="AK126" s="342">
        <f t="shared" ca="1" si="15"/>
        <v>532</v>
      </c>
      <c r="AL126" s="342">
        <f t="shared" ca="1" si="16"/>
        <v>506</v>
      </c>
      <c r="AM126" s="284"/>
      <c r="AN126" s="284" t="s">
        <v>5138</v>
      </c>
      <c r="AO126" s="343">
        <v>12.03</v>
      </c>
      <c r="AP126" s="343">
        <v>12.04</v>
      </c>
      <c r="AQ126" s="343">
        <v>12.064999999999998</v>
      </c>
      <c r="AR126" s="343">
        <v>12.069999999999999</v>
      </c>
      <c r="AV126" s="331" t="s">
        <v>136</v>
      </c>
      <c r="BL126" s="331" t="s">
        <v>3572</v>
      </c>
    </row>
    <row r="127" spans="1:64" s="331" customFormat="1" ht="18" hidden="1" customHeight="1" x14ac:dyDescent="0.35">
      <c r="A127" s="334">
        <v>44524</v>
      </c>
      <c r="B127" s="335">
        <f ca="1">IF(A127="",(IF(ISNUMBER(SUBSTITUTE(LEFT(RIGHT(E127,LEN(E127)-MIN(SEARCH({1,2,3,4,5,6,7,8,9,0},E127&amp;"1234567890"))+1),10),".","/"))=TRUE,AJ127-(SUBSTITUTE(LEFT(RIGHT(E127,LEN(E127)-MIN(SEARCH({1,2,3,4,5,6,7,8,9,0},E127&amp;"1234567890"))+1),10),".","/")),IF((SUBSTITUTE(LEFT(RIGHT(E127,LEN(E127)-MIN(SEARCH({1,2,3,4,5,6,7,8,9,0},E127&amp;"1234567890"))+1),10),".","/"))="","",(AJ127)-(MID(RIGHT((SUBSTITUTE(LEFT(RIGHT(E127,LEN(E127)-MIN(SEARCH({1,2,3,4,5,6,7,8,9,0},E127&amp;"1234567890"))+1),10),".","/")),10),4,2)&amp;"/"&amp;LEFT((RIGHT((SUBSTITUTE(LEFT(RIGHT(E127,LEN(E127)-MIN(SEARCH({1,2,3,4,5,6,7,8,9,0},E127&amp;"1234567890"))+1),10),".","/")),10)),2)&amp;"/"&amp;RIGHT((SUBSTITUTE(LEFT(RIGHT(E127,LEN(E127)-MIN(SEARCH({1,2,3,4,5,6,7,8,9,0},E127&amp;"1234567890"))+1),10),".","/")),4))))),(AJ127-A127))</f>
        <v>439</v>
      </c>
      <c r="C127" s="334"/>
      <c r="D127" s="294" t="str">
        <f t="shared" si="12"/>
        <v>FGCKW2-J3/2B-001X760</v>
      </c>
      <c r="E127" s="294" t="s">
        <v>5139</v>
      </c>
      <c r="F127" s="294" t="s">
        <v>5140</v>
      </c>
      <c r="G127" s="294" t="s">
        <v>5141</v>
      </c>
      <c r="H127" s="294" t="s">
        <v>29</v>
      </c>
      <c r="I127" s="337" t="s">
        <v>116</v>
      </c>
      <c r="J127" s="149">
        <v>2.2000000000000002</v>
      </c>
      <c r="K127" s="149">
        <v>0.78</v>
      </c>
      <c r="L127" s="149">
        <v>0.78</v>
      </c>
      <c r="M127" s="149">
        <v>0.8</v>
      </c>
      <c r="N127" s="335">
        <v>595</v>
      </c>
      <c r="O127" s="296">
        <v>0.2</v>
      </c>
      <c r="P127" s="345">
        <v>0.20100000000000001</v>
      </c>
      <c r="Q127" s="138">
        <v>760</v>
      </c>
      <c r="R127" s="138"/>
      <c r="S127" s="339"/>
      <c r="T127" s="299"/>
      <c r="U127" s="282" t="s">
        <v>3497</v>
      </c>
      <c r="V127" s="282"/>
      <c r="W127" s="282" t="s">
        <v>116</v>
      </c>
      <c r="X127" s="340">
        <v>44457</v>
      </c>
      <c r="Y127" s="340">
        <v>44457</v>
      </c>
      <c r="Z127" s="340">
        <v>44459</v>
      </c>
      <c r="AA127" s="340"/>
      <c r="AB127" s="340"/>
      <c r="AC127" s="341"/>
      <c r="AD127" s="342" t="s">
        <v>64</v>
      </c>
      <c r="AE127" s="342" t="s">
        <v>132</v>
      </c>
      <c r="AF127" s="284" t="s">
        <v>580</v>
      </c>
      <c r="AG127" s="284">
        <v>44303</v>
      </c>
      <c r="AH127" s="284">
        <v>44327</v>
      </c>
      <c r="AI127" s="284"/>
      <c r="AJ127" s="334">
        <f t="shared" ca="1" si="14"/>
        <v>44963</v>
      </c>
      <c r="AK127" s="342">
        <f t="shared" ca="1" si="15"/>
        <v>636</v>
      </c>
      <c r="AL127" s="342">
        <f t="shared" ca="1" si="16"/>
        <v>504</v>
      </c>
      <c r="AM127" s="284" t="s">
        <v>598</v>
      </c>
      <c r="AN127" s="284" t="s">
        <v>611</v>
      </c>
      <c r="AO127" s="343">
        <v>8.2370000000000001</v>
      </c>
      <c r="AP127" s="343">
        <v>8.2520000000000007</v>
      </c>
      <c r="AQ127" s="343">
        <v>8.2769999999999992</v>
      </c>
      <c r="AR127" s="343">
        <v>8.282</v>
      </c>
      <c r="AS127" s="331">
        <f ca="1">IF(ISNUMBER(Y127)=TRUE,AJ127-Y127,IF(Y127="","",(AJ127)-(MID(RIGHT(Y127,10),4,2)&amp;"/"&amp;LEFT((RIGHT(Y127,10)),2)&amp;"/"&amp;RIGHT(Y127,4))))</f>
        <v>506</v>
      </c>
      <c r="AV127" s="331" t="s">
        <v>136</v>
      </c>
      <c r="BL127" s="331" t="s">
        <v>3572</v>
      </c>
    </row>
    <row r="128" spans="1:64" s="331" customFormat="1" ht="18" hidden="1" customHeight="1" x14ac:dyDescent="0.35">
      <c r="A128" s="334">
        <v>44488</v>
      </c>
      <c r="B128" s="335">
        <f ca="1">IF(A128="",(IF(ISNUMBER(SUBSTITUTE(LEFT(RIGHT(E128,LEN(E128)-MIN(SEARCH({1,2,3,4,5,6,7,8,9,0},E128&amp;"1234567890"))+1),10),".","/"))=TRUE,AJ128-(SUBSTITUTE(LEFT(RIGHT(E128,LEN(E128)-MIN(SEARCH({1,2,3,4,5,6,7,8,9,0},E128&amp;"1234567890"))+1),10),".","/")),IF((SUBSTITUTE(LEFT(RIGHT(E128,LEN(E128)-MIN(SEARCH({1,2,3,4,5,6,7,8,9,0},E128&amp;"1234567890"))+1),10),".","/"))="","",(AJ128)-(MID(RIGHT((SUBSTITUTE(LEFT(RIGHT(E128,LEN(E128)-MIN(SEARCH({1,2,3,4,5,6,7,8,9,0},E128&amp;"1234567890"))+1),10),".","/")),10),4,2)&amp;"/"&amp;LEFT((RIGHT((SUBSTITUTE(LEFT(RIGHT(E128,LEN(E128)-MIN(SEARCH({1,2,3,4,5,6,7,8,9,0},E128&amp;"1234567890"))+1),10),".","/")),10)),2)&amp;"/"&amp;RIGHT((SUBSTITUTE(LEFT(RIGHT(E128,LEN(E128)-MIN(SEARCH({1,2,3,4,5,6,7,8,9,0},E128&amp;"1234567890"))+1),10),".","/")),4))))),(AJ128-A128))</f>
        <v>475</v>
      </c>
      <c r="C128" s="334"/>
      <c r="D128" s="294" t="str">
        <f t="shared" si="12"/>
        <v>FGCKW2-304/2B-002X760</v>
      </c>
      <c r="E128" s="294" t="s">
        <v>5142</v>
      </c>
      <c r="F128" s="294" t="s">
        <v>5143</v>
      </c>
      <c r="G128" s="294" t="s">
        <v>5144</v>
      </c>
      <c r="H128" s="294">
        <v>304</v>
      </c>
      <c r="I128" s="337" t="s">
        <v>116</v>
      </c>
      <c r="J128" s="149">
        <v>3.8</v>
      </c>
      <c r="K128" s="149">
        <v>1.5</v>
      </c>
      <c r="L128" s="149"/>
      <c r="M128" s="149"/>
      <c r="N128" s="335">
        <v>770</v>
      </c>
      <c r="O128" s="296">
        <v>0.77</v>
      </c>
      <c r="P128" s="345">
        <f>O128+0.001</f>
        <v>0.77100000000000002</v>
      </c>
      <c r="Q128" s="138">
        <v>760</v>
      </c>
      <c r="R128" s="138"/>
      <c r="S128" s="339"/>
      <c r="T128" s="299"/>
      <c r="U128" s="282" t="s">
        <v>3497</v>
      </c>
      <c r="V128" s="282"/>
      <c r="W128" s="282" t="s">
        <v>116</v>
      </c>
      <c r="X128" s="340">
        <v>44458</v>
      </c>
      <c r="Y128" s="340">
        <v>44458</v>
      </c>
      <c r="Z128" s="340"/>
      <c r="AA128" s="340"/>
      <c r="AB128" s="340"/>
      <c r="AC128" s="341"/>
      <c r="AD128" s="342" t="s">
        <v>64</v>
      </c>
      <c r="AE128" s="342" t="s">
        <v>154</v>
      </c>
      <c r="AF128" s="284" t="s">
        <v>793</v>
      </c>
      <c r="AG128" s="284"/>
      <c r="AH128" s="284">
        <v>44444</v>
      </c>
      <c r="AI128" s="284"/>
      <c r="AJ128" s="334">
        <f t="shared" ca="1" si="14"/>
        <v>44963</v>
      </c>
      <c r="AK128" s="342">
        <f t="shared" ca="1" si="15"/>
        <v>519</v>
      </c>
      <c r="AL128" s="342" t="str">
        <f t="shared" si="16"/>
        <v/>
      </c>
      <c r="AM128" s="284"/>
      <c r="AN128" s="284" t="s">
        <v>5145</v>
      </c>
      <c r="AO128" s="343">
        <v>10.585000000000001</v>
      </c>
      <c r="AP128" s="343">
        <v>10.595000000000001</v>
      </c>
      <c r="AQ128" s="343">
        <v>10.62</v>
      </c>
      <c r="AR128" s="343">
        <v>10.625</v>
      </c>
      <c r="AV128" s="331" t="s">
        <v>136</v>
      </c>
      <c r="BL128" s="331" t="s">
        <v>4503</v>
      </c>
    </row>
    <row r="129" spans="1:64" s="331" customFormat="1" ht="18" hidden="1" customHeight="1" x14ac:dyDescent="0.35">
      <c r="A129" s="334">
        <v>44488</v>
      </c>
      <c r="B129" s="335">
        <f ca="1">IF(A129="",(IF(ISNUMBER(SUBSTITUTE(LEFT(RIGHT(E129,LEN(E129)-MIN(SEARCH({1,2,3,4,5,6,7,8,9,0},E129&amp;"1234567890"))+1),10),".","/"))=TRUE,AJ129-(SUBSTITUTE(LEFT(RIGHT(E129,LEN(E129)-MIN(SEARCH({1,2,3,4,5,6,7,8,9,0},E129&amp;"1234567890"))+1),10),".","/")),IF((SUBSTITUTE(LEFT(RIGHT(E129,LEN(E129)-MIN(SEARCH({1,2,3,4,5,6,7,8,9,0},E129&amp;"1234567890"))+1),10),".","/"))="","",(AJ129)-(MID(RIGHT((SUBSTITUTE(LEFT(RIGHT(E129,LEN(E129)-MIN(SEARCH({1,2,3,4,5,6,7,8,9,0},E129&amp;"1234567890"))+1),10),".","/")),10),4,2)&amp;"/"&amp;LEFT((RIGHT((SUBSTITUTE(LEFT(RIGHT(E129,LEN(E129)-MIN(SEARCH({1,2,3,4,5,6,7,8,9,0},E129&amp;"1234567890"))+1),10),".","/")),10)),2)&amp;"/"&amp;RIGHT((SUBSTITUTE(LEFT(RIGHT(E129,LEN(E129)-MIN(SEARCH({1,2,3,4,5,6,7,8,9,0},E129&amp;"1234567890"))+1),10),".","/")),4))))),(AJ129-A129))</f>
        <v>475</v>
      </c>
      <c r="C129" s="334"/>
      <c r="D129" s="294" t="str">
        <f t="shared" si="12"/>
        <v>FGCKW2-304/304L/2B-001X760</v>
      </c>
      <c r="E129" s="294" t="s">
        <v>5142</v>
      </c>
      <c r="F129" s="294" t="s">
        <v>5146</v>
      </c>
      <c r="G129" s="294" t="s">
        <v>5147</v>
      </c>
      <c r="H129" s="294" t="s">
        <v>377</v>
      </c>
      <c r="I129" s="337" t="s">
        <v>116</v>
      </c>
      <c r="J129" s="149">
        <v>3.78</v>
      </c>
      <c r="K129" s="149">
        <v>1.2</v>
      </c>
      <c r="L129" s="149">
        <v>1.18</v>
      </c>
      <c r="M129" s="149">
        <v>1.2</v>
      </c>
      <c r="N129" s="335">
        <v>770</v>
      </c>
      <c r="O129" s="296">
        <f>0.385</f>
        <v>0.38500000000000001</v>
      </c>
      <c r="P129" s="345">
        <f>O129+0.001</f>
        <v>0.38600000000000001</v>
      </c>
      <c r="Q129" s="138">
        <v>760</v>
      </c>
      <c r="R129" s="138"/>
      <c r="S129" s="339"/>
      <c r="T129" s="299"/>
      <c r="U129" s="282" t="s">
        <v>3497</v>
      </c>
      <c r="V129" s="282"/>
      <c r="W129" s="282" t="s">
        <v>116</v>
      </c>
      <c r="X129" s="340">
        <v>44459</v>
      </c>
      <c r="Y129" s="340">
        <v>44459</v>
      </c>
      <c r="Z129" s="340">
        <v>44460</v>
      </c>
      <c r="AA129" s="340"/>
      <c r="AB129" s="340"/>
      <c r="AC129" s="341"/>
      <c r="AD129" s="342" t="s">
        <v>64</v>
      </c>
      <c r="AE129" s="342" t="s">
        <v>154</v>
      </c>
      <c r="AF129" s="284" t="s">
        <v>793</v>
      </c>
      <c r="AG129" s="284"/>
      <c r="AH129" s="284">
        <v>44444</v>
      </c>
      <c r="AI129" s="284"/>
      <c r="AJ129" s="334">
        <f t="shared" ca="1" si="14"/>
        <v>44963</v>
      </c>
      <c r="AK129" s="342">
        <f t="shared" ca="1" si="15"/>
        <v>519</v>
      </c>
      <c r="AL129" s="342">
        <f t="shared" ca="1" si="16"/>
        <v>503</v>
      </c>
      <c r="AM129" s="284"/>
      <c r="AN129" s="284" t="s">
        <v>5148</v>
      </c>
      <c r="AO129" s="343">
        <v>12.154999999999999</v>
      </c>
      <c r="AP129" s="343">
        <v>12.164999999999999</v>
      </c>
      <c r="AQ129" s="343">
        <v>12.189999999999998</v>
      </c>
      <c r="AR129" s="343">
        <v>12.194999999999999</v>
      </c>
      <c r="AV129" s="331" t="s">
        <v>136</v>
      </c>
      <c r="BL129" s="331" t="s">
        <v>4503</v>
      </c>
    </row>
    <row r="130" spans="1:64" s="331" customFormat="1" ht="18" hidden="1" customHeight="1" x14ac:dyDescent="0.35">
      <c r="A130" s="334">
        <v>44488</v>
      </c>
      <c r="B130" s="335">
        <f ca="1">IF(A130="",(IF(ISNUMBER(SUBSTITUTE(LEFT(RIGHT(E130,LEN(E130)-MIN(SEARCH({1,2,3,4,5,6,7,8,9,0},E130&amp;"1234567890"))+1),10),".","/"))=TRUE,AJ130-(SUBSTITUTE(LEFT(RIGHT(E130,LEN(E130)-MIN(SEARCH({1,2,3,4,5,6,7,8,9,0},E130&amp;"1234567890"))+1),10),".","/")),IF((SUBSTITUTE(LEFT(RIGHT(E130,LEN(E130)-MIN(SEARCH({1,2,3,4,5,6,7,8,9,0},E130&amp;"1234567890"))+1),10),".","/"))="","",(AJ130)-(MID(RIGHT((SUBSTITUTE(LEFT(RIGHT(E130,LEN(E130)-MIN(SEARCH({1,2,3,4,5,6,7,8,9,0},E130&amp;"1234567890"))+1),10),".","/")),10),4,2)&amp;"/"&amp;LEFT((RIGHT((SUBSTITUTE(LEFT(RIGHT(E130,LEN(E130)-MIN(SEARCH({1,2,3,4,5,6,7,8,9,0},E130&amp;"1234567890"))+1),10),".","/")),10)),2)&amp;"/"&amp;RIGHT((SUBSTITUTE(LEFT(RIGHT(E130,LEN(E130)-MIN(SEARCH({1,2,3,4,5,6,7,8,9,0},E130&amp;"1234567890"))+1),10),".","/")),4))))),(AJ130-A130))</f>
        <v>475</v>
      </c>
      <c r="C130" s="334"/>
      <c r="D130" s="294" t="str">
        <f t="shared" si="12"/>
        <v>FGCKW2-304/304L/2B-001X760</v>
      </c>
      <c r="E130" s="294" t="s">
        <v>5142</v>
      </c>
      <c r="F130" s="294" t="s">
        <v>5146</v>
      </c>
      <c r="G130" s="294" t="s">
        <v>5149</v>
      </c>
      <c r="H130" s="294" t="s">
        <v>377</v>
      </c>
      <c r="I130" s="337" t="s">
        <v>116</v>
      </c>
      <c r="J130" s="149">
        <v>3.78</v>
      </c>
      <c r="K130" s="149">
        <v>1.2</v>
      </c>
      <c r="L130" s="149">
        <v>1.18</v>
      </c>
      <c r="M130" s="149">
        <v>1.2</v>
      </c>
      <c r="N130" s="335">
        <v>770</v>
      </c>
      <c r="O130" s="296">
        <v>0.46</v>
      </c>
      <c r="P130" s="345">
        <f>O130+0.001</f>
        <v>0.46100000000000002</v>
      </c>
      <c r="Q130" s="138">
        <v>760</v>
      </c>
      <c r="R130" s="138"/>
      <c r="S130" s="339"/>
      <c r="T130" s="299"/>
      <c r="U130" s="282" t="s">
        <v>3497</v>
      </c>
      <c r="V130" s="282"/>
      <c r="W130" s="282" t="s">
        <v>116</v>
      </c>
      <c r="X130" s="340">
        <v>44459</v>
      </c>
      <c r="Y130" s="340">
        <v>44459</v>
      </c>
      <c r="Z130" s="340">
        <v>44460</v>
      </c>
      <c r="AA130" s="340"/>
      <c r="AB130" s="340"/>
      <c r="AC130" s="341"/>
      <c r="AD130" s="342" t="s">
        <v>64</v>
      </c>
      <c r="AE130" s="342" t="s">
        <v>154</v>
      </c>
      <c r="AF130" s="284" t="s">
        <v>793</v>
      </c>
      <c r="AG130" s="284"/>
      <c r="AH130" s="284">
        <v>44444</v>
      </c>
      <c r="AI130" s="284"/>
      <c r="AJ130" s="334">
        <f t="shared" ca="1" si="14"/>
        <v>44963</v>
      </c>
      <c r="AK130" s="342">
        <f t="shared" ca="1" si="15"/>
        <v>519</v>
      </c>
      <c r="AL130" s="342">
        <f t="shared" ca="1" si="16"/>
        <v>503</v>
      </c>
      <c r="AM130" s="284"/>
      <c r="AN130" s="284" t="s">
        <v>5148</v>
      </c>
      <c r="AO130" s="343">
        <v>12.154999999999999</v>
      </c>
      <c r="AP130" s="343">
        <v>12.164999999999999</v>
      </c>
      <c r="AQ130" s="343">
        <v>12.189999999999998</v>
      </c>
      <c r="AR130" s="343">
        <v>12.194999999999999</v>
      </c>
      <c r="AV130" s="331" t="s">
        <v>136</v>
      </c>
    </row>
    <row r="131" spans="1:64" s="331" customFormat="1" ht="18" hidden="1" customHeight="1" x14ac:dyDescent="0.35">
      <c r="A131" s="334">
        <v>44490</v>
      </c>
      <c r="B131" s="335">
        <f ca="1">IF(A131="",(IF(ISNUMBER(SUBSTITUTE(LEFT(RIGHT(E131,LEN(E131)-MIN(SEARCH({1,2,3,4,5,6,7,8,9,0},E131&amp;"1234567890"))+1),10),".","/"))=TRUE,AJ131-(SUBSTITUTE(LEFT(RIGHT(E131,LEN(E131)-MIN(SEARCH({1,2,3,4,5,6,7,8,9,0},E131&amp;"1234567890"))+1),10),".","/")),IF((SUBSTITUTE(LEFT(RIGHT(E131,LEN(E131)-MIN(SEARCH({1,2,3,4,5,6,7,8,9,0},E131&amp;"1234567890"))+1),10),".","/"))="","",(AJ131)-(MID(RIGHT((SUBSTITUTE(LEFT(RIGHT(E131,LEN(E131)-MIN(SEARCH({1,2,3,4,5,6,7,8,9,0},E131&amp;"1234567890"))+1),10),".","/")),10),4,2)&amp;"/"&amp;LEFT((RIGHT((SUBSTITUTE(LEFT(RIGHT(E131,LEN(E131)-MIN(SEARCH({1,2,3,4,5,6,7,8,9,0},E131&amp;"1234567890"))+1),10),".","/")),10)),2)&amp;"/"&amp;RIGHT((SUBSTITUTE(LEFT(RIGHT(E131,LEN(E131)-MIN(SEARCH({1,2,3,4,5,6,7,8,9,0},E131&amp;"1234567890"))+1),10),".","/")),4))))),(AJ131-A131))</f>
        <v>473</v>
      </c>
      <c r="C131" s="334"/>
      <c r="D131" s="294" t="str">
        <f t="shared" si="12"/>
        <v>FGCKW2-304/304L/2B-000X762</v>
      </c>
      <c r="E131" s="294" t="s">
        <v>5142</v>
      </c>
      <c r="F131" s="294" t="s">
        <v>5150</v>
      </c>
      <c r="G131" s="294" t="s">
        <v>5151</v>
      </c>
      <c r="H131" s="294" t="s">
        <v>377</v>
      </c>
      <c r="I131" s="337" t="s">
        <v>116</v>
      </c>
      <c r="J131" s="149">
        <v>0.6</v>
      </c>
      <c r="K131" s="149">
        <v>0.3</v>
      </c>
      <c r="L131" s="149">
        <v>0.31</v>
      </c>
      <c r="M131" s="149">
        <v>0.32</v>
      </c>
      <c r="N131" s="335">
        <v>762</v>
      </c>
      <c r="O131" s="296">
        <v>0.19500000000000001</v>
      </c>
      <c r="P131" s="345">
        <v>0.19600000000000001</v>
      </c>
      <c r="Q131" s="138">
        <v>762</v>
      </c>
      <c r="R131" s="138"/>
      <c r="S131" s="339"/>
      <c r="T131" s="299"/>
      <c r="U131" s="282" t="s">
        <v>3497</v>
      </c>
      <c r="V131" s="282" t="s">
        <v>5152</v>
      </c>
      <c r="W131" s="282" t="s">
        <v>116</v>
      </c>
      <c r="X131" s="340" t="s">
        <v>5153</v>
      </c>
      <c r="Y131" s="340" t="s">
        <v>5154</v>
      </c>
      <c r="Z131" s="340" t="s">
        <v>5155</v>
      </c>
      <c r="AA131" s="340" t="s">
        <v>5156</v>
      </c>
      <c r="AB131" s="340"/>
      <c r="AC131" s="341"/>
      <c r="AD131" s="342" t="s">
        <v>64</v>
      </c>
      <c r="AE131" s="342" t="s">
        <v>154</v>
      </c>
      <c r="AF131" s="284" t="s">
        <v>874</v>
      </c>
      <c r="AG131" s="284"/>
      <c r="AH131" s="284">
        <v>44388</v>
      </c>
      <c r="AI131" s="284"/>
      <c r="AJ131" s="334">
        <f t="shared" ca="1" si="14"/>
        <v>44963</v>
      </c>
      <c r="AK131" s="342">
        <f t="shared" ca="1" si="15"/>
        <v>575</v>
      </c>
      <c r="AL131" s="342" t="e">
        <f t="shared" ca="1" si="16"/>
        <v>#VALUE!</v>
      </c>
      <c r="AM131" s="284"/>
      <c r="AN131" s="284" t="s">
        <v>5157</v>
      </c>
      <c r="AO131" s="343">
        <v>12.06</v>
      </c>
      <c r="AP131" s="343">
        <v>12.07</v>
      </c>
      <c r="AQ131" s="343">
        <v>12.094999999999999</v>
      </c>
      <c r="AR131" s="343">
        <v>12.1</v>
      </c>
      <c r="AS131" s="331" t="e">
        <f ca="1">IF(ISNUMBER(Y131)=TRUE,AJ131-Y131,IF(Y131="","",(AJ131)-(MID(RIGHT(Y131,10),4,2)&amp;"/"&amp;LEFT((RIGHT(Y131,10)),2)&amp;"/"&amp;RIGHT(Y131,4))))</f>
        <v>#VALUE!</v>
      </c>
      <c r="AV131" s="331" t="s">
        <v>136</v>
      </c>
      <c r="BL131" s="331" t="s">
        <v>3572</v>
      </c>
    </row>
    <row r="132" spans="1:64" s="331" customFormat="1" ht="18" hidden="1" customHeight="1" x14ac:dyDescent="0.35">
      <c r="A132" s="334">
        <v>44488</v>
      </c>
      <c r="B132" s="335">
        <f ca="1">IF(A132="",(IF(ISNUMBER(SUBSTITUTE(LEFT(RIGHT(E132,LEN(E132)-MIN(SEARCH({1,2,3,4,5,6,7,8,9,0},E132&amp;"1234567890"))+1),10),".","/"))=TRUE,AJ132-(SUBSTITUTE(LEFT(RIGHT(E132,LEN(E132)-MIN(SEARCH({1,2,3,4,5,6,7,8,9,0},E132&amp;"1234567890"))+1),10),".","/")),IF((SUBSTITUTE(LEFT(RIGHT(E132,LEN(E132)-MIN(SEARCH({1,2,3,4,5,6,7,8,9,0},E132&amp;"1234567890"))+1),10),".","/"))="","",(AJ132)-(MID(RIGHT((SUBSTITUTE(LEFT(RIGHT(E132,LEN(E132)-MIN(SEARCH({1,2,3,4,5,6,7,8,9,0},E132&amp;"1234567890"))+1),10),".","/")),10),4,2)&amp;"/"&amp;LEFT((RIGHT((SUBSTITUTE(LEFT(RIGHT(E132,LEN(E132)-MIN(SEARCH({1,2,3,4,5,6,7,8,9,0},E132&amp;"1234567890"))+1),10),".","/")),10)),2)&amp;"/"&amp;RIGHT((SUBSTITUTE(LEFT(RIGHT(E132,LEN(E132)-MIN(SEARCH({1,2,3,4,5,6,7,8,9,0},E132&amp;"1234567890"))+1),10),".","/")),4))))),(AJ132-A132))</f>
        <v>475</v>
      </c>
      <c r="C132" s="334"/>
      <c r="D132" s="294" t="str">
        <f t="shared" si="12"/>
        <v>FGCKW2-304/304L/2B-002X760</v>
      </c>
      <c r="E132" s="294" t="s">
        <v>5158</v>
      </c>
      <c r="F132" s="294" t="s">
        <v>5159</v>
      </c>
      <c r="G132" s="294" t="s">
        <v>5160</v>
      </c>
      <c r="H132" s="294" t="s">
        <v>377</v>
      </c>
      <c r="I132" s="337" t="s">
        <v>116</v>
      </c>
      <c r="J132" s="149">
        <v>3.8</v>
      </c>
      <c r="K132" s="149">
        <v>1.5</v>
      </c>
      <c r="L132" s="149">
        <v>1.5</v>
      </c>
      <c r="M132" s="149">
        <v>1.52</v>
      </c>
      <c r="N132" s="335">
        <v>770</v>
      </c>
      <c r="O132" s="296">
        <v>0.35</v>
      </c>
      <c r="P132" s="345">
        <f>O132+0.001</f>
        <v>0.35099999999999998</v>
      </c>
      <c r="Q132" s="138">
        <v>760</v>
      </c>
      <c r="R132" s="138"/>
      <c r="S132" s="339"/>
      <c r="T132" s="299"/>
      <c r="U132" s="282" t="s">
        <v>3497</v>
      </c>
      <c r="V132" s="282"/>
      <c r="W132" s="282" t="s">
        <v>116</v>
      </c>
      <c r="X132" s="340">
        <v>44459</v>
      </c>
      <c r="Y132" s="340">
        <v>44459</v>
      </c>
      <c r="Z132" s="340">
        <v>44462</v>
      </c>
      <c r="AA132" s="340"/>
      <c r="AB132" s="340"/>
      <c r="AC132" s="341"/>
      <c r="AD132" s="342" t="s">
        <v>64</v>
      </c>
      <c r="AE132" s="342" t="s">
        <v>154</v>
      </c>
      <c r="AF132" s="284" t="s">
        <v>1148</v>
      </c>
      <c r="AG132" s="284"/>
      <c r="AH132" s="284">
        <v>44431</v>
      </c>
      <c r="AI132" s="284"/>
      <c r="AJ132" s="334">
        <f t="shared" ca="1" si="14"/>
        <v>44963</v>
      </c>
      <c r="AK132" s="342">
        <f t="shared" ca="1" si="15"/>
        <v>532</v>
      </c>
      <c r="AL132" s="342">
        <f t="shared" ca="1" si="16"/>
        <v>501</v>
      </c>
      <c r="AM132" s="284"/>
      <c r="AN132" s="284" t="s">
        <v>5161</v>
      </c>
      <c r="AO132" s="343">
        <v>11.845000000000001</v>
      </c>
      <c r="AP132" s="343">
        <v>11.855</v>
      </c>
      <c r="AQ132" s="343">
        <v>11.879999999999999</v>
      </c>
      <c r="AR132" s="343">
        <v>11.885</v>
      </c>
      <c r="AV132" s="331" t="s">
        <v>136</v>
      </c>
      <c r="BL132" s="331" t="s">
        <v>3786</v>
      </c>
    </row>
    <row r="133" spans="1:64" s="331" customFormat="1" ht="18" hidden="1" customHeight="1" x14ac:dyDescent="0.35">
      <c r="A133" s="334">
        <v>44488</v>
      </c>
      <c r="B133" s="335">
        <f ca="1">IF(A133="",(IF(ISNUMBER(SUBSTITUTE(LEFT(RIGHT(E133,LEN(E133)-MIN(SEARCH({1,2,3,4,5,6,7,8,9,0},E133&amp;"1234567890"))+1),10),".","/"))=TRUE,AJ133-(SUBSTITUTE(LEFT(RIGHT(E133,LEN(E133)-MIN(SEARCH({1,2,3,4,5,6,7,8,9,0},E133&amp;"1234567890"))+1),10),".","/")),IF((SUBSTITUTE(LEFT(RIGHT(E133,LEN(E133)-MIN(SEARCH({1,2,3,4,5,6,7,8,9,0},E133&amp;"1234567890"))+1),10),".","/"))="","",(AJ133)-(MID(RIGHT((SUBSTITUTE(LEFT(RIGHT(E133,LEN(E133)-MIN(SEARCH({1,2,3,4,5,6,7,8,9,0},E133&amp;"1234567890"))+1),10),".","/")),10),4,2)&amp;"/"&amp;LEFT((RIGHT((SUBSTITUTE(LEFT(RIGHT(E133,LEN(E133)-MIN(SEARCH({1,2,3,4,5,6,7,8,9,0},E133&amp;"1234567890"))+1),10),".","/")),10)),2)&amp;"/"&amp;RIGHT((SUBSTITUTE(LEFT(RIGHT(E133,LEN(E133)-MIN(SEARCH({1,2,3,4,5,6,7,8,9,0},E133&amp;"1234567890"))+1),10),".","/")),4))))),(AJ133-A133))</f>
        <v>475</v>
      </c>
      <c r="C133" s="334"/>
      <c r="D133" s="294" t="str">
        <f t="shared" si="12"/>
        <v>FGCKW2-304/304L/2B-002X760</v>
      </c>
      <c r="E133" s="294" t="s">
        <v>5162</v>
      </c>
      <c r="F133" s="294" t="s">
        <v>5163</v>
      </c>
      <c r="G133" s="294" t="s">
        <v>5164</v>
      </c>
      <c r="H133" s="294" t="s">
        <v>377</v>
      </c>
      <c r="I133" s="337" t="s">
        <v>116</v>
      </c>
      <c r="J133" s="149">
        <v>3.79</v>
      </c>
      <c r="K133" s="149">
        <v>2</v>
      </c>
      <c r="L133" s="149">
        <v>1.98</v>
      </c>
      <c r="M133" s="149">
        <v>2.0099999999999998</v>
      </c>
      <c r="N133" s="335">
        <v>770</v>
      </c>
      <c r="O133" s="296">
        <v>0.56499999999999995</v>
      </c>
      <c r="P133" s="345">
        <f>O133+0.001</f>
        <v>0.56599999999999995</v>
      </c>
      <c r="Q133" s="138">
        <v>760</v>
      </c>
      <c r="R133" s="138"/>
      <c r="S133" s="339"/>
      <c r="T133" s="299"/>
      <c r="U133" s="282" t="s">
        <v>3497</v>
      </c>
      <c r="V133" s="282"/>
      <c r="W133" s="282" t="s">
        <v>116</v>
      </c>
      <c r="X133" s="340">
        <v>44460</v>
      </c>
      <c r="Y133" s="340">
        <v>44460</v>
      </c>
      <c r="Z133" s="340">
        <v>44464</v>
      </c>
      <c r="AA133" s="340"/>
      <c r="AB133" s="340"/>
      <c r="AC133" s="341"/>
      <c r="AD133" s="342" t="s">
        <v>64</v>
      </c>
      <c r="AE133" s="342" t="s">
        <v>154</v>
      </c>
      <c r="AF133" s="284" t="s">
        <v>1139</v>
      </c>
      <c r="AG133" s="284"/>
      <c r="AH133" s="284">
        <v>44431</v>
      </c>
      <c r="AI133" s="284"/>
      <c r="AJ133" s="334">
        <f t="shared" ca="1" si="14"/>
        <v>44963</v>
      </c>
      <c r="AK133" s="342">
        <f t="shared" ca="1" si="15"/>
        <v>532</v>
      </c>
      <c r="AL133" s="342">
        <f t="shared" ca="1" si="16"/>
        <v>499</v>
      </c>
      <c r="AM133" s="284"/>
      <c r="AN133" s="284" t="s">
        <v>5165</v>
      </c>
      <c r="AO133" s="343">
        <v>8.0549999999999997</v>
      </c>
      <c r="AP133" s="343">
        <v>8.0649999999999995</v>
      </c>
      <c r="AQ133" s="343">
        <v>8.0899999999999981</v>
      </c>
      <c r="AR133" s="343">
        <v>8.0949999999999989</v>
      </c>
      <c r="AV133" s="331" t="s">
        <v>136</v>
      </c>
      <c r="BL133" s="331" t="s">
        <v>4503</v>
      </c>
    </row>
    <row r="134" spans="1:64" s="331" customFormat="1" ht="18" hidden="1" customHeight="1" x14ac:dyDescent="0.35">
      <c r="A134" s="334">
        <v>44488</v>
      </c>
      <c r="B134" s="335">
        <f ca="1">IF(A134="",(IF(ISNUMBER(SUBSTITUTE(LEFT(RIGHT(E134,LEN(E134)-MIN(SEARCH({1,2,3,4,5,6,7,8,9,0},E134&amp;"1234567890"))+1),10),".","/"))=TRUE,AJ134-(SUBSTITUTE(LEFT(RIGHT(E134,LEN(E134)-MIN(SEARCH({1,2,3,4,5,6,7,8,9,0},E134&amp;"1234567890"))+1),10),".","/")),IF((SUBSTITUTE(LEFT(RIGHT(E134,LEN(E134)-MIN(SEARCH({1,2,3,4,5,6,7,8,9,0},E134&amp;"1234567890"))+1),10),".","/"))="","",(AJ134)-(MID(RIGHT((SUBSTITUTE(LEFT(RIGHT(E134,LEN(E134)-MIN(SEARCH({1,2,3,4,5,6,7,8,9,0},E134&amp;"1234567890"))+1),10),".","/")),10),4,2)&amp;"/"&amp;LEFT((RIGHT((SUBSTITUTE(LEFT(RIGHT(E134,LEN(E134)-MIN(SEARCH({1,2,3,4,5,6,7,8,9,0},E134&amp;"1234567890"))+1),10),".","/")),10)),2)&amp;"/"&amp;RIGHT((SUBSTITUTE(LEFT(RIGHT(E134,LEN(E134)-MIN(SEARCH({1,2,3,4,5,6,7,8,9,0},E134&amp;"1234567890"))+1),10),".","/")),4))))),(AJ134-A134))</f>
        <v>475</v>
      </c>
      <c r="C134" s="334"/>
      <c r="D134" s="294" t="str">
        <f>IF(Q134="MULTI","FGM","FGC")&amp;"-"&amp;H134&amp;"/"&amp;I134&amp;"-"&amp;TEXT(K134,"0.00")&amp;"X"&amp;IF(Q134="MULTI",N134,Q134)</f>
        <v>FGC-304/304L/2B-001X755</v>
      </c>
      <c r="E134" s="294" t="s">
        <v>5166</v>
      </c>
      <c r="F134" s="294" t="s">
        <v>5167</v>
      </c>
      <c r="G134" s="294" t="s">
        <v>5168</v>
      </c>
      <c r="H134" s="294" t="s">
        <v>377</v>
      </c>
      <c r="I134" s="337" t="s">
        <v>116</v>
      </c>
      <c r="J134" s="149">
        <v>0.95</v>
      </c>
      <c r="K134" s="149">
        <v>0.5</v>
      </c>
      <c r="L134" s="149">
        <v>0.5</v>
      </c>
      <c r="M134" s="149">
        <v>0.51</v>
      </c>
      <c r="N134" s="335">
        <v>758</v>
      </c>
      <c r="O134" s="296">
        <v>0.36</v>
      </c>
      <c r="P134" s="345">
        <f>O134+0.001</f>
        <v>0.36099999999999999</v>
      </c>
      <c r="Q134" s="138">
        <v>755</v>
      </c>
      <c r="R134" s="138"/>
      <c r="S134" s="339"/>
      <c r="T134" s="299"/>
      <c r="U134" s="282" t="s">
        <v>3497</v>
      </c>
      <c r="V134" s="282"/>
      <c r="W134" s="282" t="s">
        <v>116</v>
      </c>
      <c r="X134" s="340" t="s">
        <v>5169</v>
      </c>
      <c r="Y134" s="340" t="s">
        <v>4488</v>
      </c>
      <c r="Z134" s="340" t="s">
        <v>5170</v>
      </c>
      <c r="AA134" s="340">
        <v>44463</v>
      </c>
      <c r="AB134" s="340"/>
      <c r="AC134" s="341"/>
      <c r="AD134" s="342" t="s">
        <v>64</v>
      </c>
      <c r="AE134" s="342" t="s">
        <v>154</v>
      </c>
      <c r="AF134" s="284" t="s">
        <v>793</v>
      </c>
      <c r="AG134" s="284"/>
      <c r="AH134" s="284">
        <v>44444</v>
      </c>
      <c r="AI134" s="284"/>
      <c r="AJ134" s="334">
        <f t="shared" ca="1" si="14"/>
        <v>44963</v>
      </c>
      <c r="AK134" s="342">
        <f t="shared" ca="1" si="15"/>
        <v>519</v>
      </c>
      <c r="AL134" s="342" t="e">
        <f t="shared" ca="1" si="16"/>
        <v>#VALUE!</v>
      </c>
      <c r="AM134" s="284"/>
      <c r="AN134" s="284" t="s">
        <v>5171</v>
      </c>
      <c r="AO134" s="343">
        <v>10.43</v>
      </c>
      <c r="AP134" s="343">
        <v>10.44</v>
      </c>
      <c r="AQ134" s="343">
        <v>10.464999999999998</v>
      </c>
      <c r="AR134" s="343">
        <v>10.469999999999999</v>
      </c>
      <c r="AV134" s="331" t="s">
        <v>136</v>
      </c>
      <c r="BL134" s="331" t="s">
        <v>4503</v>
      </c>
    </row>
    <row r="135" spans="1:64" s="331" customFormat="1" ht="18" hidden="1" customHeight="1" x14ac:dyDescent="0.35">
      <c r="A135" s="334">
        <v>44488</v>
      </c>
      <c r="B135" s="335"/>
      <c r="C135" s="334"/>
      <c r="D135" s="294" t="str">
        <f>IF(LEFT(U135,7)="MAT RET","R"&amp;"-"&amp;H135&amp;"/"&amp;I135&amp;"-"&amp;TEXT(K135,"0.00")&amp;"X"&amp;IF(Q135="",N135,Q135),IF(N135&lt;570,"FGMKW2","FGCKW2")&amp;"-"&amp;H135&amp;"/"&amp;I135&amp;"-"&amp;TEXT(K135,"0.00")&amp;"X"&amp;IF(Q135="",N135,Q135))</f>
        <v>FGCKW2-304/304L/2B-002X760</v>
      </c>
      <c r="E135" s="294" t="s">
        <v>5172</v>
      </c>
      <c r="F135" s="294" t="s">
        <v>5173</v>
      </c>
      <c r="G135" s="294" t="s">
        <v>5174</v>
      </c>
      <c r="H135" s="294" t="s">
        <v>377</v>
      </c>
      <c r="I135" s="337" t="s">
        <v>116</v>
      </c>
      <c r="J135" s="149">
        <v>3.79</v>
      </c>
      <c r="K135" s="149">
        <v>1.5</v>
      </c>
      <c r="L135" s="149">
        <v>1.52</v>
      </c>
      <c r="M135" s="149">
        <v>1.52</v>
      </c>
      <c r="N135" s="335">
        <v>770</v>
      </c>
      <c r="O135" s="296">
        <v>0.56000000000000005</v>
      </c>
      <c r="P135" s="345">
        <f>O135+0.001</f>
        <v>0.56100000000000005</v>
      </c>
      <c r="Q135" s="138">
        <v>760</v>
      </c>
      <c r="R135" s="138"/>
      <c r="S135" s="339"/>
      <c r="T135" s="299"/>
      <c r="U135" s="282" t="s">
        <v>3497</v>
      </c>
      <c r="V135" s="282"/>
      <c r="W135" s="282" t="s">
        <v>116</v>
      </c>
      <c r="X135" s="340">
        <v>44460</v>
      </c>
      <c r="Y135" s="340">
        <v>44460</v>
      </c>
      <c r="Z135" s="340">
        <v>44464</v>
      </c>
      <c r="AA135" s="340">
        <v>44464</v>
      </c>
      <c r="AB135" s="340"/>
      <c r="AC135" s="341"/>
      <c r="AD135" s="342" t="s">
        <v>64</v>
      </c>
      <c r="AE135" s="342" t="s">
        <v>154</v>
      </c>
      <c r="AF135" s="284" t="s">
        <v>793</v>
      </c>
      <c r="AG135" s="284"/>
      <c r="AH135" s="284">
        <v>44444</v>
      </c>
      <c r="AI135" s="284"/>
      <c r="AJ135" s="334">
        <f t="shared" ca="1" si="14"/>
        <v>44963</v>
      </c>
      <c r="AK135" s="342">
        <f t="shared" ca="1" si="15"/>
        <v>519</v>
      </c>
      <c r="AL135" s="342">
        <f t="shared" ca="1" si="16"/>
        <v>499</v>
      </c>
      <c r="AM135" s="284"/>
      <c r="AN135" s="284" t="s">
        <v>5175</v>
      </c>
      <c r="AO135" s="343">
        <v>12.1</v>
      </c>
      <c r="AP135" s="343">
        <v>12.11</v>
      </c>
      <c r="AQ135" s="343">
        <v>12.134999999999998</v>
      </c>
      <c r="AR135" s="343">
        <v>12.139999999999999</v>
      </c>
      <c r="AV135" s="331" t="s">
        <v>136</v>
      </c>
      <c r="BL135" s="331" t="s">
        <v>3572</v>
      </c>
    </row>
    <row r="136" spans="1:64" s="331" customFormat="1" ht="18" hidden="1" customHeight="1" x14ac:dyDescent="0.35">
      <c r="A136" s="334">
        <v>44488</v>
      </c>
      <c r="B136" s="335">
        <f ca="1">IF(A136="",(IF(ISNUMBER(SUBSTITUTE(LEFT(RIGHT(E136,LEN(E136)-MIN(SEARCH({1,2,3,4,5,6,7,8,9,0},E136&amp;"1234567890"))+1),10),".","/"))=TRUE,AJ136-(SUBSTITUTE(LEFT(RIGHT(E136,LEN(E136)-MIN(SEARCH({1,2,3,4,5,6,7,8,9,0},E136&amp;"1234567890"))+1),10),".","/")),IF((SUBSTITUTE(LEFT(RIGHT(E136,LEN(E136)-MIN(SEARCH({1,2,3,4,5,6,7,8,9,0},E136&amp;"1234567890"))+1),10),".","/"))="","",(AJ136)-(MID(RIGHT((SUBSTITUTE(LEFT(RIGHT(E136,LEN(E136)-MIN(SEARCH({1,2,3,4,5,6,7,8,9,0},E136&amp;"1234567890"))+1),10),".","/")),10),4,2)&amp;"/"&amp;LEFT((RIGHT((SUBSTITUTE(LEFT(RIGHT(E136,LEN(E136)-MIN(SEARCH({1,2,3,4,5,6,7,8,9,0},E136&amp;"1234567890"))+1),10),".","/")),10)),2)&amp;"/"&amp;RIGHT((SUBSTITUTE(LEFT(RIGHT(E136,LEN(E136)-MIN(SEARCH({1,2,3,4,5,6,7,8,9,0},E136&amp;"1234567890"))+1),10),".","/")),4))))),(AJ136-A136))</f>
        <v>475</v>
      </c>
      <c r="C136" s="334"/>
      <c r="D136" s="294" t="str">
        <f>IF(LEFT(U136,7)="MAT RET","R"&amp;"-"&amp;H136&amp;"/"&amp;I136&amp;"-"&amp;TEXT(K136,"0.00")&amp;"X"&amp;IF(Q136="",N136,Q136),IF(N136&lt;570,"FGMKW2","FGCKW2")&amp;"-"&amp;H136&amp;"/"&amp;I136&amp;"-"&amp;TEXT(K136,"0.00")&amp;"X"&amp;IF(Q136="",N136,Q136))</f>
        <v>FGCKW2-304/304L/2B-002X760</v>
      </c>
      <c r="E136" s="294" t="s">
        <v>5176</v>
      </c>
      <c r="F136" s="294" t="s">
        <v>5177</v>
      </c>
      <c r="G136" s="294" t="s">
        <v>5178</v>
      </c>
      <c r="H136" s="294" t="s">
        <v>377</v>
      </c>
      <c r="I136" s="337" t="s">
        <v>116</v>
      </c>
      <c r="J136" s="149">
        <v>3.81</v>
      </c>
      <c r="K136" s="149">
        <v>1.5</v>
      </c>
      <c r="L136" s="149">
        <v>1.47</v>
      </c>
      <c r="M136" s="149">
        <v>1.49</v>
      </c>
      <c r="N136" s="335">
        <v>770</v>
      </c>
      <c r="O136" s="296">
        <v>0.28999999999999998</v>
      </c>
      <c r="P136" s="345">
        <f>O136+0.001</f>
        <v>0.29099999999999998</v>
      </c>
      <c r="Q136" s="138">
        <v>760</v>
      </c>
      <c r="R136" s="138"/>
      <c r="S136" s="339"/>
      <c r="T136" s="299"/>
      <c r="U136" s="282" t="s">
        <v>3497</v>
      </c>
      <c r="V136" s="282"/>
      <c r="W136" s="138" t="s">
        <v>116</v>
      </c>
      <c r="X136" s="340">
        <v>44464</v>
      </c>
      <c r="Y136" s="340">
        <v>44464</v>
      </c>
      <c r="Z136" s="340">
        <v>44471</v>
      </c>
      <c r="AA136" s="340"/>
      <c r="AB136" s="340"/>
      <c r="AC136" s="341"/>
      <c r="AD136" s="342" t="s">
        <v>64</v>
      </c>
      <c r="AE136" s="342" t="s">
        <v>154</v>
      </c>
      <c r="AF136" s="284" t="s">
        <v>793</v>
      </c>
      <c r="AG136" s="284"/>
      <c r="AH136" s="284">
        <v>44444</v>
      </c>
      <c r="AI136" s="284"/>
      <c r="AJ136" s="334">
        <f t="shared" ca="1" si="14"/>
        <v>44963</v>
      </c>
      <c r="AK136" s="342">
        <f t="shared" ca="1" si="15"/>
        <v>519</v>
      </c>
      <c r="AL136" s="342">
        <f t="shared" ca="1" si="16"/>
        <v>492</v>
      </c>
      <c r="AM136" s="284"/>
      <c r="AN136" s="284" t="s">
        <v>5179</v>
      </c>
      <c r="AO136" s="343">
        <v>11.75</v>
      </c>
      <c r="AP136" s="343">
        <v>11.76</v>
      </c>
      <c r="AQ136" s="343">
        <v>11.784999999999998</v>
      </c>
      <c r="AR136" s="343">
        <v>11.79</v>
      </c>
      <c r="AV136" s="331" t="s">
        <v>136</v>
      </c>
      <c r="BL136" s="331" t="s">
        <v>4503</v>
      </c>
    </row>
    <row r="137" spans="1:64" s="331" customFormat="1" ht="18" hidden="1" customHeight="1" x14ac:dyDescent="0.35">
      <c r="A137" s="334"/>
      <c r="B137" s="335">
        <f ca="1">IF(A137="",(IF(ISNUMBER(SUBSTITUTE(LEFT(RIGHT(E137,LEN(E137)-MIN(SEARCH({1,2,3,4,5,6,7,8,9,0},E137&amp;"1234567890"))+1),10),".","/"))=TRUE,AJ137-(SUBSTITUTE(LEFT(RIGHT(E137,LEN(E137)-MIN(SEARCH({1,2,3,4,5,6,7,8,9,0},E137&amp;"1234567890"))+1),10),".","/")),IF((SUBSTITUTE(LEFT(RIGHT(E137,LEN(E137)-MIN(SEARCH({1,2,3,4,5,6,7,8,9,0},E137&amp;"1234567890"))+1),10),".","/"))="","",(AJ137)-(MID(RIGHT((SUBSTITUTE(LEFT(RIGHT(E137,LEN(E137)-MIN(SEARCH({1,2,3,4,5,6,7,8,9,0},E137&amp;"1234567890"))+1),10),".","/")),10),4,2)&amp;"/"&amp;LEFT((RIGHT((SUBSTITUTE(LEFT(RIGHT(E137,LEN(E137)-MIN(SEARCH({1,2,3,4,5,6,7,8,9,0},E137&amp;"1234567890"))+1),10),".","/")),10)),2)&amp;"/"&amp;RIGHT((SUBSTITUTE(LEFT(RIGHT(E137,LEN(E137)-MIN(SEARCH({1,2,3,4,5,6,7,8,9,0},E137&amp;"1234567890"))+1),10),".","/")),4))))),(AJ137-A137))</f>
        <v>698</v>
      </c>
      <c r="C137" s="334"/>
      <c r="D137" s="294" t="str">
        <f>IF(LEFT(U137,7)="MAT RET","R"&amp;"-"&amp;H137&amp;"/"&amp;I137&amp;"-"&amp;TEXT(K137,"0.00")&amp;"X"&amp;IF(Q137="",N137,Q137),IF(N137&lt;570,"FGMKW2","FGCKW2")&amp;"-"&amp;H137&amp;"/"&amp;I137&amp;"-"&amp;TEXT(K137,"0.00")&amp;"X"&amp;IF(Q137="",N137,Q137))</f>
        <v>FGCKW2-304/2B-001X760</v>
      </c>
      <c r="E137" s="294" t="s">
        <v>5176</v>
      </c>
      <c r="F137" s="294" t="s">
        <v>5180</v>
      </c>
      <c r="G137" s="294" t="s">
        <v>5181</v>
      </c>
      <c r="H137" s="294">
        <v>304</v>
      </c>
      <c r="I137" s="337" t="s">
        <v>116</v>
      </c>
      <c r="J137" s="149">
        <v>3.79</v>
      </c>
      <c r="K137" s="149">
        <v>1.2</v>
      </c>
      <c r="L137" s="149">
        <v>1.2</v>
      </c>
      <c r="M137" s="149">
        <v>1.22</v>
      </c>
      <c r="N137" s="335">
        <v>770</v>
      </c>
      <c r="O137" s="296">
        <v>0.28499999999999998</v>
      </c>
      <c r="P137" s="345"/>
      <c r="Q137" s="138">
        <v>760</v>
      </c>
      <c r="R137" s="138"/>
      <c r="S137" s="339"/>
      <c r="T137" s="299"/>
      <c r="U137" s="282" t="s">
        <v>3497</v>
      </c>
      <c r="V137" s="282"/>
      <c r="W137" s="138" t="s">
        <v>116</v>
      </c>
      <c r="X137" s="340">
        <v>44464</v>
      </c>
      <c r="Y137" s="340">
        <v>44465</v>
      </c>
      <c r="Z137" s="340">
        <v>44471</v>
      </c>
      <c r="AA137" s="340"/>
      <c r="AB137" s="340"/>
      <c r="AC137" s="341"/>
      <c r="AD137" s="342" t="s">
        <v>64</v>
      </c>
      <c r="AE137" s="342" t="s">
        <v>154</v>
      </c>
      <c r="AF137" s="284" t="s">
        <v>793</v>
      </c>
      <c r="AG137" s="284"/>
      <c r="AH137" s="284">
        <v>44444</v>
      </c>
      <c r="AI137" s="284"/>
      <c r="AJ137" s="334">
        <f t="shared" ca="1" si="14"/>
        <v>44963</v>
      </c>
      <c r="AK137" s="342">
        <f t="shared" ca="1" si="15"/>
        <v>519</v>
      </c>
      <c r="AL137" s="342">
        <f t="shared" ca="1" si="16"/>
        <v>492</v>
      </c>
      <c r="AM137" s="284"/>
      <c r="AN137" s="284" t="s">
        <v>5182</v>
      </c>
      <c r="AO137" s="343">
        <v>10.305</v>
      </c>
      <c r="AP137" s="343">
        <v>10.315</v>
      </c>
      <c r="AQ137" s="343">
        <v>10.339999999999998</v>
      </c>
      <c r="AR137" s="343">
        <v>10.344999999999999</v>
      </c>
      <c r="AV137" s="331" t="s">
        <v>136</v>
      </c>
      <c r="BL137" s="331" t="s">
        <v>4503</v>
      </c>
    </row>
    <row r="138" spans="1:64" s="331" customFormat="1" ht="18" hidden="1" customHeight="1" x14ac:dyDescent="0.35">
      <c r="A138" s="334">
        <v>44492</v>
      </c>
      <c r="B138" s="335">
        <f ca="1">IF(A138="",(IF(ISNUMBER(SUBSTITUTE(LEFT(RIGHT(E138,LEN(E138)-MIN(SEARCH({1,2,3,4,5,6,7,8,9,0},E138&amp;"1234567890"))+1),10),".","/"))=TRUE,AJ138-(SUBSTITUTE(LEFT(RIGHT(E138,LEN(E138)-MIN(SEARCH({1,2,3,4,5,6,7,8,9,0},E138&amp;"1234567890"))+1),10),".","/")),IF((SUBSTITUTE(LEFT(RIGHT(E138,LEN(E138)-MIN(SEARCH({1,2,3,4,5,6,7,8,9,0},E138&amp;"1234567890"))+1),10),".","/"))="","",(AJ138)-(MID(RIGHT((SUBSTITUTE(LEFT(RIGHT(E138,LEN(E138)-MIN(SEARCH({1,2,3,4,5,6,7,8,9,0},E138&amp;"1234567890"))+1),10),".","/")),10),4,2)&amp;"/"&amp;LEFT((RIGHT((SUBSTITUTE(LEFT(RIGHT(E138,LEN(E138)-MIN(SEARCH({1,2,3,4,5,6,7,8,9,0},E138&amp;"1234567890"))+1),10),".","/")),10)),2)&amp;"/"&amp;RIGHT((SUBSTITUTE(LEFT(RIGHT(E138,LEN(E138)-MIN(SEARCH({1,2,3,4,5,6,7,8,9,0},E138&amp;"1234567890"))+1),10),".","/")),4))))),(AJ138-A138))</f>
        <v>471</v>
      </c>
      <c r="C138" s="334"/>
      <c r="D138" s="294" t="str">
        <f>IF(LEFT(U138,7)="MAT RET","R"&amp;"-"&amp;H138&amp;"/"&amp;I138&amp;"-"&amp;TEXT(K138,"0.00")&amp;"X"&amp;IF(Q138="",N138,Q138),IF(N138&lt;570,"FGMKW2","FGCKW2")&amp;"-"&amp;H138&amp;"/"&amp;I138&amp;"-"&amp;TEXT(K138,"0.00")&amp;"X"&amp;IF(Q138="",N138,Q138))</f>
        <v>FGCKW2-304/304L/2B-002X760</v>
      </c>
      <c r="E138" s="294" t="s">
        <v>5176</v>
      </c>
      <c r="F138" s="294" t="s">
        <v>5183</v>
      </c>
      <c r="G138" s="294" t="s">
        <v>5184</v>
      </c>
      <c r="H138" s="294" t="s">
        <v>377</v>
      </c>
      <c r="I138" s="337" t="s">
        <v>116</v>
      </c>
      <c r="J138" s="149">
        <v>3.8</v>
      </c>
      <c r="K138" s="149">
        <v>1.5</v>
      </c>
      <c r="L138" s="149">
        <v>1.49</v>
      </c>
      <c r="M138" s="149">
        <v>1.52</v>
      </c>
      <c r="N138" s="335">
        <v>770</v>
      </c>
      <c r="O138" s="296">
        <v>0.22500000000000001</v>
      </c>
      <c r="P138" s="345">
        <v>0.22600000000000001</v>
      </c>
      <c r="Q138" s="138">
        <v>760</v>
      </c>
      <c r="R138" s="138"/>
      <c r="S138" s="339"/>
      <c r="T138" s="299"/>
      <c r="U138" s="282" t="s">
        <v>3497</v>
      </c>
      <c r="V138" s="282"/>
      <c r="W138" s="138" t="s">
        <v>116</v>
      </c>
      <c r="X138" s="340">
        <v>44465</v>
      </c>
      <c r="Y138" s="340">
        <v>44466</v>
      </c>
      <c r="Z138" s="340">
        <v>44471</v>
      </c>
      <c r="AA138" s="340"/>
      <c r="AB138" s="340"/>
      <c r="AC138" s="341"/>
      <c r="AD138" s="342" t="s">
        <v>64</v>
      </c>
      <c r="AE138" s="342" t="s">
        <v>154</v>
      </c>
      <c r="AF138" s="284" t="s">
        <v>793</v>
      </c>
      <c r="AG138" s="284"/>
      <c r="AH138" s="284">
        <v>44444</v>
      </c>
      <c r="AI138" s="284"/>
      <c r="AJ138" s="334">
        <f t="shared" ca="1" si="14"/>
        <v>44963</v>
      </c>
      <c r="AK138" s="342">
        <f t="shared" ca="1" si="15"/>
        <v>519</v>
      </c>
      <c r="AL138" s="342">
        <f t="shared" ca="1" si="16"/>
        <v>492</v>
      </c>
      <c r="AM138" s="284"/>
      <c r="AN138" s="284" t="s">
        <v>5185</v>
      </c>
      <c r="AO138" s="343">
        <v>10.33</v>
      </c>
      <c r="AP138" s="343">
        <v>10.34</v>
      </c>
      <c r="AQ138" s="343">
        <v>10.364999999999998</v>
      </c>
      <c r="AR138" s="343">
        <v>10.37</v>
      </c>
      <c r="AV138" s="331" t="s">
        <v>136</v>
      </c>
      <c r="BL138" s="331" t="s">
        <v>4503</v>
      </c>
    </row>
    <row r="139" spans="1:64" s="331" customFormat="1" ht="18" hidden="1" customHeight="1" x14ac:dyDescent="0.35">
      <c r="A139" s="334">
        <v>44488</v>
      </c>
      <c r="B139" s="335">
        <f ca="1">IF(A139="",(IF(ISNUMBER(SUBSTITUTE(LEFT(RIGHT(E139,LEN(E139)-MIN(SEARCH({1,2,3,4,5,6,7,8,9,0},E139&amp;"1234567890"))+1),10),".","/"))=TRUE,AJ139-(SUBSTITUTE(LEFT(RIGHT(E139,LEN(E139)-MIN(SEARCH({1,2,3,4,5,6,7,8,9,0},E139&amp;"1234567890"))+1),10),".","/")),IF((SUBSTITUTE(LEFT(RIGHT(E139,LEN(E139)-MIN(SEARCH({1,2,3,4,5,6,7,8,9,0},E139&amp;"1234567890"))+1),10),".","/"))="","",(AJ139)-(MID(RIGHT((SUBSTITUTE(LEFT(RIGHT(E139,LEN(E139)-MIN(SEARCH({1,2,3,4,5,6,7,8,9,0},E139&amp;"1234567890"))+1),10),".","/")),10),4,2)&amp;"/"&amp;LEFT((RIGHT((SUBSTITUTE(LEFT(RIGHT(E139,LEN(E139)-MIN(SEARCH({1,2,3,4,5,6,7,8,9,0},E139&amp;"1234567890"))+1),10),".","/")),10)),2)&amp;"/"&amp;RIGHT((SUBSTITUTE(LEFT(RIGHT(E139,LEN(E139)-MIN(SEARCH({1,2,3,4,5,6,7,8,9,0},E139&amp;"1234567890"))+1),10),".","/")),4))))),(AJ139-A139))</f>
        <v>475</v>
      </c>
      <c r="C139" s="334"/>
      <c r="D139" s="294" t="str">
        <f>IF(Q139="MULTI","FGM","FGC")&amp;"-"&amp;H139&amp;"/"&amp;I139&amp;"-"&amp;TEXT(K139,"0.00")&amp;"X"&amp;IF(Q139="MULTI",N139,Q139)</f>
        <v>FGC-304/304L/2B-000X755</v>
      </c>
      <c r="E139" s="294" t="s">
        <v>5186</v>
      </c>
      <c r="F139" s="294" t="s">
        <v>5187</v>
      </c>
      <c r="G139" s="294" t="s">
        <v>5188</v>
      </c>
      <c r="H139" s="294" t="s">
        <v>377</v>
      </c>
      <c r="I139" s="337" t="s">
        <v>116</v>
      </c>
      <c r="J139" s="149">
        <v>0.57999999999999996</v>
      </c>
      <c r="K139" s="149">
        <v>0.3</v>
      </c>
      <c r="L139" s="149">
        <v>0.3</v>
      </c>
      <c r="M139" s="149">
        <v>0.31</v>
      </c>
      <c r="N139" s="335">
        <v>766</v>
      </c>
      <c r="O139" s="296">
        <v>0.3</v>
      </c>
      <c r="P139" s="345">
        <f>O139+0.001</f>
        <v>0.30099999999999999</v>
      </c>
      <c r="Q139" s="138">
        <v>755</v>
      </c>
      <c r="R139" s="138"/>
      <c r="S139" s="339"/>
      <c r="T139" s="299"/>
      <c r="U139" s="282" t="s">
        <v>3497</v>
      </c>
      <c r="V139" s="282"/>
      <c r="W139" s="282" t="s">
        <v>116</v>
      </c>
      <c r="X139" s="340" t="s">
        <v>5189</v>
      </c>
      <c r="Y139" s="340" t="s">
        <v>5190</v>
      </c>
      <c r="Z139" s="340" t="s">
        <v>5191</v>
      </c>
      <c r="AA139" s="340">
        <v>44472</v>
      </c>
      <c r="AB139" s="340"/>
      <c r="AC139" s="341"/>
      <c r="AD139" s="342" t="s">
        <v>64</v>
      </c>
      <c r="AE139" s="342" t="s">
        <v>154</v>
      </c>
      <c r="AF139" s="284" t="s">
        <v>793</v>
      </c>
      <c r="AG139" s="284"/>
      <c r="AH139" s="284">
        <v>44444</v>
      </c>
      <c r="AI139" s="284"/>
      <c r="AJ139" s="334">
        <f ca="1">TODAY()</f>
        <v>44963</v>
      </c>
      <c r="AK139" s="342">
        <f t="shared" ca="1" si="15"/>
        <v>519</v>
      </c>
      <c r="AL139" s="342">
        <f t="shared" ca="1" si="16"/>
        <v>667</v>
      </c>
      <c r="AM139" s="284"/>
      <c r="AN139" s="284" t="s">
        <v>5192</v>
      </c>
      <c r="AO139" s="343">
        <v>10.585000000000001</v>
      </c>
      <c r="AP139" s="343">
        <v>10.595000000000001</v>
      </c>
      <c r="AQ139" s="343">
        <v>10.62</v>
      </c>
      <c r="AR139" s="343">
        <v>10.625</v>
      </c>
      <c r="AV139" s="331" t="s">
        <v>136</v>
      </c>
      <c r="BL139" s="331" t="s">
        <v>4503</v>
      </c>
    </row>
    <row r="140" spans="1:64" s="331" customFormat="1" ht="18" hidden="1" customHeight="1" x14ac:dyDescent="0.35">
      <c r="A140" s="334">
        <v>44488</v>
      </c>
      <c r="B140" s="335">
        <f ca="1">IF(A140="",(IF(ISNUMBER(SUBSTITUTE(LEFT(RIGHT(E140,LEN(E140)-MIN(SEARCH({1,2,3,4,5,6,7,8,9,0},E140&amp;"1234567890"))+1),10),".","/"))=TRUE,AJ140-(SUBSTITUTE(LEFT(RIGHT(E140,LEN(E140)-MIN(SEARCH({1,2,3,4,5,6,7,8,9,0},E140&amp;"1234567890"))+1),10),".","/")),IF((SUBSTITUTE(LEFT(RIGHT(E140,LEN(E140)-MIN(SEARCH({1,2,3,4,5,6,7,8,9,0},E140&amp;"1234567890"))+1),10),".","/"))="","",(AJ140)-(MID(RIGHT((SUBSTITUTE(LEFT(RIGHT(E140,LEN(E140)-MIN(SEARCH({1,2,3,4,5,6,7,8,9,0},E140&amp;"1234567890"))+1),10),".","/")),10),4,2)&amp;"/"&amp;LEFT((RIGHT((SUBSTITUTE(LEFT(RIGHT(E140,LEN(E140)-MIN(SEARCH({1,2,3,4,5,6,7,8,9,0},E140&amp;"1234567890"))+1),10),".","/")),10)),2)&amp;"/"&amp;RIGHT((SUBSTITUTE(LEFT(RIGHT(E140,LEN(E140)-MIN(SEARCH({1,2,3,4,5,6,7,8,9,0},E140&amp;"1234567890"))+1),10),".","/")),4))))),(AJ140-A140))</f>
        <v>475</v>
      </c>
      <c r="C140" s="334"/>
      <c r="D140" s="294" t="str">
        <f t="shared" ref="D140:D155" si="17">IF(LEFT(U140,7)="MAT RET","R"&amp;"-"&amp;H140&amp;"/"&amp;I140&amp;"-"&amp;TEXT(K140,"0.00")&amp;"X"&amp;IF(Q140="",N140,Q140),IF(N140&lt;570,"FGMKW2","FGCKW2")&amp;"-"&amp;H140&amp;"/"&amp;I140&amp;"-"&amp;TEXT(K140,"0.00")&amp;"X"&amp;IF(Q140="",N140,Q140))</f>
        <v>FGCKW2-304/304L/2B-001X760</v>
      </c>
      <c r="E140" s="294" t="s">
        <v>5193</v>
      </c>
      <c r="F140" s="294" t="s">
        <v>5194</v>
      </c>
      <c r="G140" s="294" t="s">
        <v>5195</v>
      </c>
      <c r="H140" s="294" t="s">
        <v>377</v>
      </c>
      <c r="I140" s="337" t="s">
        <v>116</v>
      </c>
      <c r="J140" s="149">
        <v>3.47</v>
      </c>
      <c r="K140" s="149">
        <v>1.2</v>
      </c>
      <c r="L140" s="149">
        <v>1.21</v>
      </c>
      <c r="M140" s="149">
        <v>1.22</v>
      </c>
      <c r="N140" s="335">
        <v>770</v>
      </c>
      <c r="O140" s="296">
        <v>0.28999999999999998</v>
      </c>
      <c r="P140" s="345">
        <f>O140+0.001</f>
        <v>0.29099999999999998</v>
      </c>
      <c r="Q140" s="138">
        <v>760</v>
      </c>
      <c r="R140" s="138"/>
      <c r="S140" s="339"/>
      <c r="T140" s="299"/>
      <c r="U140" s="282" t="s">
        <v>3497</v>
      </c>
      <c r="V140" s="282"/>
      <c r="W140" s="282" t="s">
        <v>116</v>
      </c>
      <c r="X140" s="340">
        <v>44469</v>
      </c>
      <c r="Y140" s="340">
        <v>44469</v>
      </c>
      <c r="Z140" s="340">
        <v>44474</v>
      </c>
      <c r="AA140" s="340">
        <v>44474</v>
      </c>
      <c r="AB140" s="340"/>
      <c r="AC140" s="341"/>
      <c r="AD140" s="342" t="s">
        <v>64</v>
      </c>
      <c r="AE140" s="342" t="s">
        <v>154</v>
      </c>
      <c r="AF140" s="284" t="s">
        <v>793</v>
      </c>
      <c r="AG140" s="284"/>
      <c r="AH140" s="284">
        <v>44444</v>
      </c>
      <c r="AI140" s="284"/>
      <c r="AJ140" s="334">
        <f ca="1">TODAY()</f>
        <v>44963</v>
      </c>
      <c r="AK140" s="342">
        <f t="shared" ca="1" si="15"/>
        <v>519</v>
      </c>
      <c r="AL140" s="342">
        <f t="shared" ca="1" si="16"/>
        <v>489</v>
      </c>
      <c r="AM140" s="284"/>
      <c r="AN140" s="284" t="s">
        <v>5196</v>
      </c>
      <c r="AO140" s="343">
        <v>8.3049999999999997</v>
      </c>
      <c r="AP140" s="343">
        <v>8.3149999999999995</v>
      </c>
      <c r="AQ140" s="343">
        <v>8.3399999999999981</v>
      </c>
      <c r="AR140" s="343">
        <v>8.3449999999999989</v>
      </c>
      <c r="AV140" s="331" t="s">
        <v>136</v>
      </c>
      <c r="BL140" s="331" t="s">
        <v>4503</v>
      </c>
    </row>
    <row r="141" spans="1:64" s="331" customFormat="1" ht="18" hidden="1" customHeight="1" x14ac:dyDescent="0.35">
      <c r="A141" s="334">
        <v>44488</v>
      </c>
      <c r="B141" s="335">
        <f ca="1">IF(A141="",(IF(ISNUMBER(SUBSTITUTE(LEFT(RIGHT(E141,LEN(E141)-MIN(SEARCH({1,2,3,4,5,6,7,8,9,0},E141&amp;"1234567890"))+1),10),".","/"))=TRUE,AJ141-(SUBSTITUTE(LEFT(RIGHT(E141,LEN(E141)-MIN(SEARCH({1,2,3,4,5,6,7,8,9,0},E141&amp;"1234567890"))+1),10),".","/")),IF((SUBSTITUTE(LEFT(RIGHT(E141,LEN(E141)-MIN(SEARCH({1,2,3,4,5,6,7,8,9,0},E141&amp;"1234567890"))+1),10),".","/"))="","",(AJ141)-(MID(RIGHT((SUBSTITUTE(LEFT(RIGHT(E141,LEN(E141)-MIN(SEARCH({1,2,3,4,5,6,7,8,9,0},E141&amp;"1234567890"))+1),10),".","/")),10),4,2)&amp;"/"&amp;LEFT((RIGHT((SUBSTITUTE(LEFT(RIGHT(E141,LEN(E141)-MIN(SEARCH({1,2,3,4,5,6,7,8,9,0},E141&amp;"1234567890"))+1),10),".","/")),10)),2)&amp;"/"&amp;RIGHT((SUBSTITUTE(LEFT(RIGHT(E141,LEN(E141)-MIN(SEARCH({1,2,3,4,5,6,7,8,9,0},E141&amp;"1234567890"))+1),10),".","/")),4))))),(AJ141-A141))</f>
        <v>475</v>
      </c>
      <c r="C141" s="334"/>
      <c r="D141" s="294" t="str">
        <f t="shared" si="17"/>
        <v>FGCKW2-304/304L/2B-002X770</v>
      </c>
      <c r="E141" s="294" t="s">
        <v>5197</v>
      </c>
      <c r="F141" s="294" t="s">
        <v>5198</v>
      </c>
      <c r="G141" s="294" t="s">
        <v>5199</v>
      </c>
      <c r="H141" s="294" t="s">
        <v>377</v>
      </c>
      <c r="I141" s="337" t="s">
        <v>116</v>
      </c>
      <c r="J141" s="149">
        <v>3.91</v>
      </c>
      <c r="K141" s="149">
        <v>1.9</v>
      </c>
      <c r="L141" s="149">
        <v>1.88</v>
      </c>
      <c r="M141" s="149">
        <v>1.9</v>
      </c>
      <c r="N141" s="335">
        <v>770</v>
      </c>
      <c r="O141" s="296">
        <v>0.21</v>
      </c>
      <c r="P141" s="345">
        <f>O141+0.001</f>
        <v>0.21099999999999999</v>
      </c>
      <c r="Q141" s="138">
        <v>770</v>
      </c>
      <c r="R141" s="138"/>
      <c r="S141" s="339"/>
      <c r="T141" s="299"/>
      <c r="U141" s="282" t="s">
        <v>3497</v>
      </c>
      <c r="V141" s="282"/>
      <c r="W141" s="282" t="s">
        <v>116</v>
      </c>
      <c r="X141" s="340">
        <v>44467</v>
      </c>
      <c r="Y141" s="340">
        <v>44467</v>
      </c>
      <c r="Z141" s="340">
        <v>44469</v>
      </c>
      <c r="AA141" s="340"/>
      <c r="AB141" s="340"/>
      <c r="AC141" s="341"/>
      <c r="AD141" s="342" t="s">
        <v>64</v>
      </c>
      <c r="AE141" s="342" t="s">
        <v>154</v>
      </c>
      <c r="AF141" s="284" t="s">
        <v>793</v>
      </c>
      <c r="AG141" s="284"/>
      <c r="AH141" s="284">
        <v>44444</v>
      </c>
      <c r="AI141" s="284"/>
      <c r="AJ141" s="334">
        <f ca="1">TODAY()</f>
        <v>44963</v>
      </c>
      <c r="AK141" s="342">
        <f t="shared" ca="1" si="15"/>
        <v>519</v>
      </c>
      <c r="AL141" s="342">
        <f t="shared" ca="1" si="16"/>
        <v>494</v>
      </c>
      <c r="AM141" s="284"/>
      <c r="AN141" s="284" t="s">
        <v>5200</v>
      </c>
      <c r="AO141" s="343">
        <v>10.15</v>
      </c>
      <c r="AP141" s="343">
        <v>10.16</v>
      </c>
      <c r="AQ141" s="343">
        <v>10.184999999999999</v>
      </c>
      <c r="AR141" s="343">
        <v>10.19</v>
      </c>
      <c r="AV141" s="331" t="s">
        <v>136</v>
      </c>
      <c r="BL141" s="331" t="s">
        <v>3572</v>
      </c>
    </row>
    <row r="142" spans="1:64" s="331" customFormat="1" ht="18" hidden="1" customHeight="1" x14ac:dyDescent="0.35">
      <c r="A142" s="334">
        <v>44488</v>
      </c>
      <c r="B142" s="335">
        <f ca="1">IF(A142="",(IF(ISNUMBER(SUBSTITUTE(LEFT(RIGHT(E142,LEN(E142)-MIN(SEARCH({1,2,3,4,5,6,7,8,9,0},E142&amp;"1234567890"))+1),10),".","/"))=TRUE,AJ142-(SUBSTITUTE(LEFT(RIGHT(E142,LEN(E142)-MIN(SEARCH({1,2,3,4,5,6,7,8,9,0},E142&amp;"1234567890"))+1),10),".","/")),IF((SUBSTITUTE(LEFT(RIGHT(E142,LEN(E142)-MIN(SEARCH({1,2,3,4,5,6,7,8,9,0},E142&amp;"1234567890"))+1),10),".","/"))="","",(AJ142)-(MID(RIGHT((SUBSTITUTE(LEFT(RIGHT(E142,LEN(E142)-MIN(SEARCH({1,2,3,4,5,6,7,8,9,0},E142&amp;"1234567890"))+1),10),".","/")),10),4,2)&amp;"/"&amp;LEFT((RIGHT((SUBSTITUTE(LEFT(RIGHT(E142,LEN(E142)-MIN(SEARCH({1,2,3,4,5,6,7,8,9,0},E142&amp;"1234567890"))+1),10),".","/")),10)),2)&amp;"/"&amp;RIGHT((SUBSTITUTE(LEFT(RIGHT(E142,LEN(E142)-MIN(SEARCH({1,2,3,4,5,6,7,8,9,0},E142&amp;"1234567890"))+1),10),".","/")),4))))),(AJ142-A142))</f>
        <v>475</v>
      </c>
      <c r="C142" s="334"/>
      <c r="D142" s="294" t="str">
        <f t="shared" si="17"/>
        <v>FGCKW2-304L/2B-001X760</v>
      </c>
      <c r="E142" s="294" t="s">
        <v>5201</v>
      </c>
      <c r="F142" s="294" t="s">
        <v>5202</v>
      </c>
      <c r="G142" s="294" t="s">
        <v>5203</v>
      </c>
      <c r="H142" s="294" t="s">
        <v>230</v>
      </c>
      <c r="I142" s="337" t="s">
        <v>116</v>
      </c>
      <c r="J142" s="149">
        <v>3.8</v>
      </c>
      <c r="K142" s="149">
        <v>1.1499999999999999</v>
      </c>
      <c r="L142" s="149"/>
      <c r="M142" s="149"/>
      <c r="N142" s="335">
        <v>770</v>
      </c>
      <c r="O142" s="296">
        <v>0.36</v>
      </c>
      <c r="P142" s="345">
        <f>O142+0.001</f>
        <v>0.36099999999999999</v>
      </c>
      <c r="Q142" s="138">
        <v>760</v>
      </c>
      <c r="R142" s="138"/>
      <c r="S142" s="339"/>
      <c r="T142" s="299"/>
      <c r="U142" s="282" t="s">
        <v>3497</v>
      </c>
      <c r="V142" s="282" t="s">
        <v>5204</v>
      </c>
      <c r="W142" s="282" t="s">
        <v>116</v>
      </c>
      <c r="X142" s="340">
        <v>44471</v>
      </c>
      <c r="Y142" s="340">
        <v>44471</v>
      </c>
      <c r="Z142" s="340">
        <v>44476</v>
      </c>
      <c r="AA142" s="340"/>
      <c r="AB142" s="340"/>
      <c r="AC142" s="341"/>
      <c r="AD142" s="342" t="s">
        <v>64</v>
      </c>
      <c r="AE142" s="342" t="s">
        <v>154</v>
      </c>
      <c r="AF142" s="284" t="s">
        <v>1183</v>
      </c>
      <c r="AG142" s="284"/>
      <c r="AH142" s="284">
        <v>44466</v>
      </c>
      <c r="AI142" s="284"/>
      <c r="AJ142" s="334">
        <f ca="1">TODAY()</f>
        <v>44963</v>
      </c>
      <c r="AK142" s="342">
        <f t="shared" ca="1" si="15"/>
        <v>497</v>
      </c>
      <c r="AL142" s="342">
        <f t="shared" ca="1" si="16"/>
        <v>487</v>
      </c>
      <c r="AM142" s="284"/>
      <c r="AN142" s="284" t="s">
        <v>5205</v>
      </c>
      <c r="AO142" s="343">
        <v>11.85</v>
      </c>
      <c r="AP142" s="343">
        <v>11.86</v>
      </c>
      <c r="AQ142" s="343">
        <v>11.884999999999998</v>
      </c>
      <c r="AR142" s="343">
        <v>11.889999999999999</v>
      </c>
      <c r="AV142" s="331" t="s">
        <v>136</v>
      </c>
      <c r="BA142" s="331">
        <v>420</v>
      </c>
      <c r="BL142" s="331" t="s">
        <v>4503</v>
      </c>
    </row>
    <row r="143" spans="1:64" s="331" customFormat="1" ht="18" hidden="1" customHeight="1" x14ac:dyDescent="0.35">
      <c r="A143" s="334">
        <v>44488</v>
      </c>
      <c r="B143" s="335">
        <f ca="1">IF(A143="",(IF(ISNUMBER(SUBSTITUTE(LEFT(RIGHT(E143,LEN(E143)-MIN(SEARCH({1,2,3,4,5,6,7,8,9,0},E143&amp;"1234567890"))+1),10),".","/"))=TRUE,AJ143-(SUBSTITUTE(LEFT(RIGHT(E143,LEN(E143)-MIN(SEARCH({1,2,3,4,5,6,7,8,9,0},E143&amp;"1234567890"))+1),10),".","/")),IF((SUBSTITUTE(LEFT(RIGHT(E143,LEN(E143)-MIN(SEARCH({1,2,3,4,5,6,7,8,9,0},E143&amp;"1234567890"))+1),10),".","/"))="","",(AJ143)-(MID(RIGHT((SUBSTITUTE(LEFT(RIGHT(E143,LEN(E143)-MIN(SEARCH({1,2,3,4,5,6,7,8,9,0},E143&amp;"1234567890"))+1),10),".","/")),10),4,2)&amp;"/"&amp;LEFT((RIGHT((SUBSTITUTE(LEFT(RIGHT(E143,LEN(E143)-MIN(SEARCH({1,2,3,4,5,6,7,8,9,0},E143&amp;"1234567890"))+1),10),".","/")),10)),2)&amp;"/"&amp;RIGHT((SUBSTITUTE(LEFT(RIGHT(E143,LEN(E143)-MIN(SEARCH({1,2,3,4,5,6,7,8,9,0},E143&amp;"1234567890"))+1),10),".","/")),4))))),(AJ143-A143))</f>
        <v>475</v>
      </c>
      <c r="C143" s="334"/>
      <c r="D143" s="294" t="str">
        <f t="shared" si="17"/>
        <v>FGCKW2-304/2B-002X760</v>
      </c>
      <c r="E143" s="294" t="s">
        <v>5206</v>
      </c>
      <c r="F143" s="294" t="s">
        <v>5207</v>
      </c>
      <c r="G143" s="294" t="s">
        <v>5208</v>
      </c>
      <c r="H143" s="294">
        <v>304</v>
      </c>
      <c r="I143" s="337" t="s">
        <v>116</v>
      </c>
      <c r="J143" s="149">
        <v>3.96</v>
      </c>
      <c r="K143" s="149">
        <v>2</v>
      </c>
      <c r="L143" s="149">
        <v>1.99</v>
      </c>
      <c r="M143" s="149">
        <v>2.0099999999999998</v>
      </c>
      <c r="N143" s="335">
        <v>770</v>
      </c>
      <c r="O143" s="296">
        <v>0.255</v>
      </c>
      <c r="P143" s="345">
        <f>O143+0.001</f>
        <v>0.25600000000000001</v>
      </c>
      <c r="Q143" s="138">
        <v>760</v>
      </c>
      <c r="R143" s="138"/>
      <c r="S143" s="339"/>
      <c r="T143" s="299"/>
      <c r="U143" s="282" t="s">
        <v>3497</v>
      </c>
      <c r="V143" s="282"/>
      <c r="W143" s="282" t="s">
        <v>116</v>
      </c>
      <c r="X143" s="340">
        <v>44475</v>
      </c>
      <c r="Y143" s="340">
        <v>44475</v>
      </c>
      <c r="Z143" s="340">
        <v>44479</v>
      </c>
      <c r="AA143" s="340"/>
      <c r="AB143" s="340"/>
      <c r="AC143" s="341"/>
      <c r="AD143" s="342" t="s">
        <v>64</v>
      </c>
      <c r="AE143" s="342" t="s">
        <v>154</v>
      </c>
      <c r="AF143" s="284" t="s">
        <v>1183</v>
      </c>
      <c r="AG143" s="284"/>
      <c r="AH143" s="284">
        <v>44466</v>
      </c>
      <c r="AI143" s="284"/>
      <c r="AJ143" s="334">
        <f ca="1">TODAY()</f>
        <v>44963</v>
      </c>
      <c r="AK143" s="342">
        <f t="shared" ca="1" si="15"/>
        <v>497</v>
      </c>
      <c r="AL143" s="342">
        <f t="shared" ca="1" si="16"/>
        <v>484</v>
      </c>
      <c r="AM143" s="284"/>
      <c r="AN143" s="284" t="s">
        <v>5209</v>
      </c>
      <c r="AO143" s="343">
        <v>10.47</v>
      </c>
      <c r="AP143" s="343">
        <v>10.48</v>
      </c>
      <c r="AQ143" s="343">
        <v>10.504999999999999</v>
      </c>
      <c r="AR143" s="343">
        <v>10.51</v>
      </c>
      <c r="AV143" s="331" t="s">
        <v>136</v>
      </c>
      <c r="BL143" s="331" t="s">
        <v>4503</v>
      </c>
    </row>
    <row r="144" spans="1:64" s="331" customFormat="1" ht="18" hidden="1" customHeight="1" x14ac:dyDescent="0.35">
      <c r="A144" s="334">
        <v>44516</v>
      </c>
      <c r="B144" s="335">
        <f ca="1">IF(A144="",(IF(ISNUMBER(SUBSTITUTE(LEFT(RIGHT(E144,LEN(E144)-MIN(SEARCH({1,2,3,4,5,6,7,8,9,0},E144&amp;"1234567890"))+1),10),".","/"))=TRUE,AJ144-(SUBSTITUTE(LEFT(RIGHT(E144,LEN(E144)-MIN(SEARCH({1,2,3,4,5,6,7,8,9,0},E144&amp;"1234567890"))+1),10),".","/")),IF((SUBSTITUTE(LEFT(RIGHT(E144,LEN(E144)-MIN(SEARCH({1,2,3,4,5,6,7,8,9,0},E144&amp;"1234567890"))+1),10),".","/"))="","",(AJ144)-(MID(RIGHT((SUBSTITUTE(LEFT(RIGHT(E144,LEN(E144)-MIN(SEARCH({1,2,3,4,5,6,7,8,9,0},E144&amp;"1234567890"))+1),10),".","/")),10),4,2)&amp;"/"&amp;LEFT((RIGHT((SUBSTITUTE(LEFT(RIGHT(E144,LEN(E144)-MIN(SEARCH({1,2,3,4,5,6,7,8,9,0},E144&amp;"1234567890"))+1),10),".","/")),10)),2)&amp;"/"&amp;RIGHT((SUBSTITUTE(LEFT(RIGHT(E144,LEN(E144)-MIN(SEARCH({1,2,3,4,5,6,7,8,9,0},E144&amp;"1234567890"))+1),10),".","/")),4))))),(AJ144-A144))</f>
        <v>447</v>
      </c>
      <c r="C144" s="334"/>
      <c r="D144" s="294" t="str">
        <f t="shared" si="17"/>
        <v>FGMKW2-304/2B-002X235,8</v>
      </c>
      <c r="E144" s="294" t="s">
        <v>4489</v>
      </c>
      <c r="F144" s="294" t="s">
        <v>5210</v>
      </c>
      <c r="G144" s="294" t="s">
        <v>5211</v>
      </c>
      <c r="H144" s="294">
        <v>304</v>
      </c>
      <c r="I144" s="337" t="s">
        <v>116</v>
      </c>
      <c r="J144" s="149">
        <v>3.8</v>
      </c>
      <c r="K144" s="149">
        <v>1.9</v>
      </c>
      <c r="L144" s="149">
        <v>1.91</v>
      </c>
      <c r="M144" s="149">
        <v>1.93</v>
      </c>
      <c r="N144" s="138">
        <v>235.8</v>
      </c>
      <c r="O144" s="296">
        <v>0.19500000000000001</v>
      </c>
      <c r="P144" s="345">
        <v>0.19600000000000001</v>
      </c>
      <c r="Q144" s="138">
        <v>235.8</v>
      </c>
      <c r="R144" s="138"/>
      <c r="S144" s="339"/>
      <c r="T144" s="299"/>
      <c r="U144" s="282" t="s">
        <v>3497</v>
      </c>
      <c r="V144" s="282" t="s">
        <v>5212</v>
      </c>
      <c r="W144" s="282" t="s">
        <v>116</v>
      </c>
      <c r="X144" s="340">
        <v>44467</v>
      </c>
      <c r="Y144" s="340">
        <v>44468</v>
      </c>
      <c r="Z144" s="340">
        <v>44473</v>
      </c>
      <c r="AA144" s="340"/>
      <c r="AB144" s="340"/>
      <c r="AC144" s="341"/>
      <c r="AD144" s="342" t="s">
        <v>64</v>
      </c>
      <c r="AE144" s="342" t="s">
        <v>154</v>
      </c>
      <c r="AF144" s="284" t="s">
        <v>793</v>
      </c>
      <c r="AG144" s="284"/>
      <c r="AH144" s="284">
        <v>44444</v>
      </c>
      <c r="AI144" s="284"/>
      <c r="AJ144" s="334">
        <f t="shared" ref="AJ144:AJ156" ca="1" si="18">TODAY()</f>
        <v>44963</v>
      </c>
      <c r="AK144" s="342">
        <f t="shared" ca="1" si="15"/>
        <v>519</v>
      </c>
      <c r="AL144" s="342">
        <f t="shared" ca="1" si="16"/>
        <v>490</v>
      </c>
      <c r="AM144" s="284"/>
      <c r="AN144" s="284" t="s">
        <v>5213</v>
      </c>
      <c r="AO144" s="343">
        <v>10.515000000000001</v>
      </c>
      <c r="AP144" s="343">
        <v>10.525</v>
      </c>
      <c r="AQ144" s="343">
        <v>10.549999999999999</v>
      </c>
      <c r="AR144" s="343">
        <v>10.555</v>
      </c>
      <c r="AV144" s="331" t="s">
        <v>136</v>
      </c>
      <c r="BL144" s="331" t="s">
        <v>3572</v>
      </c>
    </row>
    <row r="145" spans="1:64" s="331" customFormat="1" ht="18" hidden="1" customHeight="1" x14ac:dyDescent="0.35">
      <c r="A145" s="334"/>
      <c r="B145" s="335" t="e">
        <f ca="1">IF(A145="",(IF(ISNUMBER(SUBSTITUTE(LEFT(RIGHT(E145,LEN(E145)-MIN(SEARCH({1,2,3,4,5,6,7,8,9,0},E145&amp;"1234567890"))+1),10),".","/"))=TRUE,AJ145-(SUBSTITUTE(LEFT(RIGHT(E145,LEN(E145)-MIN(SEARCH({1,2,3,4,5,6,7,8,9,0},E145&amp;"1234567890"))+1),10),".","/")),IF((SUBSTITUTE(LEFT(RIGHT(E145,LEN(E145)-MIN(SEARCH({1,2,3,4,5,6,7,8,9,0},E145&amp;"1234567890"))+1),10),".","/"))="","",(AJ145)-(MID(RIGHT((SUBSTITUTE(LEFT(RIGHT(E145,LEN(E145)-MIN(SEARCH({1,2,3,4,5,6,7,8,9,0},E145&amp;"1234567890"))+1),10),".","/")),10),4,2)&amp;"/"&amp;LEFT((RIGHT((SUBSTITUTE(LEFT(RIGHT(E145,LEN(E145)-MIN(SEARCH({1,2,3,4,5,6,7,8,9,0},E145&amp;"1234567890"))+1),10),".","/")),10)),2)&amp;"/"&amp;RIGHT((SUBSTITUTE(LEFT(RIGHT(E145,LEN(E145)-MIN(SEARCH({1,2,3,4,5,6,7,8,9,0},E145&amp;"1234567890"))+1),10),".","/")),4))))),(AJ145-A145))</f>
        <v>#VALUE!</v>
      </c>
      <c r="C145" s="334"/>
      <c r="D145" s="294" t="str">
        <f t="shared" si="17"/>
        <v>FGCKW2-J3/2B-001X595</v>
      </c>
      <c r="E145" s="294" t="s">
        <v>5214</v>
      </c>
      <c r="F145" s="294" t="s">
        <v>5215</v>
      </c>
      <c r="G145" s="294" t="s">
        <v>5216</v>
      </c>
      <c r="H145" s="294" t="s">
        <v>29</v>
      </c>
      <c r="I145" s="337" t="s">
        <v>116</v>
      </c>
      <c r="J145" s="149">
        <v>2.2000000000000002</v>
      </c>
      <c r="K145" s="149">
        <v>0.78</v>
      </c>
      <c r="L145" s="149"/>
      <c r="M145" s="149"/>
      <c r="N145" s="335">
        <v>595</v>
      </c>
      <c r="O145" s="296">
        <v>0.19500000000000001</v>
      </c>
      <c r="P145" s="345"/>
      <c r="Q145" s="138">
        <v>595</v>
      </c>
      <c r="R145" s="138"/>
      <c r="S145" s="339"/>
      <c r="T145" s="299"/>
      <c r="U145" s="282" t="s">
        <v>3497</v>
      </c>
      <c r="V145" s="282"/>
      <c r="W145" s="434" t="s">
        <v>116</v>
      </c>
      <c r="X145" s="340">
        <v>44474</v>
      </c>
      <c r="Y145" s="340">
        <v>44474</v>
      </c>
      <c r="Z145" s="340">
        <v>44484</v>
      </c>
      <c r="AA145" s="340"/>
      <c r="AB145" s="340"/>
      <c r="AC145" s="341"/>
      <c r="AD145" s="342" t="s">
        <v>64</v>
      </c>
      <c r="AE145" s="342" t="s">
        <v>322</v>
      </c>
      <c r="AF145" s="284" t="s">
        <v>635</v>
      </c>
      <c r="AG145" s="284">
        <v>44315</v>
      </c>
      <c r="AH145" s="284">
        <v>44352</v>
      </c>
      <c r="AI145" s="284"/>
      <c r="AJ145" s="334">
        <f t="shared" ca="1" si="18"/>
        <v>44963</v>
      </c>
      <c r="AK145" s="342">
        <f t="shared" ca="1" si="15"/>
        <v>611</v>
      </c>
      <c r="AL145" s="342">
        <f t="shared" ca="1" si="16"/>
        <v>479</v>
      </c>
      <c r="AM145" s="284" t="s">
        <v>5217</v>
      </c>
      <c r="AN145" s="284" t="s">
        <v>5218</v>
      </c>
      <c r="AO145" s="343">
        <v>8.1920000000000002</v>
      </c>
      <c r="AP145" s="343">
        <v>8.2319999999999993</v>
      </c>
      <c r="AQ145" s="343">
        <v>8.2569999999999979</v>
      </c>
      <c r="AR145" s="343">
        <v>8.2619999999999987</v>
      </c>
      <c r="AS145" s="331">
        <f ca="1">IF(ISNUMBER(Y145)=TRUE,AJ145-Y145,IF(Y145="","",(AJ145)-(MID(RIGHT(Y145,10),4,2)&amp;"/"&amp;LEFT((RIGHT(Y145,10)),2)&amp;"/"&amp;RIGHT(Y145,4))))</f>
        <v>489</v>
      </c>
      <c r="AV145" s="331" t="s">
        <v>136</v>
      </c>
      <c r="BL145" s="331" t="s">
        <v>3572</v>
      </c>
    </row>
    <row r="146" spans="1:64" s="331" customFormat="1" ht="18" hidden="1" customHeight="1" x14ac:dyDescent="0.35">
      <c r="A146" s="334">
        <v>44488</v>
      </c>
      <c r="B146" s="335">
        <f ca="1">IF(A146="",(IF(ISNUMBER(SUBSTITUTE(LEFT(RIGHT(E146,LEN(E146)-MIN(SEARCH({1,2,3,4,5,6,7,8,9,0},E146&amp;"1234567890"))+1),10),".","/"))=TRUE,AJ146-(SUBSTITUTE(LEFT(RIGHT(E146,LEN(E146)-MIN(SEARCH({1,2,3,4,5,6,7,8,9,0},E146&amp;"1234567890"))+1),10),".","/")),IF((SUBSTITUTE(LEFT(RIGHT(E146,LEN(E146)-MIN(SEARCH({1,2,3,4,5,6,7,8,9,0},E146&amp;"1234567890"))+1),10),".","/"))="","",(AJ146)-(MID(RIGHT((SUBSTITUTE(LEFT(RIGHT(E146,LEN(E146)-MIN(SEARCH({1,2,3,4,5,6,7,8,9,0},E146&amp;"1234567890"))+1),10),".","/")),10),4,2)&amp;"/"&amp;LEFT((RIGHT((SUBSTITUTE(LEFT(RIGHT(E146,LEN(E146)-MIN(SEARCH({1,2,3,4,5,6,7,8,9,0},E146&amp;"1234567890"))+1),10),".","/")),10)),2)&amp;"/"&amp;RIGHT((SUBSTITUTE(LEFT(RIGHT(E146,LEN(E146)-MIN(SEARCH({1,2,3,4,5,6,7,8,9,0},E146&amp;"1234567890"))+1),10),".","/")),4))))),(AJ146-A146))</f>
        <v>475</v>
      </c>
      <c r="C146" s="334"/>
      <c r="D146" s="294" t="str">
        <f t="shared" si="17"/>
        <v>FGCKW2-304L/2B-002X760</v>
      </c>
      <c r="E146" s="294" t="s">
        <v>5214</v>
      </c>
      <c r="F146" s="294" t="s">
        <v>5219</v>
      </c>
      <c r="G146" s="294" t="s">
        <v>5220</v>
      </c>
      <c r="H146" s="294" t="s">
        <v>230</v>
      </c>
      <c r="I146" s="337" t="s">
        <v>116</v>
      </c>
      <c r="J146" s="149">
        <v>4</v>
      </c>
      <c r="K146" s="149">
        <v>2</v>
      </c>
      <c r="L146" s="149">
        <v>1.97</v>
      </c>
      <c r="M146" s="149">
        <v>1.99</v>
      </c>
      <c r="N146" s="335">
        <v>770</v>
      </c>
      <c r="O146" s="296">
        <v>0.29499999999999998</v>
      </c>
      <c r="P146" s="345">
        <f>O146+0.001</f>
        <v>0.29599999999999999</v>
      </c>
      <c r="Q146" s="138">
        <v>760</v>
      </c>
      <c r="R146" s="138"/>
      <c r="S146" s="339"/>
      <c r="T146" s="299"/>
      <c r="U146" s="282" t="s">
        <v>3497</v>
      </c>
      <c r="V146" s="282" t="s">
        <v>5221</v>
      </c>
      <c r="W146" s="434" t="s">
        <v>116</v>
      </c>
      <c r="X146" s="340">
        <v>44478</v>
      </c>
      <c r="Y146" s="340">
        <v>44478</v>
      </c>
      <c r="Z146" s="340">
        <v>44484</v>
      </c>
      <c r="AA146" s="340"/>
      <c r="AB146" s="340"/>
      <c r="AC146" s="341"/>
      <c r="AD146" s="342" t="s">
        <v>64</v>
      </c>
      <c r="AE146" s="342" t="s">
        <v>154</v>
      </c>
      <c r="AF146" s="284" t="s">
        <v>1183</v>
      </c>
      <c r="AG146" s="284"/>
      <c r="AH146" s="284">
        <v>44466</v>
      </c>
      <c r="AI146" s="284"/>
      <c r="AJ146" s="334">
        <f t="shared" ca="1" si="18"/>
        <v>44963</v>
      </c>
      <c r="AK146" s="342">
        <f t="shared" ca="1" si="15"/>
        <v>497</v>
      </c>
      <c r="AL146" s="342">
        <f t="shared" ca="1" si="16"/>
        <v>479</v>
      </c>
      <c r="AM146" s="284"/>
      <c r="AN146" s="284" t="s">
        <v>5222</v>
      </c>
      <c r="AO146" s="343">
        <v>10.425000000000001</v>
      </c>
      <c r="AP146" s="343">
        <v>10.435</v>
      </c>
      <c r="AQ146" s="343">
        <v>10.459999999999999</v>
      </c>
      <c r="AR146" s="343">
        <v>10.465</v>
      </c>
      <c r="AV146" s="331" t="s">
        <v>136</v>
      </c>
      <c r="BL146" s="331" t="s">
        <v>3515</v>
      </c>
    </row>
    <row r="147" spans="1:64" s="331" customFormat="1" ht="18" hidden="1" customHeight="1" x14ac:dyDescent="0.35">
      <c r="A147" s="334">
        <v>44488</v>
      </c>
      <c r="B147" s="335">
        <f ca="1">IF(A147="",(IF(ISNUMBER(SUBSTITUTE(LEFT(RIGHT(E147,LEN(E147)-MIN(SEARCH({1,2,3,4,5,6,7,8,9,0},E147&amp;"1234567890"))+1),10),".","/"))=TRUE,AJ147-(SUBSTITUTE(LEFT(RIGHT(E147,LEN(E147)-MIN(SEARCH({1,2,3,4,5,6,7,8,9,0},E147&amp;"1234567890"))+1),10),".","/")),IF((SUBSTITUTE(LEFT(RIGHT(E147,LEN(E147)-MIN(SEARCH({1,2,3,4,5,6,7,8,9,0},E147&amp;"1234567890"))+1),10),".","/"))="","",(AJ147)-(MID(RIGHT((SUBSTITUTE(LEFT(RIGHT(E147,LEN(E147)-MIN(SEARCH({1,2,3,4,5,6,7,8,9,0},E147&amp;"1234567890"))+1),10),".","/")),10),4,2)&amp;"/"&amp;LEFT((RIGHT((SUBSTITUTE(LEFT(RIGHT(E147,LEN(E147)-MIN(SEARCH({1,2,3,4,5,6,7,8,9,0},E147&amp;"1234567890"))+1),10),".","/")),10)),2)&amp;"/"&amp;RIGHT((SUBSTITUTE(LEFT(RIGHT(E147,LEN(E147)-MIN(SEARCH({1,2,3,4,5,6,7,8,9,0},E147&amp;"1234567890"))+1),10),".","/")),4))))),(AJ147-A147))</f>
        <v>475</v>
      </c>
      <c r="C147" s="334"/>
      <c r="D147" s="294" t="str">
        <f t="shared" si="17"/>
        <v>FGCKW2-304L/2B-001X760</v>
      </c>
      <c r="E147" s="294" t="s">
        <v>5223</v>
      </c>
      <c r="F147" s="294" t="s">
        <v>5224</v>
      </c>
      <c r="G147" s="294" t="s">
        <v>5225</v>
      </c>
      <c r="H147" s="294" t="s">
        <v>230</v>
      </c>
      <c r="I147" s="337" t="s">
        <v>116</v>
      </c>
      <c r="J147" s="149">
        <v>3.48</v>
      </c>
      <c r="K147" s="149">
        <v>1.2</v>
      </c>
      <c r="L147" s="149">
        <v>1.18</v>
      </c>
      <c r="M147" s="149">
        <v>1.2</v>
      </c>
      <c r="N147" s="335">
        <v>770</v>
      </c>
      <c r="O147" s="296">
        <v>0.38500000000000001</v>
      </c>
      <c r="P147" s="345">
        <f>O147+0.001</f>
        <v>0.38600000000000001</v>
      </c>
      <c r="Q147" s="138">
        <v>760</v>
      </c>
      <c r="R147" s="138"/>
      <c r="S147" s="339"/>
      <c r="T147" s="435"/>
      <c r="U147" s="282" t="s">
        <v>3497</v>
      </c>
      <c r="V147" s="282"/>
      <c r="W147" s="138" t="s">
        <v>116</v>
      </c>
      <c r="X147" s="340">
        <v>44481</v>
      </c>
      <c r="Y147" s="340">
        <v>44482</v>
      </c>
      <c r="Z147" s="340">
        <v>44486</v>
      </c>
      <c r="AA147" s="340"/>
      <c r="AB147" s="340"/>
      <c r="AC147" s="341"/>
      <c r="AD147" s="342" t="s">
        <v>64</v>
      </c>
      <c r="AE147" s="342" t="s">
        <v>154</v>
      </c>
      <c r="AF147" s="284" t="s">
        <v>1183</v>
      </c>
      <c r="AG147" s="284"/>
      <c r="AH147" s="284">
        <v>44466</v>
      </c>
      <c r="AI147" s="284"/>
      <c r="AJ147" s="334">
        <f t="shared" ca="1" si="18"/>
        <v>44963</v>
      </c>
      <c r="AK147" s="342">
        <f t="shared" ca="1" si="15"/>
        <v>497</v>
      </c>
      <c r="AL147" s="342">
        <f t="shared" ca="1" si="16"/>
        <v>477</v>
      </c>
      <c r="AM147" s="284"/>
      <c r="AN147" s="284" t="s">
        <v>5226</v>
      </c>
      <c r="AO147" s="343">
        <v>10.324999999999999</v>
      </c>
      <c r="AP147" s="343">
        <v>10.335000000000001</v>
      </c>
      <c r="AQ147" s="343">
        <v>10.36</v>
      </c>
      <c r="AR147" s="343">
        <v>10.365</v>
      </c>
      <c r="AV147" s="331" t="s">
        <v>136</v>
      </c>
      <c r="BL147" s="331" t="s">
        <v>3572</v>
      </c>
    </row>
    <row r="148" spans="1:64" s="331" customFormat="1" ht="18" hidden="1" customHeight="1" x14ac:dyDescent="0.35">
      <c r="A148" s="334">
        <v>44488</v>
      </c>
      <c r="B148" s="335">
        <f ca="1">IF(A148="",(IF(ISNUMBER(SUBSTITUTE(LEFT(RIGHT(E148,LEN(E148)-MIN(SEARCH({1,2,3,4,5,6,7,8,9,0},E148&amp;"1234567890"))+1),10),".","/"))=TRUE,AJ148-(SUBSTITUTE(LEFT(RIGHT(E148,LEN(E148)-MIN(SEARCH({1,2,3,4,5,6,7,8,9,0},E148&amp;"1234567890"))+1),10),".","/")),IF((SUBSTITUTE(LEFT(RIGHT(E148,LEN(E148)-MIN(SEARCH({1,2,3,4,5,6,7,8,9,0},E148&amp;"1234567890"))+1),10),".","/"))="","",(AJ148)-(MID(RIGHT((SUBSTITUTE(LEFT(RIGHT(E148,LEN(E148)-MIN(SEARCH({1,2,3,4,5,6,7,8,9,0},E148&amp;"1234567890"))+1),10),".","/")),10),4,2)&amp;"/"&amp;LEFT((RIGHT((SUBSTITUTE(LEFT(RIGHT(E148,LEN(E148)-MIN(SEARCH({1,2,3,4,5,6,7,8,9,0},E148&amp;"1234567890"))+1),10),".","/")),10)),2)&amp;"/"&amp;RIGHT((SUBSTITUTE(LEFT(RIGHT(E148,LEN(E148)-MIN(SEARCH({1,2,3,4,5,6,7,8,9,0},E148&amp;"1234567890"))+1),10),".","/")),4))))),(AJ148-A148))</f>
        <v>475</v>
      </c>
      <c r="C148" s="334"/>
      <c r="D148" s="294" t="str">
        <f t="shared" si="17"/>
        <v>FGCKW2-304/2B-001X760</v>
      </c>
      <c r="E148" s="294" t="s">
        <v>5223</v>
      </c>
      <c r="F148" s="294" t="s">
        <v>5227</v>
      </c>
      <c r="G148" s="294" t="s">
        <v>5228</v>
      </c>
      <c r="H148" s="294">
        <v>304</v>
      </c>
      <c r="I148" s="337" t="s">
        <v>116</v>
      </c>
      <c r="J148" s="149">
        <v>3.46</v>
      </c>
      <c r="K148" s="149">
        <v>1.2</v>
      </c>
      <c r="L148" s="149">
        <v>1.22</v>
      </c>
      <c r="M148" s="149">
        <v>1.23</v>
      </c>
      <c r="N148" s="335">
        <v>770</v>
      </c>
      <c r="O148" s="296">
        <v>0.40500000000000003</v>
      </c>
      <c r="P148" s="345">
        <f>O148+0.001</f>
        <v>0.40600000000000003</v>
      </c>
      <c r="Q148" s="138">
        <v>760</v>
      </c>
      <c r="R148" s="138"/>
      <c r="S148" s="339"/>
      <c r="T148" s="435"/>
      <c r="U148" s="282" t="s">
        <v>3497</v>
      </c>
      <c r="V148" s="282"/>
      <c r="W148" s="138" t="s">
        <v>116</v>
      </c>
      <c r="X148" s="340">
        <v>44481</v>
      </c>
      <c r="Y148" s="340">
        <v>44481</v>
      </c>
      <c r="Z148" s="340">
        <v>44487</v>
      </c>
      <c r="AA148" s="340"/>
      <c r="AB148" s="340"/>
      <c r="AC148" s="341"/>
      <c r="AD148" s="342" t="s">
        <v>64</v>
      </c>
      <c r="AE148" s="342" t="s">
        <v>154</v>
      </c>
      <c r="AF148" s="284" t="s">
        <v>793</v>
      </c>
      <c r="AG148" s="284"/>
      <c r="AH148" s="284">
        <v>44444</v>
      </c>
      <c r="AI148" s="284"/>
      <c r="AJ148" s="334">
        <f t="shared" ca="1" si="18"/>
        <v>44963</v>
      </c>
      <c r="AK148" s="342">
        <f t="shared" ca="1" si="15"/>
        <v>519</v>
      </c>
      <c r="AL148" s="342">
        <f t="shared" ca="1" si="16"/>
        <v>476</v>
      </c>
      <c r="AM148" s="284"/>
      <c r="AN148" s="284" t="s">
        <v>5229</v>
      </c>
      <c r="AO148" s="343">
        <v>12.185</v>
      </c>
      <c r="AP148" s="343">
        <v>12.195</v>
      </c>
      <c r="AQ148" s="343">
        <v>12.219999999999999</v>
      </c>
      <c r="AR148" s="343">
        <v>12.225</v>
      </c>
      <c r="AV148" s="331" t="s">
        <v>136</v>
      </c>
      <c r="BL148" s="331" t="s">
        <v>3572</v>
      </c>
    </row>
    <row r="149" spans="1:64" s="331" customFormat="1" ht="18" hidden="1" customHeight="1" x14ac:dyDescent="0.35">
      <c r="A149" s="334">
        <v>44490</v>
      </c>
      <c r="B149" s="335">
        <f ca="1">IF(A149="",(IF(ISNUMBER(SUBSTITUTE(LEFT(RIGHT(E149,LEN(E149)-MIN(SEARCH({1,2,3,4,5,6,7,8,9,0},E149&amp;"1234567890"))+1),10),".","/"))=TRUE,AJ149-(SUBSTITUTE(LEFT(RIGHT(E149,LEN(E149)-MIN(SEARCH({1,2,3,4,5,6,7,8,9,0},E149&amp;"1234567890"))+1),10),".","/")),IF((SUBSTITUTE(LEFT(RIGHT(E149,LEN(E149)-MIN(SEARCH({1,2,3,4,5,6,7,8,9,0},E149&amp;"1234567890"))+1),10),".","/"))="","",(AJ149)-(MID(RIGHT((SUBSTITUTE(LEFT(RIGHT(E149,LEN(E149)-MIN(SEARCH({1,2,3,4,5,6,7,8,9,0},E149&amp;"1234567890"))+1),10),".","/")),10),4,2)&amp;"/"&amp;LEFT((RIGHT((SUBSTITUTE(LEFT(RIGHT(E149,LEN(E149)-MIN(SEARCH({1,2,3,4,5,6,7,8,9,0},E149&amp;"1234567890"))+1),10),".","/")),10)),2)&amp;"/"&amp;RIGHT((SUBSTITUTE(LEFT(RIGHT(E149,LEN(E149)-MIN(SEARCH({1,2,3,4,5,6,7,8,9,0},E149&amp;"1234567890"))+1),10),".","/")),4))))),(AJ149-A149))</f>
        <v>473</v>
      </c>
      <c r="C149" s="334"/>
      <c r="D149" s="294" t="str">
        <f t="shared" si="17"/>
        <v>FGCKW2-304/304L/2B-000X765</v>
      </c>
      <c r="E149" s="294" t="s">
        <v>5230</v>
      </c>
      <c r="F149" s="294" t="s">
        <v>1132</v>
      </c>
      <c r="G149" s="294" t="s">
        <v>5231</v>
      </c>
      <c r="H149" s="294" t="s">
        <v>377</v>
      </c>
      <c r="I149" s="337" t="s">
        <v>116</v>
      </c>
      <c r="J149" s="149">
        <v>0.6</v>
      </c>
      <c r="K149" s="149">
        <v>0.4</v>
      </c>
      <c r="L149" s="149">
        <v>0.39</v>
      </c>
      <c r="M149" s="149">
        <v>0.41</v>
      </c>
      <c r="N149" s="335">
        <v>765</v>
      </c>
      <c r="O149" s="296">
        <v>0.35</v>
      </c>
      <c r="P149" s="345">
        <v>0.35099999999999998</v>
      </c>
      <c r="Q149" s="138">
        <v>765</v>
      </c>
      <c r="R149" s="138"/>
      <c r="S149" s="339"/>
      <c r="T149" s="435"/>
      <c r="U149" s="282" t="s">
        <v>3497</v>
      </c>
      <c r="V149" s="282" t="s">
        <v>1143</v>
      </c>
      <c r="W149" s="138" t="s">
        <v>116</v>
      </c>
      <c r="X149" s="340" t="s">
        <v>1136</v>
      </c>
      <c r="Y149" s="340" t="s">
        <v>1137</v>
      </c>
      <c r="Z149" s="340" t="s">
        <v>1138</v>
      </c>
      <c r="AA149" s="340">
        <v>44454</v>
      </c>
      <c r="AB149" s="340"/>
      <c r="AC149" s="341"/>
      <c r="AD149" s="342" t="s">
        <v>64</v>
      </c>
      <c r="AE149" s="342" t="s">
        <v>154</v>
      </c>
      <c r="AF149" s="284" t="s">
        <v>1139</v>
      </c>
      <c r="AG149" s="284"/>
      <c r="AH149" s="284">
        <v>44431</v>
      </c>
      <c r="AI149" s="284"/>
      <c r="AJ149" s="334">
        <f t="shared" ca="1" si="18"/>
        <v>44963</v>
      </c>
      <c r="AK149" s="342">
        <f t="shared" ca="1" si="15"/>
        <v>532</v>
      </c>
      <c r="AL149" s="342" t="e">
        <f t="shared" ca="1" si="16"/>
        <v>#VALUE!</v>
      </c>
      <c r="AM149" s="284"/>
      <c r="AN149" s="284" t="s">
        <v>1140</v>
      </c>
      <c r="AO149" s="343">
        <v>12.085000000000001</v>
      </c>
      <c r="AP149" s="343">
        <v>12.095000000000001</v>
      </c>
      <c r="AQ149" s="343">
        <v>12.12</v>
      </c>
      <c r="AR149" s="343">
        <v>12.125</v>
      </c>
      <c r="AV149" s="331" t="s">
        <v>136</v>
      </c>
    </row>
    <row r="150" spans="1:64" s="331" customFormat="1" ht="18" hidden="1" customHeight="1" x14ac:dyDescent="0.35">
      <c r="A150" s="334">
        <v>44492</v>
      </c>
      <c r="B150" s="335">
        <f ca="1">IF(A150="",(IF(ISNUMBER(SUBSTITUTE(LEFT(RIGHT(E150,LEN(E150)-MIN(SEARCH({1,2,3,4,5,6,7,8,9,0},E150&amp;"1234567890"))+1),10),".","/"))=TRUE,AJ150-(SUBSTITUTE(LEFT(RIGHT(E150,LEN(E150)-MIN(SEARCH({1,2,3,4,5,6,7,8,9,0},E150&amp;"1234567890"))+1),10),".","/")),IF((SUBSTITUTE(LEFT(RIGHT(E150,LEN(E150)-MIN(SEARCH({1,2,3,4,5,6,7,8,9,0},E150&amp;"1234567890"))+1),10),".","/"))="","",(AJ150)-(MID(RIGHT((SUBSTITUTE(LEFT(RIGHT(E150,LEN(E150)-MIN(SEARCH({1,2,3,4,5,6,7,8,9,0},E150&amp;"1234567890"))+1),10),".","/")),10),4,2)&amp;"/"&amp;LEFT((RIGHT((SUBSTITUTE(LEFT(RIGHT(E150,LEN(E150)-MIN(SEARCH({1,2,3,4,5,6,7,8,9,0},E150&amp;"1234567890"))+1),10),".","/")),10)),2)&amp;"/"&amp;RIGHT((SUBSTITUTE(LEFT(RIGHT(E150,LEN(E150)-MIN(SEARCH({1,2,3,4,5,6,7,8,9,0},E150&amp;"1234567890"))+1),10),".","/")),4))))),(AJ150-A150))</f>
        <v>471</v>
      </c>
      <c r="C150" s="334"/>
      <c r="D150" s="294" t="str">
        <f t="shared" si="17"/>
        <v>FGCKW2-304/304L/2B-000X750</v>
      </c>
      <c r="E150" s="294" t="s">
        <v>5230</v>
      </c>
      <c r="F150" s="294" t="s">
        <v>5232</v>
      </c>
      <c r="G150" s="294" t="s">
        <v>5233</v>
      </c>
      <c r="H150" s="294" t="s">
        <v>377</v>
      </c>
      <c r="I150" s="337" t="s">
        <v>116</v>
      </c>
      <c r="J150" s="149">
        <v>0.57999999999999996</v>
      </c>
      <c r="K150" s="149">
        <v>0.3</v>
      </c>
      <c r="L150" s="149">
        <v>0.3</v>
      </c>
      <c r="M150" s="149">
        <v>0.31</v>
      </c>
      <c r="N150" s="335">
        <v>758</v>
      </c>
      <c r="O150" s="296">
        <v>0.27</v>
      </c>
      <c r="P150" s="345">
        <v>0.27100000000000002</v>
      </c>
      <c r="Q150" s="138">
        <v>750</v>
      </c>
      <c r="R150" s="138"/>
      <c r="S150" s="339"/>
      <c r="T150" s="435"/>
      <c r="U150" s="282" t="s">
        <v>3497</v>
      </c>
      <c r="V150" s="282" t="s">
        <v>1153</v>
      </c>
      <c r="W150" s="138" t="s">
        <v>116</v>
      </c>
      <c r="X150" s="340" t="s">
        <v>5234</v>
      </c>
      <c r="Y150" s="340" t="s">
        <v>5235</v>
      </c>
      <c r="Z150" s="340" t="s">
        <v>5236</v>
      </c>
      <c r="AA150" s="340" t="s">
        <v>5237</v>
      </c>
      <c r="AB150" s="340"/>
      <c r="AC150" s="341"/>
      <c r="AD150" s="342" t="s">
        <v>64</v>
      </c>
      <c r="AE150" s="342" t="s">
        <v>154</v>
      </c>
      <c r="AF150" s="284" t="s">
        <v>1139</v>
      </c>
      <c r="AG150" s="284"/>
      <c r="AH150" s="284">
        <v>44431</v>
      </c>
      <c r="AI150" s="284"/>
      <c r="AJ150" s="334">
        <f t="shared" ca="1" si="18"/>
        <v>44963</v>
      </c>
      <c r="AK150" s="342">
        <f t="shared" ca="1" si="15"/>
        <v>532</v>
      </c>
      <c r="AL150" s="342" t="e">
        <f t="shared" ca="1" si="16"/>
        <v>#VALUE!</v>
      </c>
      <c r="AM150" s="284"/>
      <c r="AN150" s="284" t="s">
        <v>5238</v>
      </c>
      <c r="AO150" s="343">
        <v>10.45</v>
      </c>
      <c r="AP150" s="343">
        <v>10.46</v>
      </c>
      <c r="AQ150" s="343">
        <v>10.484999999999999</v>
      </c>
      <c r="AR150" s="343">
        <v>10.49</v>
      </c>
      <c r="AV150" s="331" t="s">
        <v>136</v>
      </c>
      <c r="BL150" s="331" t="s">
        <v>4503</v>
      </c>
    </row>
    <row r="151" spans="1:64" s="331" customFormat="1" ht="18" hidden="1" customHeight="1" x14ac:dyDescent="0.35">
      <c r="A151" s="334">
        <v>44492</v>
      </c>
      <c r="B151" s="335">
        <f ca="1">IF(A151="",(IF(ISNUMBER(SUBSTITUTE(LEFT(RIGHT(E151,LEN(E151)-MIN(SEARCH({1,2,3,4,5,6,7,8,9,0},E151&amp;"1234567890"))+1),10),".","/"))=TRUE,AJ151-(SUBSTITUTE(LEFT(RIGHT(E151,LEN(E151)-MIN(SEARCH({1,2,3,4,5,6,7,8,9,0},E151&amp;"1234567890"))+1),10),".","/")),IF((SUBSTITUTE(LEFT(RIGHT(E151,LEN(E151)-MIN(SEARCH({1,2,3,4,5,6,7,8,9,0},E151&amp;"1234567890"))+1),10),".","/"))="","",(AJ151)-(MID(RIGHT((SUBSTITUTE(LEFT(RIGHT(E151,LEN(E151)-MIN(SEARCH({1,2,3,4,5,6,7,8,9,0},E151&amp;"1234567890"))+1),10),".","/")),10),4,2)&amp;"/"&amp;LEFT((RIGHT((SUBSTITUTE(LEFT(RIGHT(E151,LEN(E151)-MIN(SEARCH({1,2,3,4,5,6,7,8,9,0},E151&amp;"1234567890"))+1),10),".","/")),10)),2)&amp;"/"&amp;RIGHT((SUBSTITUTE(LEFT(RIGHT(E151,LEN(E151)-MIN(SEARCH({1,2,3,4,5,6,7,8,9,0},E151&amp;"1234567890"))+1),10),".","/")),4))))),(AJ151-A151))</f>
        <v>471</v>
      </c>
      <c r="C151" s="334"/>
      <c r="D151" s="294" t="str">
        <f t="shared" si="17"/>
        <v>FGCKW2-304/2B-001X760</v>
      </c>
      <c r="E151" s="294" t="s">
        <v>5239</v>
      </c>
      <c r="F151" s="294" t="s">
        <v>5240</v>
      </c>
      <c r="G151" s="294" t="s">
        <v>5241</v>
      </c>
      <c r="H151" s="294">
        <v>304</v>
      </c>
      <c r="I151" s="337" t="s">
        <v>116</v>
      </c>
      <c r="J151" s="149">
        <v>3.47</v>
      </c>
      <c r="K151" s="149">
        <v>1.1499999999999999</v>
      </c>
      <c r="L151" s="149">
        <v>1.1399999999999999</v>
      </c>
      <c r="M151" s="149">
        <v>1.1599999999999999</v>
      </c>
      <c r="N151" s="335">
        <v>770</v>
      </c>
      <c r="O151" s="296">
        <v>0.33</v>
      </c>
      <c r="P151" s="345">
        <v>0.33100000000000002</v>
      </c>
      <c r="Q151" s="138">
        <v>760</v>
      </c>
      <c r="R151" s="138"/>
      <c r="S151" s="339"/>
      <c r="T151" s="435"/>
      <c r="U151" s="282" t="s">
        <v>3497</v>
      </c>
      <c r="V151" s="282"/>
      <c r="W151" s="138" t="s">
        <v>116</v>
      </c>
      <c r="X151" s="340">
        <v>44483</v>
      </c>
      <c r="Y151" s="340">
        <v>44483</v>
      </c>
      <c r="Z151" s="340">
        <v>44491</v>
      </c>
      <c r="AA151" s="340"/>
      <c r="AB151" s="340"/>
      <c r="AC151" s="341"/>
      <c r="AD151" s="342" t="s">
        <v>64</v>
      </c>
      <c r="AE151" s="342" t="s">
        <v>154</v>
      </c>
      <c r="AF151" s="284" t="s">
        <v>793</v>
      </c>
      <c r="AG151" s="284"/>
      <c r="AH151" s="284">
        <v>44444</v>
      </c>
      <c r="AI151" s="284"/>
      <c r="AJ151" s="334">
        <f t="shared" ca="1" si="18"/>
        <v>44963</v>
      </c>
      <c r="AK151" s="342">
        <f t="shared" ca="1" si="15"/>
        <v>519</v>
      </c>
      <c r="AL151" s="342">
        <f t="shared" ca="1" si="16"/>
        <v>472</v>
      </c>
      <c r="AM151" s="284"/>
      <c r="AN151" s="284" t="s">
        <v>5229</v>
      </c>
      <c r="AO151" s="343">
        <v>12.23</v>
      </c>
      <c r="AP151" s="343">
        <v>12.24</v>
      </c>
      <c r="AQ151" s="343">
        <v>12.264999999999999</v>
      </c>
      <c r="AR151" s="343">
        <v>12.27</v>
      </c>
      <c r="AV151" s="331" t="s">
        <v>136</v>
      </c>
      <c r="BL151" s="331" t="s">
        <v>4503</v>
      </c>
    </row>
    <row r="152" spans="1:64" s="331" customFormat="1" ht="18" hidden="1" customHeight="1" x14ac:dyDescent="0.35">
      <c r="A152" s="334">
        <v>44515</v>
      </c>
      <c r="B152" s="335">
        <f ca="1">IF(A152="",(IF(ISNUMBER(SUBSTITUTE(LEFT(RIGHT(E152,LEN(E152)-MIN(SEARCH({1,2,3,4,5,6,7,8,9,0},E152&amp;"1234567890"))+1),10),".","/"))=TRUE,AJ152-(SUBSTITUTE(LEFT(RIGHT(E152,LEN(E152)-MIN(SEARCH({1,2,3,4,5,6,7,8,9,0},E152&amp;"1234567890"))+1),10),".","/")),IF((SUBSTITUTE(LEFT(RIGHT(E152,LEN(E152)-MIN(SEARCH({1,2,3,4,5,6,7,8,9,0},E152&amp;"1234567890"))+1),10),".","/"))="","",(AJ152)-(MID(RIGHT((SUBSTITUTE(LEFT(RIGHT(E152,LEN(E152)-MIN(SEARCH({1,2,3,4,5,6,7,8,9,0},E152&amp;"1234567890"))+1),10),".","/")),10),4,2)&amp;"/"&amp;LEFT((RIGHT((SUBSTITUTE(LEFT(RIGHT(E152,LEN(E152)-MIN(SEARCH({1,2,3,4,5,6,7,8,9,0},E152&amp;"1234567890"))+1),10),".","/")),10)),2)&amp;"/"&amp;RIGHT((SUBSTITUTE(LEFT(RIGHT(E152,LEN(E152)-MIN(SEARCH({1,2,3,4,5,6,7,8,9,0},E152&amp;"1234567890"))+1),10),".","/")),4))))),(AJ152-A152))</f>
        <v>448</v>
      </c>
      <c r="C152" s="334"/>
      <c r="D152" s="294" t="str">
        <f t="shared" si="17"/>
        <v>FGCKW2-304L/2B-002X760</v>
      </c>
      <c r="E152" s="294" t="s">
        <v>5242</v>
      </c>
      <c r="F152" s="294" t="s">
        <v>5243</v>
      </c>
      <c r="G152" s="294" t="s">
        <v>5244</v>
      </c>
      <c r="H152" s="294" t="s">
        <v>230</v>
      </c>
      <c r="I152" s="337" t="s">
        <v>116</v>
      </c>
      <c r="J152" s="149">
        <v>3.84</v>
      </c>
      <c r="K152" s="149">
        <v>1.52</v>
      </c>
      <c r="L152" s="149">
        <v>1.48</v>
      </c>
      <c r="M152" s="149">
        <v>1.52</v>
      </c>
      <c r="N152" s="335">
        <v>770</v>
      </c>
      <c r="O152" s="296">
        <v>0.35</v>
      </c>
      <c r="P152" s="345">
        <v>0.35099999999999998</v>
      </c>
      <c r="Q152" s="138">
        <v>760</v>
      </c>
      <c r="R152" s="138"/>
      <c r="S152" s="339"/>
      <c r="T152" s="435"/>
      <c r="U152" s="282" t="s">
        <v>3497</v>
      </c>
      <c r="V152" s="282"/>
      <c r="W152" s="138" t="s">
        <v>116</v>
      </c>
      <c r="X152" s="340">
        <v>44484</v>
      </c>
      <c r="Y152" s="340">
        <v>44484</v>
      </c>
      <c r="Z152" s="340">
        <v>44492</v>
      </c>
      <c r="AA152" s="340"/>
      <c r="AB152" s="340"/>
      <c r="AC152" s="341"/>
      <c r="AD152" s="342" t="s">
        <v>64</v>
      </c>
      <c r="AE152" s="342" t="s">
        <v>154</v>
      </c>
      <c r="AF152" s="284" t="s">
        <v>1183</v>
      </c>
      <c r="AG152" s="284"/>
      <c r="AH152" s="284">
        <v>44466</v>
      </c>
      <c r="AI152" s="284"/>
      <c r="AJ152" s="334">
        <f t="shared" ca="1" si="18"/>
        <v>44963</v>
      </c>
      <c r="AK152" s="342">
        <f t="shared" ca="1" si="15"/>
        <v>497</v>
      </c>
      <c r="AL152" s="342">
        <f t="shared" ca="1" si="16"/>
        <v>471</v>
      </c>
      <c r="AM152" s="284"/>
      <c r="AN152" s="284" t="s">
        <v>5245</v>
      </c>
      <c r="AO152" s="343">
        <v>11.77</v>
      </c>
      <c r="AP152" s="343">
        <v>11.78</v>
      </c>
      <c r="AQ152" s="343">
        <v>11.804999999999998</v>
      </c>
      <c r="AR152" s="343">
        <v>11.809999999999999</v>
      </c>
      <c r="AV152" s="331" t="s">
        <v>136</v>
      </c>
      <c r="BL152" s="331" t="s">
        <v>4503</v>
      </c>
    </row>
    <row r="153" spans="1:64" s="331" customFormat="1" ht="18" hidden="1" customHeight="1" x14ac:dyDescent="0.35">
      <c r="A153" s="334">
        <v>44515</v>
      </c>
      <c r="B153" s="335">
        <f ca="1">IF(A153="",(IF(ISNUMBER(SUBSTITUTE(LEFT(RIGHT(E153,LEN(E153)-MIN(SEARCH({1,2,3,4,5,6,7,8,9,0},E153&amp;"1234567890"))+1),10),".","/"))=TRUE,AJ153-(SUBSTITUTE(LEFT(RIGHT(E153,LEN(E153)-MIN(SEARCH({1,2,3,4,5,6,7,8,9,0},E153&amp;"1234567890"))+1),10),".","/")),IF((SUBSTITUTE(LEFT(RIGHT(E153,LEN(E153)-MIN(SEARCH({1,2,3,4,5,6,7,8,9,0},E153&amp;"1234567890"))+1),10),".","/"))="","",(AJ153)-(MID(RIGHT((SUBSTITUTE(LEFT(RIGHT(E153,LEN(E153)-MIN(SEARCH({1,2,3,4,5,6,7,8,9,0},E153&amp;"1234567890"))+1),10),".","/")),10),4,2)&amp;"/"&amp;LEFT((RIGHT((SUBSTITUTE(LEFT(RIGHT(E153,LEN(E153)-MIN(SEARCH({1,2,3,4,5,6,7,8,9,0},E153&amp;"1234567890"))+1),10),".","/")),10)),2)&amp;"/"&amp;RIGHT((SUBSTITUTE(LEFT(RIGHT(E153,LEN(E153)-MIN(SEARCH({1,2,3,4,5,6,7,8,9,0},E153&amp;"1234567890"))+1),10),".","/")),4))))),(AJ153-A153))</f>
        <v>448</v>
      </c>
      <c r="C153" s="334"/>
      <c r="D153" s="294" t="str">
        <f t="shared" si="17"/>
        <v>FGCKW2-304/2B-001X760</v>
      </c>
      <c r="E153" s="294" t="s">
        <v>5242</v>
      </c>
      <c r="F153" s="294" t="s">
        <v>5246</v>
      </c>
      <c r="G153" s="294" t="s">
        <v>5247</v>
      </c>
      <c r="H153" s="294">
        <v>304</v>
      </c>
      <c r="I153" s="337" t="s">
        <v>116</v>
      </c>
      <c r="J153" s="149">
        <v>3.45</v>
      </c>
      <c r="K153" s="149">
        <v>1.2</v>
      </c>
      <c r="L153" s="149">
        <v>1.2</v>
      </c>
      <c r="M153" s="149">
        <v>1.21</v>
      </c>
      <c r="N153" s="335">
        <v>770</v>
      </c>
      <c r="O153" s="296">
        <v>0.38</v>
      </c>
      <c r="P153" s="345">
        <v>0.38100000000000001</v>
      </c>
      <c r="Q153" s="138">
        <v>760</v>
      </c>
      <c r="R153" s="138"/>
      <c r="S153" s="339"/>
      <c r="T153" s="435"/>
      <c r="U153" s="282" t="s">
        <v>3497</v>
      </c>
      <c r="V153" s="282"/>
      <c r="W153" s="138" t="s">
        <v>116</v>
      </c>
      <c r="X153" s="340">
        <v>44485</v>
      </c>
      <c r="Y153" s="340">
        <v>44485</v>
      </c>
      <c r="Z153" s="340">
        <v>44493</v>
      </c>
      <c r="AA153" s="340"/>
      <c r="AB153" s="340"/>
      <c r="AC153" s="341"/>
      <c r="AD153" s="342" t="s">
        <v>64</v>
      </c>
      <c r="AE153" s="342" t="s">
        <v>154</v>
      </c>
      <c r="AF153" s="284" t="s">
        <v>1183</v>
      </c>
      <c r="AG153" s="284"/>
      <c r="AH153" s="284">
        <v>44466</v>
      </c>
      <c r="AI153" s="284"/>
      <c r="AJ153" s="334">
        <f t="shared" ca="1" si="18"/>
        <v>44963</v>
      </c>
      <c r="AK153" s="342">
        <f t="shared" ca="1" si="15"/>
        <v>497</v>
      </c>
      <c r="AL153" s="342">
        <f t="shared" ca="1" si="16"/>
        <v>470</v>
      </c>
      <c r="AM153" s="284"/>
      <c r="AN153" s="284" t="s">
        <v>5248</v>
      </c>
      <c r="AO153" s="343">
        <v>12.175000000000001</v>
      </c>
      <c r="AP153" s="343">
        <v>12.185</v>
      </c>
      <c r="AQ153" s="343">
        <v>12.209999999999999</v>
      </c>
      <c r="AR153" s="343">
        <v>12.215</v>
      </c>
      <c r="AV153" s="331" t="s">
        <v>136</v>
      </c>
      <c r="BL153" s="331" t="s">
        <v>4503</v>
      </c>
    </row>
    <row r="154" spans="1:64" s="331" customFormat="1" ht="18" hidden="1" customHeight="1" x14ac:dyDescent="0.35">
      <c r="A154" s="334"/>
      <c r="B154" s="335" t="e">
        <f ca="1">IF(A154="",(IF(ISNUMBER(SUBSTITUTE(LEFT(RIGHT(E154,LEN(E154)-MIN(SEARCH({1,2,3,4,5,6,7,8,9,0},E154&amp;"1234567890"))+1),10),".","/"))=TRUE,AJ154-(SUBSTITUTE(LEFT(RIGHT(E154,LEN(E154)-MIN(SEARCH({1,2,3,4,5,6,7,8,9,0},E154&amp;"1234567890"))+1),10),".","/")),IF((SUBSTITUTE(LEFT(RIGHT(E154,LEN(E154)-MIN(SEARCH({1,2,3,4,5,6,7,8,9,0},E154&amp;"1234567890"))+1),10),".","/"))="","",(AJ154)-(MID(RIGHT((SUBSTITUTE(LEFT(RIGHT(E154,LEN(E154)-MIN(SEARCH({1,2,3,4,5,6,7,8,9,0},E154&amp;"1234567890"))+1),10),".","/")),10),4,2)&amp;"/"&amp;LEFT((RIGHT((SUBSTITUTE(LEFT(RIGHT(E154,LEN(E154)-MIN(SEARCH({1,2,3,4,5,6,7,8,9,0},E154&amp;"1234567890"))+1),10),".","/")),10)),2)&amp;"/"&amp;RIGHT((SUBSTITUTE(LEFT(RIGHT(E154,LEN(E154)-MIN(SEARCH({1,2,3,4,5,6,7,8,9,0},E154&amp;"1234567890"))+1),10),".","/")),4))))),(AJ154-A154))</f>
        <v>#VALUE!</v>
      </c>
      <c r="C154" s="334"/>
      <c r="D154" s="294" t="str">
        <f t="shared" si="17"/>
        <v>FGCKW2-410/BA-000X600</v>
      </c>
      <c r="E154" s="294" t="s">
        <v>5249</v>
      </c>
      <c r="F154" s="294" t="s">
        <v>5250</v>
      </c>
      <c r="G154" s="294" t="s">
        <v>5251</v>
      </c>
      <c r="H154" s="294">
        <v>410</v>
      </c>
      <c r="I154" s="337" t="s">
        <v>169</v>
      </c>
      <c r="J154" s="149">
        <v>0.25</v>
      </c>
      <c r="K154" s="149">
        <v>0.25</v>
      </c>
      <c r="L154" s="149"/>
      <c r="M154" s="149"/>
      <c r="N154" s="335">
        <v>600</v>
      </c>
      <c r="O154" s="296">
        <v>0.22</v>
      </c>
      <c r="P154" s="345"/>
      <c r="Q154" s="138">
        <v>600</v>
      </c>
      <c r="R154" s="138"/>
      <c r="S154" s="339"/>
      <c r="T154" s="435"/>
      <c r="U154" s="282" t="s">
        <v>3497</v>
      </c>
      <c r="V154" s="282"/>
      <c r="W154" s="138"/>
      <c r="X154" s="340"/>
      <c r="Y154" s="340"/>
      <c r="Z154" s="340"/>
      <c r="AA154" s="340">
        <v>44495</v>
      </c>
      <c r="AB154" s="340"/>
      <c r="AC154" s="341"/>
      <c r="AD154" s="342" t="s">
        <v>169</v>
      </c>
      <c r="AE154" s="342" t="s">
        <v>903</v>
      </c>
      <c r="AF154" s="284" t="s">
        <v>904</v>
      </c>
      <c r="AG154" s="284">
        <v>44376</v>
      </c>
      <c r="AH154" s="284">
        <v>44396</v>
      </c>
      <c r="AI154" s="284"/>
      <c r="AJ154" s="334">
        <f t="shared" ca="1" si="18"/>
        <v>44963</v>
      </c>
      <c r="AK154" s="342">
        <f t="shared" ca="1" si="15"/>
        <v>567</v>
      </c>
      <c r="AL154" s="342" t="str">
        <f t="shared" si="16"/>
        <v/>
      </c>
      <c r="AM154" s="284" t="s">
        <v>905</v>
      </c>
      <c r="AN154" s="284" t="s">
        <v>5252</v>
      </c>
      <c r="AO154" s="343">
        <v>2.8090000000000002</v>
      </c>
      <c r="AP154" s="343">
        <f>AO154+0.01</f>
        <v>2.819</v>
      </c>
      <c r="AQ154" s="343">
        <v>2.8090000000000002</v>
      </c>
      <c r="AR154" s="343">
        <f>AQ154+0.01</f>
        <v>2.819</v>
      </c>
      <c r="AS154" s="331" t="str">
        <f>IF(ISNUMBER(Y154)=TRUE,AJ154-Y154,IF(Y154="","",(AJ154)-(MID(RIGHT(Y154,10),4,2)&amp;"/"&amp;LEFT((RIGHT(Y154,10)),2)&amp;"/"&amp;RIGHT(Y154,4))))</f>
        <v/>
      </c>
      <c r="AV154" s="331" t="s">
        <v>136</v>
      </c>
    </row>
    <row r="155" spans="1:64" s="331" customFormat="1" ht="18" hidden="1" customHeight="1" x14ac:dyDescent="0.35">
      <c r="A155" s="334">
        <v>44516</v>
      </c>
      <c r="B155" s="335">
        <f ca="1">IF(A155="",(IF(ISNUMBER(SUBSTITUTE(LEFT(RIGHT(E155,LEN(E155)-MIN(SEARCH({1,2,3,4,5,6,7,8,9,0},E155&amp;"1234567890"))+1),10),".","/"))=TRUE,AJ155-(SUBSTITUTE(LEFT(RIGHT(E155,LEN(E155)-MIN(SEARCH({1,2,3,4,5,6,7,8,9,0},E155&amp;"1234567890"))+1),10),".","/")),IF((SUBSTITUTE(LEFT(RIGHT(E155,LEN(E155)-MIN(SEARCH({1,2,3,4,5,6,7,8,9,0},E155&amp;"1234567890"))+1),10),".","/"))="","",(AJ155)-(MID(RIGHT((SUBSTITUTE(LEFT(RIGHT(E155,LEN(E155)-MIN(SEARCH({1,2,3,4,5,6,7,8,9,0},E155&amp;"1234567890"))+1),10),".","/")),10),4,2)&amp;"/"&amp;LEFT((RIGHT((SUBSTITUTE(LEFT(RIGHT(E155,LEN(E155)-MIN(SEARCH({1,2,3,4,5,6,7,8,9,0},E155&amp;"1234567890"))+1),10),".","/")),10)),2)&amp;"/"&amp;RIGHT((SUBSTITUTE(LEFT(RIGHT(E155,LEN(E155)-MIN(SEARCH({1,2,3,4,5,6,7,8,9,0},E155&amp;"1234567890"))+1),10),".","/")),4))))),(AJ155-A155))</f>
        <v>447</v>
      </c>
      <c r="C155" s="334"/>
      <c r="D155" s="294" t="str">
        <f t="shared" si="17"/>
        <v>FGCKW2-J3/2B-000X580</v>
      </c>
      <c r="E155" s="294" t="s">
        <v>5253</v>
      </c>
      <c r="F155" s="294" t="s">
        <v>5254</v>
      </c>
      <c r="G155" s="294" t="s">
        <v>5255</v>
      </c>
      <c r="H155" s="294" t="s">
        <v>29</v>
      </c>
      <c r="I155" s="337" t="s">
        <v>116</v>
      </c>
      <c r="J155" s="149">
        <v>0.67</v>
      </c>
      <c r="K155" s="149">
        <v>0.36</v>
      </c>
      <c r="L155" s="149">
        <v>0.35</v>
      </c>
      <c r="M155" s="149">
        <v>0.36</v>
      </c>
      <c r="N155" s="335">
        <v>590</v>
      </c>
      <c r="O155" s="296">
        <v>0.17</v>
      </c>
      <c r="P155" s="345">
        <v>0.17100000000000001</v>
      </c>
      <c r="Q155" s="138">
        <v>580</v>
      </c>
      <c r="R155" s="138"/>
      <c r="S155" s="339"/>
      <c r="T155" s="282"/>
      <c r="U155" s="282" t="s">
        <v>3497</v>
      </c>
      <c r="V155" s="138"/>
      <c r="W155" s="138" t="s">
        <v>116</v>
      </c>
      <c r="X155" s="340" t="s">
        <v>5256</v>
      </c>
      <c r="Y155" s="340" t="s">
        <v>5257</v>
      </c>
      <c r="Z155" s="340" t="s">
        <v>5258</v>
      </c>
      <c r="AA155" s="340">
        <v>44375</v>
      </c>
      <c r="AB155" s="341"/>
      <c r="AC155" s="342"/>
      <c r="AD155" s="342" t="s">
        <v>64</v>
      </c>
      <c r="AE155" s="284" t="s">
        <v>322</v>
      </c>
      <c r="AF155" s="284"/>
      <c r="AG155" s="284"/>
      <c r="AH155" s="284">
        <v>44301</v>
      </c>
      <c r="AI155" s="334"/>
      <c r="AJ155" s="334">
        <f t="shared" ca="1" si="18"/>
        <v>44963</v>
      </c>
      <c r="AK155" s="342">
        <f t="shared" ca="1" si="15"/>
        <v>662</v>
      </c>
      <c r="AL155" s="284">
        <f t="shared" ca="1" si="16"/>
        <v>701</v>
      </c>
      <c r="AM155" s="284" t="s">
        <v>5259</v>
      </c>
      <c r="AN155" s="343" t="s">
        <v>5260</v>
      </c>
      <c r="AO155" s="343">
        <v>8.1940000000000008</v>
      </c>
      <c r="AP155" s="343">
        <v>8.234</v>
      </c>
      <c r="AQ155" s="343">
        <v>8.2589999999999986</v>
      </c>
      <c r="AR155" s="331">
        <v>8.2639999999999993</v>
      </c>
      <c r="AS155" s="331">
        <f ca="1">IF(ISNUMBER(Y155)=TRUE,AJ155-Y155,IF(Y155="","",(AJ155)-(MID(RIGHT(Y155,10),4,2)&amp;"/"&amp;LEFT((RIGHT(Y155,10)),2)&amp;"/"&amp;RIGHT(Y155,4))))</f>
        <v>760</v>
      </c>
      <c r="AV155" s="331" t="s">
        <v>136</v>
      </c>
      <c r="BL155" s="331" t="s">
        <v>3572</v>
      </c>
    </row>
    <row r="156" spans="1:64" s="331" customFormat="1" ht="18" hidden="1" customHeight="1" x14ac:dyDescent="0.35">
      <c r="A156" s="334">
        <v>44515</v>
      </c>
      <c r="B156" s="335">
        <f ca="1">IF(A156="",(IF(ISNUMBER(SUBSTITUTE(LEFT(RIGHT(E156,LEN(E156)-MIN(SEARCH({1,2,3,4,5,6,7,8,9,0},E156&amp;"1234567890"))+1),10),".","/"))=TRUE,AJ156-(SUBSTITUTE(LEFT(RIGHT(E156,LEN(E156)-MIN(SEARCH({1,2,3,4,5,6,7,8,9,0},E156&amp;"1234567890"))+1),10),".","/")),IF((SUBSTITUTE(LEFT(RIGHT(E156,LEN(E156)-MIN(SEARCH({1,2,3,4,5,6,7,8,9,0},E156&amp;"1234567890"))+1),10),".","/"))="","",(AJ156)-(MID(RIGHT((SUBSTITUTE(LEFT(RIGHT(E156,LEN(E156)-MIN(SEARCH({1,2,3,4,5,6,7,8,9,0},E156&amp;"1234567890"))+1),10),".","/")),10),4,2)&amp;"/"&amp;LEFT((RIGHT((SUBSTITUTE(LEFT(RIGHT(E156,LEN(E156)-MIN(SEARCH({1,2,3,4,5,6,7,8,9,0},E156&amp;"1234567890"))+1),10),".","/")),10)),2)&amp;"/"&amp;RIGHT((SUBSTITUTE(LEFT(RIGHT(E156,LEN(E156)-MIN(SEARCH({1,2,3,4,5,6,7,8,9,0},E156&amp;"1234567890"))+1),10),".","/")),4))))),(AJ156-A156))</f>
        <v>448</v>
      </c>
      <c r="C156" s="334"/>
      <c r="D156" s="294" t="str">
        <f>IF(Q156="MULTI","FGM","FGC")&amp;"-"&amp;H156&amp;"/"&amp;I156&amp;"-"&amp;TEXT(K156,"0.00")&amp;"X"&amp;IF(Q156="MULTI",N156,Q156)</f>
        <v>FGC-304/2B-001X760</v>
      </c>
      <c r="E156" s="294" t="s">
        <v>5261</v>
      </c>
      <c r="F156" s="294" t="s">
        <v>5262</v>
      </c>
      <c r="G156" s="294" t="s">
        <v>5263</v>
      </c>
      <c r="H156" s="294">
        <v>304</v>
      </c>
      <c r="I156" s="337" t="s">
        <v>116</v>
      </c>
      <c r="J156" s="149">
        <v>3.49</v>
      </c>
      <c r="K156" s="149">
        <v>1.18</v>
      </c>
      <c r="L156" s="149">
        <v>1.18</v>
      </c>
      <c r="M156" s="149">
        <v>1.18</v>
      </c>
      <c r="N156" s="335">
        <v>770</v>
      </c>
      <c r="O156" s="296">
        <v>0.62</v>
      </c>
      <c r="P156" s="345">
        <v>0.621</v>
      </c>
      <c r="Q156" s="138">
        <v>760</v>
      </c>
      <c r="R156" s="138"/>
      <c r="S156" s="339"/>
      <c r="T156" s="299"/>
      <c r="U156" s="282" t="s">
        <v>3497</v>
      </c>
      <c r="V156" s="282"/>
      <c r="W156" s="138" t="s">
        <v>116</v>
      </c>
      <c r="X156" s="340">
        <v>44499</v>
      </c>
      <c r="Y156" s="340">
        <v>44500</v>
      </c>
      <c r="Z156" s="340"/>
      <c r="AA156" s="340"/>
      <c r="AB156" s="340"/>
      <c r="AC156" s="341"/>
      <c r="AD156" s="342" t="s">
        <v>64</v>
      </c>
      <c r="AE156" s="342" t="s">
        <v>154</v>
      </c>
      <c r="AF156" s="284" t="s">
        <v>1239</v>
      </c>
      <c r="AG156" s="284"/>
      <c r="AH156" s="284">
        <v>44496</v>
      </c>
      <c r="AI156" s="284"/>
      <c r="AJ156" s="334">
        <f t="shared" ca="1" si="18"/>
        <v>44963</v>
      </c>
      <c r="AK156" s="342">
        <f t="shared" ca="1" si="15"/>
        <v>467</v>
      </c>
      <c r="AL156" s="342" t="str">
        <f t="shared" si="16"/>
        <v/>
      </c>
      <c r="AM156" s="284"/>
      <c r="AN156" s="284" t="s">
        <v>5264</v>
      </c>
      <c r="AO156" s="343">
        <v>10.484999999999999</v>
      </c>
      <c r="AP156" s="343">
        <v>10.494999999999999</v>
      </c>
      <c r="AQ156" s="343">
        <v>10.519999999999998</v>
      </c>
      <c r="AR156" s="343">
        <v>10.524999999999999</v>
      </c>
      <c r="AS156" s="331">
        <f ca="1">IF(ISNUMBER(Y156)=TRUE,AJ156-Y156,IF(Y156="","",(AJ156)-(MID(RIGHT(Y156,10),4,2)&amp;"/"&amp;LEFT((RIGHT(Y156,10)),2)&amp;"/"&amp;RIGHT(Y156,4))))</f>
        <v>463</v>
      </c>
      <c r="AV156" s="331" t="s">
        <v>136</v>
      </c>
      <c r="BL156" s="331" t="s">
        <v>5265</v>
      </c>
    </row>
    <row r="157" spans="1:64" s="331" customFormat="1" ht="18" hidden="1" customHeight="1" x14ac:dyDescent="0.35">
      <c r="A157" s="334">
        <v>44524</v>
      </c>
      <c r="B157" s="335">
        <f ca="1">IF(A157="",(IF(ISNUMBER(SUBSTITUTE(LEFT(RIGHT(E157,LEN(E157)-MIN(SEARCH({1,2,3,4,5,6,7,8,9,0},E157&amp;"1234567890"))+1),10),".","/"))=TRUE,AJ157-(SUBSTITUTE(LEFT(RIGHT(E157,LEN(E157)-MIN(SEARCH({1,2,3,4,5,6,7,8,9,0},E157&amp;"1234567890"))+1),10),".","/")),IF((SUBSTITUTE(LEFT(RIGHT(E157,LEN(E157)-MIN(SEARCH({1,2,3,4,5,6,7,8,9,0},E157&amp;"1234567890"))+1),10),".","/"))="","",(AJ157)-(MID(RIGHT((SUBSTITUTE(LEFT(RIGHT(E157,LEN(E157)-MIN(SEARCH({1,2,3,4,5,6,7,8,9,0},E157&amp;"1234567890"))+1),10),".","/")),10),4,2)&amp;"/"&amp;LEFT((RIGHT((SUBSTITUTE(LEFT(RIGHT(E157,LEN(E157)-MIN(SEARCH({1,2,3,4,5,6,7,8,9,0},E157&amp;"1234567890"))+1),10),".","/")),10)),2)&amp;"/"&amp;RIGHT((SUBSTITUTE(LEFT(RIGHT(E157,LEN(E157)-MIN(SEARCH({1,2,3,4,5,6,7,8,9,0},E157&amp;"1234567890"))+1),10),".","/")),4))))),(AJ157-A157))</f>
        <v>439</v>
      </c>
      <c r="C157" s="334"/>
      <c r="D157" s="294" t="str">
        <f>IF(LEFT(U157,7)="MAT RET","R"&amp;"-"&amp;H157&amp;"/"&amp;I157&amp;"-"&amp;TEXT(K157,"0.00")&amp;"X"&amp;IF(Q157="",N157,Q157),IF(N157&lt;570,"FGMKW2","FGCKW2")&amp;"-"&amp;H157&amp;"/"&amp;I157&amp;"-"&amp;TEXT(K157,"0.00")&amp;"X"&amp;IF(Q157="",N157,Q157))</f>
        <v>FGMKW2-J3/2B-001X118,2</v>
      </c>
      <c r="E157" s="294" t="s">
        <v>5266</v>
      </c>
      <c r="F157" s="294" t="s">
        <v>5267</v>
      </c>
      <c r="G157" s="294" t="s">
        <v>5268</v>
      </c>
      <c r="H157" s="294" t="s">
        <v>29</v>
      </c>
      <c r="I157" s="337" t="s">
        <v>116</v>
      </c>
      <c r="J157" s="149">
        <v>2.2000000000000002</v>
      </c>
      <c r="K157" s="149">
        <v>0.73</v>
      </c>
      <c r="L157" s="149">
        <v>0.73</v>
      </c>
      <c r="M157" s="149">
        <v>0.75</v>
      </c>
      <c r="N157" s="127">
        <v>118.2</v>
      </c>
      <c r="O157" s="296">
        <f>3.96-3.68</f>
        <v>0.2799999999999998</v>
      </c>
      <c r="P157" s="345">
        <v>0.28100000000000003</v>
      </c>
      <c r="Q157" s="127">
        <v>118.2</v>
      </c>
      <c r="R157" s="138"/>
      <c r="S157" s="339"/>
      <c r="T157" s="435"/>
      <c r="U157" s="282" t="s">
        <v>3497</v>
      </c>
      <c r="V157" s="282" t="s">
        <v>5269</v>
      </c>
      <c r="W157" s="138" t="s">
        <v>116</v>
      </c>
      <c r="X157" s="340">
        <v>44297</v>
      </c>
      <c r="Y157" s="340">
        <v>44297</v>
      </c>
      <c r="Z157" s="340">
        <v>44300</v>
      </c>
      <c r="AA157" s="340"/>
      <c r="AB157" s="340"/>
      <c r="AC157" s="341"/>
      <c r="AD157" s="342" t="s">
        <v>64</v>
      </c>
      <c r="AE157" s="342" t="s">
        <v>132</v>
      </c>
      <c r="AF157" s="284" t="s">
        <v>365</v>
      </c>
      <c r="AG157" s="284">
        <v>44275</v>
      </c>
      <c r="AH157" s="284">
        <v>44294</v>
      </c>
      <c r="AI157" s="284"/>
      <c r="AJ157" s="334">
        <f t="shared" ref="AJ157:AJ163" ca="1" si="19">TODAY()</f>
        <v>44963</v>
      </c>
      <c r="AK157" s="342">
        <f t="shared" ca="1" si="15"/>
        <v>669</v>
      </c>
      <c r="AL157" s="342">
        <f t="shared" ca="1" si="16"/>
        <v>663</v>
      </c>
      <c r="AM157" s="284"/>
      <c r="AN157" s="284" t="s">
        <v>5270</v>
      </c>
      <c r="AO157" s="343">
        <v>8.1760000000000002</v>
      </c>
      <c r="AP157" s="343">
        <v>8.1910000000000007</v>
      </c>
      <c r="AQ157" s="343">
        <v>8.2159999999999993</v>
      </c>
      <c r="AR157" s="343">
        <v>8.2210000000000001</v>
      </c>
      <c r="AS157" s="331">
        <f ca="1">IF(ISNUMBER(Y157)=TRUE,AJ157-Y157,IF(Y157="","",(AJ157)-(MID(RIGHT(Y157,10),4,2)&amp;"/"&amp;LEFT((RIGHT(Y157,10)),2)&amp;"/"&amp;RIGHT(Y157,4))))</f>
        <v>666</v>
      </c>
      <c r="AV157" s="331" t="s">
        <v>136</v>
      </c>
      <c r="BL157" s="331" t="s">
        <v>3572</v>
      </c>
    </row>
    <row r="158" spans="1:64" s="331" customFormat="1" ht="18" hidden="1" customHeight="1" x14ac:dyDescent="0.35">
      <c r="A158" s="334">
        <v>44516</v>
      </c>
      <c r="B158" s="335">
        <f ca="1">IF(A158="",(IF(ISNUMBER(SUBSTITUTE(LEFT(RIGHT(E158,LEN(E158)-MIN(SEARCH({1,2,3,4,5,6,7,8,9,0},E158&amp;"1234567890"))+1),10),".","/"))=TRUE,AJ158-(SUBSTITUTE(LEFT(RIGHT(E158,LEN(E158)-MIN(SEARCH({1,2,3,4,5,6,7,8,9,0},E158&amp;"1234567890"))+1),10),".","/")),IF((SUBSTITUTE(LEFT(RIGHT(E158,LEN(E158)-MIN(SEARCH({1,2,3,4,5,6,7,8,9,0},E158&amp;"1234567890"))+1),10),".","/"))="","",(AJ158)-(MID(RIGHT((SUBSTITUTE(LEFT(RIGHT(E158,LEN(E158)-MIN(SEARCH({1,2,3,4,5,6,7,8,9,0},E158&amp;"1234567890"))+1),10),".","/")),10),4,2)&amp;"/"&amp;LEFT((RIGHT((SUBSTITUTE(LEFT(RIGHT(E158,LEN(E158)-MIN(SEARCH({1,2,3,4,5,6,7,8,9,0},E158&amp;"1234567890"))+1),10),".","/")),10)),2)&amp;"/"&amp;RIGHT((SUBSTITUTE(LEFT(RIGHT(E158,LEN(E158)-MIN(SEARCH({1,2,3,4,5,6,7,8,9,0},E158&amp;"1234567890"))+1),10),".","/")),4))))),(AJ158-A158))</f>
        <v>447</v>
      </c>
      <c r="C158" s="334"/>
      <c r="D158" s="294" t="str">
        <f>IF(LEFT(U158,7)="MAT RET","R"&amp;"-"&amp;H158&amp;"/"&amp;I158&amp;"-"&amp;TEXT(K158,"0.00")&amp;"X"&amp;IF(Q158="",N158,Q158),IF(N158&lt;570,"FGMKW2","FGCKW2")&amp;"-"&amp;H158&amp;"/"&amp;I158&amp;"-"&amp;TEXT(K158,"0.00")&amp;"X"&amp;IF(Q158="",N158,Q158))</f>
        <v>FGCKW2-304/2B-000X760</v>
      </c>
      <c r="E158" s="294" t="s">
        <v>5271</v>
      </c>
      <c r="F158" s="294" t="s">
        <v>5272</v>
      </c>
      <c r="G158" s="294" t="s">
        <v>5273</v>
      </c>
      <c r="H158" s="294">
        <v>304</v>
      </c>
      <c r="I158" s="337" t="s">
        <v>116</v>
      </c>
      <c r="J158" s="149">
        <v>0.78</v>
      </c>
      <c r="K158" s="149">
        <v>0.4</v>
      </c>
      <c r="L158" s="149">
        <v>0.39</v>
      </c>
      <c r="M158" s="149">
        <v>0.41</v>
      </c>
      <c r="N158" s="335">
        <v>764</v>
      </c>
      <c r="O158" s="296">
        <v>1.06</v>
      </c>
      <c r="P158" s="345">
        <v>1.0609999999999999</v>
      </c>
      <c r="Q158" s="138">
        <v>760</v>
      </c>
      <c r="R158" s="138"/>
      <c r="S158" s="339"/>
      <c r="T158" s="299"/>
      <c r="U158" s="282" t="s">
        <v>3497</v>
      </c>
      <c r="V158" s="282" t="s">
        <v>2990</v>
      </c>
      <c r="W158" s="138" t="s">
        <v>116</v>
      </c>
      <c r="X158" s="340" t="s">
        <v>5274</v>
      </c>
      <c r="Y158" s="340" t="s">
        <v>5275</v>
      </c>
      <c r="Z158" s="340" t="s">
        <v>5276</v>
      </c>
      <c r="AA158" s="340" t="s">
        <v>5277</v>
      </c>
      <c r="AB158" s="340"/>
      <c r="AC158" s="341"/>
      <c r="AD158" s="342" t="s">
        <v>64</v>
      </c>
      <c r="AE158" s="342" t="s">
        <v>154</v>
      </c>
      <c r="AF158" s="284" t="s">
        <v>793</v>
      </c>
      <c r="AG158" s="284"/>
      <c r="AH158" s="284">
        <v>44444</v>
      </c>
      <c r="AI158" s="284"/>
      <c r="AJ158" s="334">
        <f t="shared" ca="1" si="19"/>
        <v>44963</v>
      </c>
      <c r="AK158" s="342">
        <f t="shared" ca="1" si="15"/>
        <v>519</v>
      </c>
      <c r="AL158" s="342">
        <f t="shared" ca="1" si="16"/>
        <v>575</v>
      </c>
      <c r="AM158" s="284"/>
      <c r="AN158" s="284" t="s">
        <v>5278</v>
      </c>
      <c r="AO158" s="343">
        <v>10.4</v>
      </c>
      <c r="AP158" s="343">
        <v>10.41</v>
      </c>
      <c r="AQ158" s="343">
        <v>10.434999999999999</v>
      </c>
      <c r="AR158" s="343">
        <v>10.44</v>
      </c>
      <c r="AS158" s="331">
        <f ca="1">IF(ISNUMBER(Y158)=TRUE,AJ158-Y158,IF(Y158="","",(AJ158)-(MID(RIGHT(Y158,10),4,2)&amp;"/"&amp;LEFT((RIGHT(Y158,10)),2)&amp;"/"&amp;RIGHT(Y158,4))))</f>
        <v>544</v>
      </c>
      <c r="AV158" s="331" t="s">
        <v>136</v>
      </c>
      <c r="BL158" s="331" t="s">
        <v>5279</v>
      </c>
    </row>
    <row r="159" spans="1:64" s="331" customFormat="1" ht="18" hidden="1" customHeight="1" x14ac:dyDescent="0.35">
      <c r="A159" s="334">
        <v>44525</v>
      </c>
      <c r="B159" s="335">
        <f ca="1">IF(A159="",(IF(ISNUMBER(SUBSTITUTE(LEFT(RIGHT(E159,LEN(E159)-MIN(SEARCH({1,2,3,4,5,6,7,8,9,0},E159&amp;"1234567890"))+1),10),".","/"))=TRUE,AJ159-(SUBSTITUTE(LEFT(RIGHT(E159,LEN(E159)-MIN(SEARCH({1,2,3,4,5,6,7,8,9,0},E159&amp;"1234567890"))+1),10),".","/")),IF((SUBSTITUTE(LEFT(RIGHT(E159,LEN(E159)-MIN(SEARCH({1,2,3,4,5,6,7,8,9,0},E159&amp;"1234567890"))+1),10),".","/"))="","",(AJ159)-(MID(RIGHT((SUBSTITUTE(LEFT(RIGHT(E159,LEN(E159)-MIN(SEARCH({1,2,3,4,5,6,7,8,9,0},E159&amp;"1234567890"))+1),10),".","/")),10),4,2)&amp;"/"&amp;LEFT((RIGHT((SUBSTITUTE(LEFT(RIGHT(E159,LEN(E159)-MIN(SEARCH({1,2,3,4,5,6,7,8,9,0},E159&amp;"1234567890"))+1),10),".","/")),10)),2)&amp;"/"&amp;RIGHT((SUBSTITUTE(LEFT(RIGHT(E159,LEN(E159)-MIN(SEARCH({1,2,3,4,5,6,7,8,9,0},E159&amp;"1234567890"))+1),10),".","/")),4))))),(AJ159-A159))</f>
        <v>438</v>
      </c>
      <c r="C159" s="334"/>
      <c r="D159" s="294" t="str">
        <f>IF(LEFT(U159,7)="MAT RET","R"&amp;"-"&amp;H159&amp;"/"&amp;I159&amp;"-"&amp;TEXT(K159,"0.00")&amp;"X"&amp;IF(Q159="",N159,Q159),IF(N159&lt;570,"FGMKW2","FGCKW2")&amp;"-"&amp;H159&amp;"/"&amp;I159&amp;"-"&amp;TEXT(K159,"0.00")&amp;"X"&amp;IF(Q159="",N159,Q159))</f>
        <v>FGCKW2-304/304L/2B-001X770</v>
      </c>
      <c r="E159" s="294" t="s">
        <v>5280</v>
      </c>
      <c r="F159" s="294" t="s">
        <v>1171</v>
      </c>
      <c r="G159" s="294" t="s">
        <v>5281</v>
      </c>
      <c r="H159" s="294" t="s">
        <v>377</v>
      </c>
      <c r="I159" s="337" t="s">
        <v>116</v>
      </c>
      <c r="J159" s="149">
        <v>2.79</v>
      </c>
      <c r="K159" s="149">
        <v>0.67</v>
      </c>
      <c r="L159" s="149">
        <v>0.64</v>
      </c>
      <c r="M159" s="149">
        <v>0.65</v>
      </c>
      <c r="N159" s="335">
        <v>770</v>
      </c>
      <c r="O159" s="296">
        <v>0.72499999999999998</v>
      </c>
      <c r="P159" s="345">
        <v>0.72599999999999998</v>
      </c>
      <c r="Q159" s="138">
        <v>770</v>
      </c>
      <c r="R159" s="138"/>
      <c r="S159" s="339"/>
      <c r="T159" s="282"/>
      <c r="U159" s="282" t="s">
        <v>3497</v>
      </c>
      <c r="V159" s="282" t="s">
        <v>5282</v>
      </c>
      <c r="W159" s="138"/>
      <c r="X159" s="340">
        <v>44484</v>
      </c>
      <c r="Y159" s="340"/>
      <c r="Z159" s="340"/>
      <c r="AA159" s="340"/>
      <c r="AB159" s="340"/>
      <c r="AC159" s="341"/>
      <c r="AD159" s="342" t="s">
        <v>64</v>
      </c>
      <c r="AE159" s="342" t="s">
        <v>154</v>
      </c>
      <c r="AF159" s="284" t="s">
        <v>793</v>
      </c>
      <c r="AG159" s="284"/>
      <c r="AH159" s="284">
        <v>44444</v>
      </c>
      <c r="AI159" s="284"/>
      <c r="AJ159" s="334">
        <f t="shared" ca="1" si="19"/>
        <v>44963</v>
      </c>
      <c r="AK159" s="342">
        <f t="shared" ca="1" si="15"/>
        <v>519</v>
      </c>
      <c r="AL159" s="342" t="str">
        <f t="shared" si="16"/>
        <v/>
      </c>
      <c r="AM159" s="284"/>
      <c r="AN159" s="284" t="s">
        <v>1175</v>
      </c>
      <c r="AO159" s="343">
        <v>12.13</v>
      </c>
      <c r="AP159" s="343">
        <v>12.14</v>
      </c>
      <c r="AQ159" s="343">
        <v>12.164999999999999</v>
      </c>
      <c r="AR159" s="343">
        <v>12.17</v>
      </c>
      <c r="AV159" s="331" t="s">
        <v>136</v>
      </c>
      <c r="BL159" s="331" t="s">
        <v>137</v>
      </c>
    </row>
    <row r="160" spans="1:64" s="331" customFormat="1" ht="18" hidden="1" customHeight="1" x14ac:dyDescent="0.35">
      <c r="A160" s="334">
        <v>44529</v>
      </c>
      <c r="B160" s="335">
        <f ca="1">IF(A160="",(IF(ISNUMBER(SUBSTITUTE(LEFT(RIGHT(E160,LEN(E160)-MIN(SEARCH({1,2,3,4,5,6,7,8,9,0},E160&amp;"1234567890"))+1),10),".","/"))=TRUE,AJ160-(SUBSTITUTE(LEFT(RIGHT(E160,LEN(E160)-MIN(SEARCH({1,2,3,4,5,6,7,8,9,0},E160&amp;"1234567890"))+1),10),".","/")),IF((SUBSTITUTE(LEFT(RIGHT(E160,LEN(E160)-MIN(SEARCH({1,2,3,4,5,6,7,8,9,0},E160&amp;"1234567890"))+1),10),".","/"))="","",(AJ160)-(MID(RIGHT((SUBSTITUTE(LEFT(RIGHT(E160,LEN(E160)-MIN(SEARCH({1,2,3,4,5,6,7,8,9,0},E160&amp;"1234567890"))+1),10),".","/")),10),4,2)&amp;"/"&amp;LEFT((RIGHT((SUBSTITUTE(LEFT(RIGHT(E160,LEN(E160)-MIN(SEARCH({1,2,3,4,5,6,7,8,9,0},E160&amp;"1234567890"))+1),10),".","/")),10)),2)&amp;"/"&amp;RIGHT((SUBSTITUTE(LEFT(RIGHT(E160,LEN(E160)-MIN(SEARCH({1,2,3,4,5,6,7,8,9,0},E160&amp;"1234567890"))+1),10),".","/")),4))))),(AJ160-A160))</f>
        <v>434</v>
      </c>
      <c r="C160" s="334"/>
      <c r="D160" s="294" t="str">
        <f>IF(LEFT(U160,7)="MAT RET","R"&amp;"-"&amp;H160&amp;"/"&amp;I160&amp;"-"&amp;TEXT(K160,"0.00")&amp;"X"&amp;IF(Q160="",N160,Q160),IF(N160&lt;570,"FGMKW2","FGCKW2")&amp;"-"&amp;H160&amp;"/"&amp;I160&amp;"-"&amp;TEXT(K160,"0.00")&amp;"X"&amp;IF(Q160="",N160,Q160))</f>
        <v>FGCKW2-304/2B-001X770</v>
      </c>
      <c r="E160" s="294" t="s">
        <v>5280</v>
      </c>
      <c r="F160" s="294" t="s">
        <v>5283</v>
      </c>
      <c r="G160" s="294" t="s">
        <v>5284</v>
      </c>
      <c r="H160" s="294">
        <v>304</v>
      </c>
      <c r="I160" s="337" t="s">
        <v>116</v>
      </c>
      <c r="J160" s="149">
        <v>3.5</v>
      </c>
      <c r="K160" s="149">
        <v>0.96</v>
      </c>
      <c r="L160" s="149"/>
      <c r="M160" s="149"/>
      <c r="N160" s="335">
        <v>770</v>
      </c>
      <c r="O160" s="296">
        <v>0.63</v>
      </c>
      <c r="P160" s="345">
        <v>0.63100000000000001</v>
      </c>
      <c r="Q160" s="138">
        <v>770</v>
      </c>
      <c r="R160" s="138"/>
      <c r="S160" s="339"/>
      <c r="T160" s="282"/>
      <c r="U160" s="282" t="s">
        <v>3497</v>
      </c>
      <c r="V160" s="282" t="s">
        <v>865</v>
      </c>
      <c r="W160" s="138" t="s">
        <v>116</v>
      </c>
      <c r="X160" s="340">
        <v>44310</v>
      </c>
      <c r="Y160" s="340">
        <v>44311</v>
      </c>
      <c r="Z160" s="340"/>
      <c r="AA160" s="340">
        <v>44502</v>
      </c>
      <c r="AB160" s="340"/>
      <c r="AC160" s="341"/>
      <c r="AD160" s="342" t="s">
        <v>64</v>
      </c>
      <c r="AE160" s="342" t="s">
        <v>154</v>
      </c>
      <c r="AF160" s="284" t="s">
        <v>4374</v>
      </c>
      <c r="AG160" s="284"/>
      <c r="AH160" s="284">
        <v>44302</v>
      </c>
      <c r="AI160" s="284"/>
      <c r="AJ160" s="334">
        <f t="shared" ca="1" si="19"/>
        <v>44963</v>
      </c>
      <c r="AK160" s="342">
        <f t="shared" ca="1" si="15"/>
        <v>661</v>
      </c>
      <c r="AL160" s="342" t="str">
        <f t="shared" si="16"/>
        <v/>
      </c>
      <c r="AM160" s="284"/>
      <c r="AN160" s="284" t="s">
        <v>5285</v>
      </c>
      <c r="AO160" s="343">
        <v>10.67</v>
      </c>
      <c r="AP160" s="343">
        <v>10.68</v>
      </c>
      <c r="AQ160" s="343">
        <v>10.704999999999998</v>
      </c>
      <c r="AR160" s="343">
        <v>10.709999999999999</v>
      </c>
      <c r="AS160" s="331">
        <f t="shared" ref="AS160:AS181" ca="1" si="20">IF(ISNUMBER(Y160)=TRUE,AJ160-Y160,IF(Y160="","",(AJ160)-(MID(RIGHT(Y160,10),4,2)&amp;"/"&amp;LEFT((RIGHT(Y160,10)),2)&amp;"/"&amp;RIGHT(Y160,4))))</f>
        <v>652</v>
      </c>
      <c r="AV160" s="331" t="s">
        <v>136</v>
      </c>
      <c r="BL160" s="331" t="s">
        <v>301</v>
      </c>
    </row>
    <row r="161" spans="1:64" s="331" customFormat="1" ht="18" hidden="1" customHeight="1" x14ac:dyDescent="0.35">
      <c r="A161" s="334">
        <v>44515</v>
      </c>
      <c r="B161" s="335">
        <f ca="1">IF(A161="",(IF(ISNUMBER(SUBSTITUTE(LEFT(RIGHT(E161,LEN(E161)-MIN(SEARCH({1,2,3,4,5,6,7,8,9,0},E161&amp;"1234567890"))+1),10),".","/"))=TRUE,AJ161-(SUBSTITUTE(LEFT(RIGHT(E161,LEN(E161)-MIN(SEARCH({1,2,3,4,5,6,7,8,9,0},E161&amp;"1234567890"))+1),10),".","/")),IF((SUBSTITUTE(LEFT(RIGHT(E161,LEN(E161)-MIN(SEARCH({1,2,3,4,5,6,7,8,9,0},E161&amp;"1234567890"))+1),10),".","/"))="","",(AJ161)-(MID(RIGHT((SUBSTITUTE(LEFT(RIGHT(E161,LEN(E161)-MIN(SEARCH({1,2,3,4,5,6,7,8,9,0},E161&amp;"1234567890"))+1),10),".","/")),10),4,2)&amp;"/"&amp;LEFT((RIGHT((SUBSTITUTE(LEFT(RIGHT(E161,LEN(E161)-MIN(SEARCH({1,2,3,4,5,6,7,8,9,0},E161&amp;"1234567890"))+1),10),".","/")),10)),2)&amp;"/"&amp;RIGHT((SUBSTITUTE(LEFT(RIGHT(E161,LEN(E161)-MIN(SEARCH({1,2,3,4,5,6,7,8,9,0},E161&amp;"1234567890"))+1),10),".","/")),4))))),(AJ161-A161))</f>
        <v>448</v>
      </c>
      <c r="C161" s="334"/>
      <c r="D161" s="294" t="str">
        <f>IF(Q161="MULTI","FGM","FGC")&amp;"-"&amp;H161&amp;"/"&amp;I161&amp;"-"&amp;TEXT(K161,"0.00")&amp;"X"&amp;IF(Q161="MULTI",N161,Q161)</f>
        <v>FGC-304L/2B-000X760</v>
      </c>
      <c r="E161" s="294" t="s">
        <v>5286</v>
      </c>
      <c r="F161" s="294" t="s">
        <v>1176</v>
      </c>
      <c r="G161" s="294" t="s">
        <v>5287</v>
      </c>
      <c r="H161" s="294" t="s">
        <v>230</v>
      </c>
      <c r="I161" s="337" t="s">
        <v>116</v>
      </c>
      <c r="J161" s="149">
        <v>0.78</v>
      </c>
      <c r="K161" s="149">
        <v>0.4</v>
      </c>
      <c r="L161" s="149">
        <v>0.4</v>
      </c>
      <c r="M161" s="149">
        <v>0.42</v>
      </c>
      <c r="N161" s="335">
        <v>760</v>
      </c>
      <c r="O161" s="296">
        <v>0.63</v>
      </c>
      <c r="P161" s="345">
        <v>0.63100000000000001</v>
      </c>
      <c r="Q161" s="138">
        <v>760</v>
      </c>
      <c r="R161" s="138"/>
      <c r="S161" s="339"/>
      <c r="T161" s="299"/>
      <c r="U161" s="282" t="s">
        <v>3497</v>
      </c>
      <c r="V161" s="282"/>
      <c r="W161" s="138" t="s">
        <v>116</v>
      </c>
      <c r="X161" s="340" t="s">
        <v>1180</v>
      </c>
      <c r="Y161" s="340" t="s">
        <v>1180</v>
      </c>
      <c r="Z161" s="340" t="s">
        <v>1181</v>
      </c>
      <c r="AA161" s="340" t="s">
        <v>5288</v>
      </c>
      <c r="AB161" s="340"/>
      <c r="AC161" s="341"/>
      <c r="AD161" s="342" t="s">
        <v>64</v>
      </c>
      <c r="AE161" s="342" t="s">
        <v>154</v>
      </c>
      <c r="AF161" s="284" t="s">
        <v>1183</v>
      </c>
      <c r="AG161" s="284"/>
      <c r="AH161" s="284">
        <v>44466</v>
      </c>
      <c r="AI161" s="284"/>
      <c r="AJ161" s="334">
        <f t="shared" ca="1" si="19"/>
        <v>44963</v>
      </c>
      <c r="AK161" s="342">
        <f t="shared" ca="1" si="15"/>
        <v>497</v>
      </c>
      <c r="AL161" s="342">
        <f t="shared" ca="1" si="16"/>
        <v>483</v>
      </c>
      <c r="AM161" s="284"/>
      <c r="AN161" s="284" t="s">
        <v>1184</v>
      </c>
      <c r="AO161" s="343">
        <v>12.154999999999999</v>
      </c>
      <c r="AP161" s="343">
        <v>12.164999999999999</v>
      </c>
      <c r="AQ161" s="343">
        <v>12.189999999999998</v>
      </c>
      <c r="AR161" s="343">
        <v>12.194999999999999</v>
      </c>
      <c r="AS161" s="331">
        <f t="shared" ca="1" si="20"/>
        <v>725</v>
      </c>
      <c r="AV161" s="331" t="s">
        <v>136</v>
      </c>
      <c r="BL161" s="331" t="s">
        <v>3786</v>
      </c>
    </row>
    <row r="162" spans="1:64" s="331" customFormat="1" ht="18" hidden="1" customHeight="1" x14ac:dyDescent="0.35">
      <c r="A162" s="334">
        <v>44516</v>
      </c>
      <c r="B162" s="335">
        <f ca="1">IF(A162="",(IF(ISNUMBER(SUBSTITUTE(LEFT(RIGHT(E162,LEN(E162)-MIN(SEARCH({1,2,3,4,5,6,7,8,9,0},E162&amp;"1234567890"))+1),10),".","/"))=TRUE,AJ162-(SUBSTITUTE(LEFT(RIGHT(E162,LEN(E162)-MIN(SEARCH({1,2,3,4,5,6,7,8,9,0},E162&amp;"1234567890"))+1),10),".","/")),IF((SUBSTITUTE(LEFT(RIGHT(E162,LEN(E162)-MIN(SEARCH({1,2,3,4,5,6,7,8,9,0},E162&amp;"1234567890"))+1),10),".","/"))="","",(AJ162)-(MID(RIGHT((SUBSTITUTE(LEFT(RIGHT(E162,LEN(E162)-MIN(SEARCH({1,2,3,4,5,6,7,8,9,0},E162&amp;"1234567890"))+1),10),".","/")),10),4,2)&amp;"/"&amp;LEFT((RIGHT((SUBSTITUTE(LEFT(RIGHT(E162,LEN(E162)-MIN(SEARCH({1,2,3,4,5,6,7,8,9,0},E162&amp;"1234567890"))+1),10),".","/")),10)),2)&amp;"/"&amp;RIGHT((SUBSTITUTE(LEFT(RIGHT(E162,LEN(E162)-MIN(SEARCH({1,2,3,4,5,6,7,8,9,0},E162&amp;"1234567890"))+1),10),".","/")),4))))),(AJ162-A162))</f>
        <v>447</v>
      </c>
      <c r="C162" s="334"/>
      <c r="D162" s="294" t="str">
        <f>IF(LEFT(U162,7)="MAT RET","R"&amp;"-"&amp;H162&amp;"/"&amp;I162&amp;"-"&amp;TEXT(K162,"0.00")&amp;"X"&amp;IF(Q162="",N162,Q162),IF(N162&lt;570,"FGMKW2","FGCKW2")&amp;"-"&amp;H162&amp;"/"&amp;I162&amp;"-"&amp;TEXT(K162,"0.00")&amp;"X"&amp;IF(Q162="",N162,Q162))</f>
        <v>FGCKW2-J3/2B-001X595</v>
      </c>
      <c r="E162" s="294" t="s">
        <v>5289</v>
      </c>
      <c r="F162" s="294" t="s">
        <v>5290</v>
      </c>
      <c r="G162" s="294" t="s">
        <v>5291</v>
      </c>
      <c r="H162" s="294" t="s">
        <v>29</v>
      </c>
      <c r="I162" s="337" t="s">
        <v>116</v>
      </c>
      <c r="J162" s="149">
        <v>2.4</v>
      </c>
      <c r="K162" s="149">
        <v>0.91</v>
      </c>
      <c r="L162" s="149">
        <v>0.9</v>
      </c>
      <c r="M162" s="149">
        <v>0.91</v>
      </c>
      <c r="N162" s="335">
        <v>595</v>
      </c>
      <c r="O162" s="296">
        <v>0.255</v>
      </c>
      <c r="P162" s="345">
        <v>0.25600000000000001</v>
      </c>
      <c r="Q162" s="138">
        <v>595</v>
      </c>
      <c r="R162" s="138"/>
      <c r="S162" s="339"/>
      <c r="T162" s="299"/>
      <c r="U162" s="282" t="s">
        <v>3497</v>
      </c>
      <c r="V162" s="282"/>
      <c r="W162" s="138" t="s">
        <v>116</v>
      </c>
      <c r="X162" s="340">
        <v>44367</v>
      </c>
      <c r="Y162" s="340">
        <v>44367</v>
      </c>
      <c r="Z162" s="340">
        <v>44385</v>
      </c>
      <c r="AA162" s="340"/>
      <c r="AB162" s="340"/>
      <c r="AC162" s="341"/>
      <c r="AD162" s="342" t="s">
        <v>64</v>
      </c>
      <c r="AE162" s="342" t="s">
        <v>132</v>
      </c>
      <c r="AF162" s="284" t="s">
        <v>430</v>
      </c>
      <c r="AG162" s="284">
        <v>44280</v>
      </c>
      <c r="AH162" s="284">
        <v>44302</v>
      </c>
      <c r="AI162" s="284"/>
      <c r="AJ162" s="334">
        <f t="shared" ca="1" si="19"/>
        <v>44963</v>
      </c>
      <c r="AK162" s="342">
        <f t="shared" ca="1" si="15"/>
        <v>661</v>
      </c>
      <c r="AL162" s="342">
        <f t="shared" ca="1" si="16"/>
        <v>578</v>
      </c>
      <c r="AM162" s="284"/>
      <c r="AN162" s="284" t="s">
        <v>5292</v>
      </c>
      <c r="AO162" s="343">
        <v>8.1080000000000005</v>
      </c>
      <c r="AP162" s="343">
        <v>8.1230000000000011</v>
      </c>
      <c r="AQ162" s="343">
        <v>8.1479999999999997</v>
      </c>
      <c r="AR162" s="343">
        <v>8.1530000000000005</v>
      </c>
      <c r="AS162" s="331">
        <f t="shared" ca="1" si="20"/>
        <v>596</v>
      </c>
      <c r="AV162" s="331" t="s">
        <v>136</v>
      </c>
      <c r="BL162" s="331" t="s">
        <v>5010</v>
      </c>
    </row>
    <row r="163" spans="1:64" s="331" customFormat="1" ht="18" hidden="1" customHeight="1" x14ac:dyDescent="0.35">
      <c r="A163" s="334">
        <v>44537</v>
      </c>
      <c r="B163" s="335">
        <f ca="1">IF(A163="",(IF(ISNUMBER(SUBSTITUTE(LEFT(RIGHT(E163,LEN(E163)-MIN(SEARCH({1,2,3,4,5,6,7,8,9,0},E163&amp;"1234567890"))+1),10),".","/"))=TRUE,AJ163-(SUBSTITUTE(LEFT(RIGHT(E163,LEN(E163)-MIN(SEARCH({1,2,3,4,5,6,7,8,9,0},E163&amp;"1234567890"))+1),10),".","/")),IF((SUBSTITUTE(LEFT(RIGHT(E163,LEN(E163)-MIN(SEARCH({1,2,3,4,5,6,7,8,9,0},E163&amp;"1234567890"))+1),10),".","/"))="","",(AJ163)-(MID(RIGHT((SUBSTITUTE(LEFT(RIGHT(E163,LEN(E163)-MIN(SEARCH({1,2,3,4,5,6,7,8,9,0},E163&amp;"1234567890"))+1),10),".","/")),10),4,2)&amp;"/"&amp;LEFT((RIGHT((SUBSTITUTE(LEFT(RIGHT(E163,LEN(E163)-MIN(SEARCH({1,2,3,4,5,6,7,8,9,0},E163&amp;"1234567890"))+1),10),".","/")),10)),2)&amp;"/"&amp;RIGHT((SUBSTITUTE(LEFT(RIGHT(E163,LEN(E163)-MIN(SEARCH({1,2,3,4,5,6,7,8,9,0},E163&amp;"1234567890"))+1),10),".","/")),4))))),(AJ163-A163))</f>
        <v>426</v>
      </c>
      <c r="C163" s="334"/>
      <c r="D163" s="294" t="str">
        <f>IF(LEFT(U163,7)="MAT RET","R"&amp;"-"&amp;H163&amp;"/"&amp;I163&amp;"-"&amp;TEXT(K163,"0.00")&amp;"X"&amp;IF(Q163="",N163,Q163),IF(N163&lt;570,"FGMKW2","FGCKW2")&amp;"-"&amp;H163&amp;"/"&amp;I163&amp;"-"&amp;TEXT(K163,"0.00")&amp;"X"&amp;IF(Q163="",N163,Q163))</f>
        <v>FGCKW2-304L/2B-001X770</v>
      </c>
      <c r="E163" s="294" t="s">
        <v>5293</v>
      </c>
      <c r="F163" s="294" t="s">
        <v>5294</v>
      </c>
      <c r="G163" s="294" t="s">
        <v>5295</v>
      </c>
      <c r="H163" s="294" t="s">
        <v>230</v>
      </c>
      <c r="I163" s="337" t="s">
        <v>116</v>
      </c>
      <c r="J163" s="149">
        <v>3.48</v>
      </c>
      <c r="K163" s="149">
        <v>0.95</v>
      </c>
      <c r="L163" s="149">
        <v>0.91</v>
      </c>
      <c r="M163" s="149">
        <v>0.91</v>
      </c>
      <c r="N163" s="335">
        <v>770</v>
      </c>
      <c r="O163" s="296">
        <v>1.48</v>
      </c>
      <c r="P163" s="345"/>
      <c r="Q163" s="138">
        <v>770</v>
      </c>
      <c r="R163" s="138"/>
      <c r="S163" s="339"/>
      <c r="T163" s="299"/>
      <c r="U163" s="282" t="s">
        <v>3497</v>
      </c>
      <c r="V163" s="282"/>
      <c r="W163" s="138" t="s">
        <v>116</v>
      </c>
      <c r="X163" s="340">
        <v>44476</v>
      </c>
      <c r="Y163" s="340">
        <v>44477</v>
      </c>
      <c r="Z163" s="340"/>
      <c r="AA163" s="340"/>
      <c r="AB163" s="340"/>
      <c r="AC163" s="341"/>
      <c r="AD163" s="342" t="s">
        <v>64</v>
      </c>
      <c r="AE163" s="342" t="s">
        <v>154</v>
      </c>
      <c r="AF163" s="284" t="s">
        <v>1183</v>
      </c>
      <c r="AG163" s="284"/>
      <c r="AH163" s="284">
        <v>44466</v>
      </c>
      <c r="AI163" s="284"/>
      <c r="AJ163" s="334">
        <f t="shared" ca="1" si="19"/>
        <v>44963</v>
      </c>
      <c r="AK163" s="342">
        <f t="shared" ca="1" si="15"/>
        <v>497</v>
      </c>
      <c r="AL163" s="342" t="str">
        <f t="shared" si="16"/>
        <v/>
      </c>
      <c r="AM163" s="284"/>
      <c r="AN163" s="284" t="s">
        <v>5296</v>
      </c>
      <c r="AO163" s="343">
        <v>10.404999999999999</v>
      </c>
      <c r="AP163" s="343">
        <v>10.414999999999999</v>
      </c>
      <c r="AQ163" s="343">
        <v>10.439999999999998</v>
      </c>
      <c r="AR163" s="343">
        <v>10.444999999999999</v>
      </c>
      <c r="AS163" s="331">
        <f t="shared" ca="1" si="20"/>
        <v>486</v>
      </c>
      <c r="AV163" s="331" t="s">
        <v>136</v>
      </c>
      <c r="BL163" s="331" t="s">
        <v>221</v>
      </c>
    </row>
    <row r="164" spans="1:64" s="331" customFormat="1" ht="18" hidden="1" customHeight="1" x14ac:dyDescent="0.35">
      <c r="A164" s="334">
        <v>44524</v>
      </c>
      <c r="B164" s="335">
        <f ca="1">IF(A164="",(IF(ISNUMBER(SUBSTITUTE(LEFT(RIGHT(E164,LEN(E164)-MIN(SEARCH({1,2,3,4,5,6,7,8,9,0},E164&amp;"1234567890"))+1),10),".","/"))=TRUE,AJ164-(SUBSTITUTE(LEFT(RIGHT(E164,LEN(E164)-MIN(SEARCH({1,2,3,4,5,6,7,8,9,0},E164&amp;"1234567890"))+1),10),".","/")),IF((SUBSTITUTE(LEFT(RIGHT(E164,LEN(E164)-MIN(SEARCH({1,2,3,4,5,6,7,8,9,0},E164&amp;"1234567890"))+1),10),".","/"))="","",(AJ164)-(MID(RIGHT((SUBSTITUTE(LEFT(RIGHT(E164,LEN(E164)-MIN(SEARCH({1,2,3,4,5,6,7,8,9,0},E164&amp;"1234567890"))+1),10),".","/")),10),4,2)&amp;"/"&amp;LEFT((RIGHT((SUBSTITUTE(LEFT(RIGHT(E164,LEN(E164)-MIN(SEARCH({1,2,3,4,5,6,7,8,9,0},E164&amp;"1234567890"))+1),10),".","/")),10)),2)&amp;"/"&amp;RIGHT((SUBSTITUTE(LEFT(RIGHT(E164,LEN(E164)-MIN(SEARCH({1,2,3,4,5,6,7,8,9,0},E164&amp;"1234567890"))+1),10),".","/")),4))))),(AJ164-A164))</f>
        <v>439</v>
      </c>
      <c r="C164" s="334"/>
      <c r="D164" s="294" t="str">
        <f>IF(LEFT(U164,7)="MAT RET","R"&amp;"-"&amp;H164&amp;"/"&amp;I164&amp;"-"&amp;TEXT(K164,"0.00")&amp;"X"&amp;IF(Q164="",N164,Q164),IF(N164&lt;570,"FGMKW2","FGCKW2")&amp;"-"&amp;H164&amp;"/"&amp;I164&amp;"-"&amp;TEXT(K164,"0.00")&amp;"X"&amp;IF(Q164="",N164,Q164))</f>
        <v>FGCKW2-410/BA-000X600</v>
      </c>
      <c r="E164" s="294" t="s">
        <v>5297</v>
      </c>
      <c r="F164" s="294" t="s">
        <v>5298</v>
      </c>
      <c r="G164" s="294" t="s">
        <v>5299</v>
      </c>
      <c r="H164" s="294">
        <v>410</v>
      </c>
      <c r="I164" s="337" t="s">
        <v>169</v>
      </c>
      <c r="J164" s="149">
        <v>0.25</v>
      </c>
      <c r="K164" s="149">
        <v>0.25</v>
      </c>
      <c r="L164" s="149"/>
      <c r="M164" s="149"/>
      <c r="N164" s="335">
        <v>600</v>
      </c>
      <c r="O164" s="296">
        <v>0.26</v>
      </c>
      <c r="P164" s="345">
        <v>0.26100000000000001</v>
      </c>
      <c r="Q164" s="138">
        <v>600</v>
      </c>
      <c r="R164" s="138"/>
      <c r="S164" s="339"/>
      <c r="T164" s="299"/>
      <c r="U164" s="282" t="s">
        <v>3497</v>
      </c>
      <c r="V164" s="282"/>
      <c r="W164" s="138" t="s">
        <v>5300</v>
      </c>
      <c r="X164" s="340"/>
      <c r="Y164" s="340"/>
      <c r="Z164" s="340"/>
      <c r="AA164" s="340" t="s">
        <v>5301</v>
      </c>
      <c r="AB164" s="340"/>
      <c r="AC164" s="341"/>
      <c r="AD164" s="342" t="s">
        <v>169</v>
      </c>
      <c r="AE164" s="342" t="s">
        <v>903</v>
      </c>
      <c r="AF164" s="284" t="s">
        <v>904</v>
      </c>
      <c r="AG164" s="284">
        <v>44376</v>
      </c>
      <c r="AH164" s="284">
        <v>44396</v>
      </c>
      <c r="AI164" s="284"/>
      <c r="AJ164" s="334">
        <f t="shared" ref="AJ164:AJ176" ca="1" si="21">TODAY()</f>
        <v>44963</v>
      </c>
      <c r="AK164" s="342">
        <f t="shared" ca="1" si="15"/>
        <v>567</v>
      </c>
      <c r="AL164" s="342" t="str">
        <f t="shared" si="16"/>
        <v/>
      </c>
      <c r="AM164" s="284" t="s">
        <v>5302</v>
      </c>
      <c r="AN164" s="284" t="s">
        <v>5303</v>
      </c>
      <c r="AO164" s="343">
        <v>3.34</v>
      </c>
      <c r="AP164" s="343">
        <f>AO164+0.01</f>
        <v>3.3499999999999996</v>
      </c>
      <c r="AQ164" s="343">
        <v>3.34</v>
      </c>
      <c r="AR164" s="343">
        <f>AQ164+0.01</f>
        <v>3.3499999999999996</v>
      </c>
      <c r="AS164" s="331" t="str">
        <f t="shared" si="20"/>
        <v/>
      </c>
      <c r="AV164" s="331" t="s">
        <v>136</v>
      </c>
      <c r="BL164" s="331" t="s">
        <v>3572</v>
      </c>
    </row>
    <row r="165" spans="1:64" s="331" customFormat="1" ht="18" hidden="1" customHeight="1" x14ac:dyDescent="0.35">
      <c r="A165" s="334">
        <v>44537</v>
      </c>
      <c r="B165" s="335">
        <f ca="1">IF(A165="",(IF(ISNUMBER(SUBSTITUTE(LEFT(RIGHT(E165,LEN(E165)-MIN(SEARCH({1,2,3,4,5,6,7,8,9,0},E165&amp;"1234567890"))+1),10),".","/"))=TRUE,AJ165-(SUBSTITUTE(LEFT(RIGHT(E165,LEN(E165)-MIN(SEARCH({1,2,3,4,5,6,7,8,9,0},E165&amp;"1234567890"))+1),10),".","/")),IF((SUBSTITUTE(LEFT(RIGHT(E165,LEN(E165)-MIN(SEARCH({1,2,3,4,5,6,7,8,9,0},E165&amp;"1234567890"))+1),10),".","/"))="","",(AJ165)-(MID(RIGHT((SUBSTITUTE(LEFT(RIGHT(E165,LEN(E165)-MIN(SEARCH({1,2,3,4,5,6,7,8,9,0},E165&amp;"1234567890"))+1),10),".","/")),10),4,2)&amp;"/"&amp;LEFT((RIGHT((SUBSTITUTE(LEFT(RIGHT(E165,LEN(E165)-MIN(SEARCH({1,2,3,4,5,6,7,8,9,0},E165&amp;"1234567890"))+1),10),".","/")),10)),2)&amp;"/"&amp;RIGHT((SUBSTITUTE(LEFT(RIGHT(E165,LEN(E165)-MIN(SEARCH({1,2,3,4,5,6,7,8,9,0},E165&amp;"1234567890"))+1),10),".","/")),4))))),(AJ165-A165))</f>
        <v>426</v>
      </c>
      <c r="C165" s="334"/>
      <c r="D165" s="294" t="str">
        <f>IF(LEFT(U165,7)="MAT RET","R"&amp;"-"&amp;H165&amp;"/"&amp;I165&amp;"-"&amp;TEXT(K165,"0.00")&amp;"X"&amp;IF(Q165="",N165,Q165),IF(N165&lt;570,"FGMKW2","FGCKW2")&amp;"-"&amp;H165&amp;"/"&amp;I165&amp;"-"&amp;TEXT(K165,"0.00")&amp;"X"&amp;IF(Q165="",N165,Q165))</f>
        <v>FGCKW2-304/2B-001XMULTI</v>
      </c>
      <c r="E165" s="294" t="s">
        <v>5304</v>
      </c>
      <c r="F165" s="294" t="s">
        <v>114</v>
      </c>
      <c r="G165" s="294" t="s">
        <v>5305</v>
      </c>
      <c r="H165" s="294">
        <v>304</v>
      </c>
      <c r="I165" s="337" t="s">
        <v>116</v>
      </c>
      <c r="J165" s="149">
        <v>0.94</v>
      </c>
      <c r="K165" s="149">
        <v>0.5</v>
      </c>
      <c r="L165" s="149">
        <v>0.47</v>
      </c>
      <c r="M165" s="149">
        <v>0.5</v>
      </c>
      <c r="N165" s="335" t="s">
        <v>3598</v>
      </c>
      <c r="O165" s="296">
        <f>0.185+0.135+0.095</f>
        <v>0.41500000000000004</v>
      </c>
      <c r="P165" s="345"/>
      <c r="Q165" s="138" t="s">
        <v>3598</v>
      </c>
      <c r="R165" s="138">
        <f>219+272+225</f>
        <v>716</v>
      </c>
      <c r="S165" s="339"/>
      <c r="T165" s="299"/>
      <c r="U165" s="282" t="s">
        <v>3497</v>
      </c>
      <c r="V165" s="282" t="s">
        <v>232</v>
      </c>
      <c r="W165" s="138" t="s">
        <v>116</v>
      </c>
      <c r="X165" s="340" t="s">
        <v>120</v>
      </c>
      <c r="Y165" s="340" t="s">
        <v>120</v>
      </c>
      <c r="Z165" s="340" t="s">
        <v>121</v>
      </c>
      <c r="AA165" s="340">
        <v>44529</v>
      </c>
      <c r="AB165" s="340"/>
      <c r="AC165" s="341"/>
      <c r="AD165" s="342" t="s">
        <v>64</v>
      </c>
      <c r="AE165" s="342" t="s">
        <v>122</v>
      </c>
      <c r="AF165" s="284" t="s">
        <v>123</v>
      </c>
      <c r="AG165" s="284">
        <v>43187</v>
      </c>
      <c r="AH165" s="284">
        <v>43220</v>
      </c>
      <c r="AI165" s="284"/>
      <c r="AJ165" s="334">
        <f t="shared" ca="1" si="21"/>
        <v>44963</v>
      </c>
      <c r="AK165" s="342">
        <f t="shared" ca="1" si="15"/>
        <v>1743</v>
      </c>
      <c r="AL165" s="342">
        <f t="shared" ca="1" si="16"/>
        <v>1063</v>
      </c>
      <c r="AM165" s="284"/>
      <c r="AN165" s="284" t="s">
        <v>114</v>
      </c>
      <c r="AO165" s="343">
        <v>8.9480000000000004</v>
      </c>
      <c r="AP165" s="343">
        <v>8.963000000000001</v>
      </c>
      <c r="AQ165" s="343">
        <v>8.9499999999999993</v>
      </c>
      <c r="AR165" s="343">
        <v>8.9550000000000001</v>
      </c>
      <c r="AS165" s="331" t="e">
        <f t="shared" ca="1" si="20"/>
        <v>#VALUE!</v>
      </c>
      <c r="AV165" s="331" t="s">
        <v>124</v>
      </c>
    </row>
    <row r="166" spans="1:64" s="331" customFormat="1" ht="18" hidden="1" customHeight="1" x14ac:dyDescent="0.35">
      <c r="A166" s="334"/>
      <c r="B166" s="335" t="e">
        <f ca="1">IF(A166="",(IF(ISNUMBER(SUBSTITUTE(LEFT(RIGHT(E166,LEN(E166)-MIN(SEARCH({1,2,3,4,5,6,7,8,9,0},E166&amp;"1234567890"))+1),10),".","/"))=TRUE,AJ166-(SUBSTITUTE(LEFT(RIGHT(E166,LEN(E166)-MIN(SEARCH({1,2,3,4,5,6,7,8,9,0},E166&amp;"1234567890"))+1),10),".","/")),IF((SUBSTITUTE(LEFT(RIGHT(E166,LEN(E166)-MIN(SEARCH({1,2,3,4,5,6,7,8,9,0},E166&amp;"1234567890"))+1),10),".","/"))="","",(AJ166)-(MID(RIGHT((SUBSTITUTE(LEFT(RIGHT(E166,LEN(E166)-MIN(SEARCH({1,2,3,4,5,6,7,8,9,0},E166&amp;"1234567890"))+1),10),".","/")),10),4,2)&amp;"/"&amp;LEFT((RIGHT((SUBSTITUTE(LEFT(RIGHT(E166,LEN(E166)-MIN(SEARCH({1,2,3,4,5,6,7,8,9,0},E166&amp;"1234567890"))+1),10),".","/")),10)),2)&amp;"/"&amp;RIGHT((SUBSTITUTE(LEFT(RIGHT(E166,LEN(E166)-MIN(SEARCH({1,2,3,4,5,6,7,8,9,0},E166&amp;"1234567890"))+1),10),".","/")),4))))),(AJ166-A166))</f>
        <v>#VALUE!</v>
      </c>
      <c r="C166" s="334"/>
      <c r="D166" s="294" t="str">
        <f>IF(LEFT(U166,7)="MAT RET","R"&amp;"-"&amp;H166&amp;"/"&amp;I166&amp;"-"&amp;TEXT(K166,"0.00")&amp;"X"&amp;IF(Q166="",N166,Q166),IF(N166&lt;570,"FGMKW2","FGCKW2")&amp;"-"&amp;H166&amp;"/"&amp;I166&amp;"-"&amp;TEXT(K166,"0.00")&amp;"X"&amp;IF(Q166="",N166,Q166))</f>
        <v>FGCKW2-304/2B-001XMULTI</v>
      </c>
      <c r="E166" s="294" t="s">
        <v>5304</v>
      </c>
      <c r="F166" s="294" t="s">
        <v>114</v>
      </c>
      <c r="G166" s="294" t="s">
        <v>5306</v>
      </c>
      <c r="H166" s="294">
        <v>304</v>
      </c>
      <c r="I166" s="337" t="s">
        <v>116</v>
      </c>
      <c r="J166" s="149">
        <v>0.94</v>
      </c>
      <c r="K166" s="149">
        <v>0.5</v>
      </c>
      <c r="L166" s="149">
        <v>0.47</v>
      </c>
      <c r="M166" s="149">
        <v>0.5</v>
      </c>
      <c r="N166" s="335" t="s">
        <v>3598</v>
      </c>
      <c r="O166" s="296">
        <f>0.1+0.08+0.08</f>
        <v>0.26</v>
      </c>
      <c r="P166" s="345"/>
      <c r="Q166" s="138" t="s">
        <v>3598</v>
      </c>
      <c r="R166" s="138">
        <f>272+225+219</f>
        <v>716</v>
      </c>
      <c r="S166" s="339"/>
      <c r="T166" s="299"/>
      <c r="U166" s="282" t="s">
        <v>3497</v>
      </c>
      <c r="V166" s="282" t="s">
        <v>232</v>
      </c>
      <c r="W166" s="138" t="s">
        <v>116</v>
      </c>
      <c r="X166" s="340" t="s">
        <v>120</v>
      </c>
      <c r="Y166" s="340" t="s">
        <v>120</v>
      </c>
      <c r="Z166" s="340" t="s">
        <v>121</v>
      </c>
      <c r="AA166" s="340">
        <v>44529</v>
      </c>
      <c r="AB166" s="340"/>
      <c r="AC166" s="341"/>
      <c r="AD166" s="342" t="s">
        <v>64</v>
      </c>
      <c r="AE166" s="342" t="s">
        <v>122</v>
      </c>
      <c r="AF166" s="284" t="s">
        <v>123</v>
      </c>
      <c r="AG166" s="284">
        <v>43187</v>
      </c>
      <c r="AH166" s="284">
        <v>43220</v>
      </c>
      <c r="AI166" s="284"/>
      <c r="AJ166" s="334">
        <f t="shared" ca="1" si="21"/>
        <v>44963</v>
      </c>
      <c r="AK166" s="342">
        <f t="shared" ca="1" si="15"/>
        <v>1743</v>
      </c>
      <c r="AL166" s="342">
        <f t="shared" ca="1" si="16"/>
        <v>1063</v>
      </c>
      <c r="AM166" s="284"/>
      <c r="AN166" s="284" t="s">
        <v>114</v>
      </c>
      <c r="AO166" s="343">
        <v>8.9480000000000004</v>
      </c>
      <c r="AP166" s="343">
        <v>8.963000000000001</v>
      </c>
      <c r="AQ166" s="343">
        <v>8.9499999999999993</v>
      </c>
      <c r="AR166" s="343">
        <v>8.9550000000000001</v>
      </c>
      <c r="AS166" s="331" t="e">
        <f t="shared" ca="1" si="20"/>
        <v>#VALUE!</v>
      </c>
      <c r="AV166" s="331" t="s">
        <v>124</v>
      </c>
    </row>
    <row r="167" spans="1:64" s="331" customFormat="1" ht="18" hidden="1" customHeight="1" x14ac:dyDescent="0.35">
      <c r="A167" s="334"/>
      <c r="B167" s="335">
        <f ca="1">IF(A167="",(IF(ISNUMBER(SUBSTITUTE(LEFT(RIGHT(E167,LEN(E167)-MIN(SEARCH({1,2,3,4,5,6,7,8,9,0},E167&amp;"1234567890"))+1),10),".","/"))=TRUE,AJ167-(SUBSTITUTE(LEFT(RIGHT(E167,LEN(E167)-MIN(SEARCH({1,2,3,4,5,6,7,8,9,0},E167&amp;"1234567890"))+1),10),".","/")),IF((SUBSTITUTE(LEFT(RIGHT(E167,LEN(E167)-MIN(SEARCH({1,2,3,4,5,6,7,8,9,0},E167&amp;"1234567890"))+1),10),".","/"))="","",(AJ167)-(MID(RIGHT((SUBSTITUTE(LEFT(RIGHT(E167,LEN(E167)-MIN(SEARCH({1,2,3,4,5,6,7,8,9,0},E167&amp;"1234567890"))+1),10),".","/")),10),4,2)&amp;"/"&amp;LEFT((RIGHT((SUBSTITUTE(LEFT(RIGHT(E167,LEN(E167)-MIN(SEARCH({1,2,3,4,5,6,7,8,9,0},E167&amp;"1234567890"))+1),10),".","/")),10)),2)&amp;"/"&amp;RIGHT((SUBSTITUTE(LEFT(RIGHT(E167,LEN(E167)-MIN(SEARCH({1,2,3,4,5,6,7,8,9,0},E167&amp;"1234567890"))+1),10),".","/")),4))))),(AJ167-A167))</f>
        <v>574</v>
      </c>
      <c r="C167" s="334"/>
      <c r="D167" s="294" t="str">
        <f t="shared" ref="D167:D181" si="22">IF(LEFT(U167,7)="MAT RET","R"&amp;"-"&amp;H167&amp;"/"&amp;I167&amp;"-"&amp;TEXT(K167,"0.00")&amp;"X"&amp;IF(Q167="",N167,Q167),IF(N167&lt;570,"FGMKW2","FGCKW2")&amp;"-"&amp;H167&amp;"/"&amp;I167&amp;"-"&amp;TEXT(K167,"0.00")&amp;"X"&amp;IF(Q167="",N167,Q167))</f>
        <v>FGCKW2-304L/2B-001X770</v>
      </c>
      <c r="E167" s="294" t="s">
        <v>5307</v>
      </c>
      <c r="F167" s="294" t="s">
        <v>5308</v>
      </c>
      <c r="G167" s="294" t="s">
        <v>5309</v>
      </c>
      <c r="H167" s="294" t="s">
        <v>230</v>
      </c>
      <c r="I167" s="337" t="s">
        <v>116</v>
      </c>
      <c r="J167" s="149">
        <v>3.79</v>
      </c>
      <c r="K167" s="149">
        <v>1.1499999999999999</v>
      </c>
      <c r="L167" s="149">
        <v>1.1299999999999999</v>
      </c>
      <c r="M167" s="149">
        <v>1.1499999999999999</v>
      </c>
      <c r="N167" s="335">
        <v>770</v>
      </c>
      <c r="O167" s="296">
        <v>0.27</v>
      </c>
      <c r="P167" s="345"/>
      <c r="Q167" s="138">
        <v>770</v>
      </c>
      <c r="R167" s="138"/>
      <c r="S167" s="339"/>
      <c r="T167" s="299"/>
      <c r="U167" s="282" t="s">
        <v>3497</v>
      </c>
      <c r="V167" s="282"/>
      <c r="W167" s="138" t="s">
        <v>116</v>
      </c>
      <c r="X167" s="340">
        <v>44507</v>
      </c>
      <c r="Y167" s="340">
        <v>44507</v>
      </c>
      <c r="Z167" s="340">
        <v>44536</v>
      </c>
      <c r="AA167" s="340"/>
      <c r="AB167" s="340"/>
      <c r="AC167" s="341"/>
      <c r="AD167" s="342" t="s">
        <v>64</v>
      </c>
      <c r="AE167" s="342" t="s">
        <v>154</v>
      </c>
      <c r="AF167" s="284" t="s">
        <v>1246</v>
      </c>
      <c r="AG167" s="284"/>
      <c r="AH167" s="284">
        <v>44496</v>
      </c>
      <c r="AI167" s="284"/>
      <c r="AJ167" s="334">
        <f t="shared" ca="1" si="21"/>
        <v>44963</v>
      </c>
      <c r="AK167" s="342">
        <f t="shared" ca="1" si="15"/>
        <v>467</v>
      </c>
      <c r="AL167" s="342">
        <f t="shared" ca="1" si="16"/>
        <v>427</v>
      </c>
      <c r="AM167" s="284"/>
      <c r="AN167" s="284" t="s">
        <v>5310</v>
      </c>
      <c r="AO167" s="343">
        <v>12.045</v>
      </c>
      <c r="AP167" s="343">
        <v>12.055</v>
      </c>
      <c r="AQ167" s="343">
        <v>12.079999999999998</v>
      </c>
      <c r="AR167" s="343">
        <v>12.084999999999999</v>
      </c>
      <c r="AS167" s="331">
        <f t="shared" ca="1" si="20"/>
        <v>456</v>
      </c>
      <c r="AV167" s="331" t="s">
        <v>136</v>
      </c>
      <c r="BI167" s="347"/>
    </row>
    <row r="168" spans="1:64" s="331" customFormat="1" ht="18" hidden="1" customHeight="1" x14ac:dyDescent="0.35">
      <c r="A168" s="334"/>
      <c r="B168" s="335" t="e">
        <f ca="1">IF(A168="",(IF(ISNUMBER(SUBSTITUTE(LEFT(RIGHT(E168,LEN(E168)-MIN(SEARCH({1,2,3,4,5,6,7,8,9,0},E168&amp;"1234567890"))+1),10),".","/"))=TRUE,AJ168-(SUBSTITUTE(LEFT(RIGHT(E168,LEN(E168)-MIN(SEARCH({1,2,3,4,5,6,7,8,9,0},E168&amp;"1234567890"))+1),10),".","/")),IF((SUBSTITUTE(LEFT(RIGHT(E168,LEN(E168)-MIN(SEARCH({1,2,3,4,5,6,7,8,9,0},E168&amp;"1234567890"))+1),10),".","/"))="","",(AJ168)-(MID(RIGHT((SUBSTITUTE(LEFT(RIGHT(E168,LEN(E168)-MIN(SEARCH({1,2,3,4,5,6,7,8,9,0},E168&amp;"1234567890"))+1),10),".","/")),10),4,2)&amp;"/"&amp;LEFT((RIGHT((SUBSTITUTE(LEFT(RIGHT(E168,LEN(E168)-MIN(SEARCH({1,2,3,4,5,6,7,8,9,0},E168&amp;"1234567890"))+1),10),".","/")),10)),2)&amp;"/"&amp;RIGHT((SUBSTITUTE(LEFT(RIGHT(E168,LEN(E168)-MIN(SEARCH({1,2,3,4,5,6,7,8,9,0},E168&amp;"1234567890"))+1),10),".","/")),4))))),(AJ168-A168))</f>
        <v>#VALUE!</v>
      </c>
      <c r="C168" s="334"/>
      <c r="D168" s="294" t="str">
        <f t="shared" si="22"/>
        <v>FGCKW2-304L/2B-001X760</v>
      </c>
      <c r="E168" s="294" t="s">
        <v>5311</v>
      </c>
      <c r="F168" s="294" t="s">
        <v>5312</v>
      </c>
      <c r="G168" s="294" t="s">
        <v>5313</v>
      </c>
      <c r="H168" s="294" t="s">
        <v>230</v>
      </c>
      <c r="I168" s="337" t="s">
        <v>116</v>
      </c>
      <c r="J168" s="149">
        <v>3.48</v>
      </c>
      <c r="K168" s="149">
        <v>1.2</v>
      </c>
      <c r="L168" s="149">
        <v>1.2</v>
      </c>
      <c r="M168" s="149">
        <v>1.23</v>
      </c>
      <c r="N168" s="335">
        <v>770</v>
      </c>
      <c r="O168" s="296">
        <v>0.30499999999999999</v>
      </c>
      <c r="P168" s="345"/>
      <c r="Q168" s="138">
        <v>760</v>
      </c>
      <c r="R168" s="138"/>
      <c r="S168" s="339"/>
      <c r="T168" s="299"/>
      <c r="U168" s="282" t="s">
        <v>3497</v>
      </c>
      <c r="V168" s="282"/>
      <c r="W168" s="138" t="s">
        <v>116</v>
      </c>
      <c r="X168" s="340">
        <v>44503</v>
      </c>
      <c r="Y168" s="340">
        <v>44503</v>
      </c>
      <c r="Z168" s="340">
        <v>44544</v>
      </c>
      <c r="AA168" s="340"/>
      <c r="AB168" s="340"/>
      <c r="AC168" s="341"/>
      <c r="AD168" s="342" t="s">
        <v>64</v>
      </c>
      <c r="AE168" s="342" t="s">
        <v>154</v>
      </c>
      <c r="AF168" s="284" t="s">
        <v>1239</v>
      </c>
      <c r="AG168" s="284"/>
      <c r="AH168" s="284">
        <v>44496</v>
      </c>
      <c r="AI168" s="284"/>
      <c r="AJ168" s="334">
        <f t="shared" ca="1" si="21"/>
        <v>44963</v>
      </c>
      <c r="AK168" s="342">
        <f t="shared" ca="1" si="15"/>
        <v>467</v>
      </c>
      <c r="AL168" s="342">
        <f t="shared" ca="1" si="16"/>
        <v>419</v>
      </c>
      <c r="AM168" s="284"/>
      <c r="AN168" s="284" t="s">
        <v>5314</v>
      </c>
      <c r="AO168" s="343">
        <v>10.49</v>
      </c>
      <c r="AP168" s="343">
        <v>10.5</v>
      </c>
      <c r="AQ168" s="343">
        <v>10.524999999999999</v>
      </c>
      <c r="AR168" s="343">
        <v>10.53</v>
      </c>
      <c r="AS168" s="331">
        <f t="shared" ca="1" si="20"/>
        <v>460</v>
      </c>
      <c r="AV168" s="331" t="s">
        <v>136</v>
      </c>
      <c r="BI168" s="347"/>
    </row>
    <row r="169" spans="1:64" s="331" customFormat="1" ht="18" hidden="1" customHeight="1" x14ac:dyDescent="0.35">
      <c r="A169" s="334"/>
      <c r="B169" s="335" t="e">
        <f ca="1">IF(A169="",(IF(ISNUMBER(SUBSTITUTE(LEFT(RIGHT(E169,LEN(E169)-MIN(SEARCH({1,2,3,4,5,6,7,8,9,0},E169&amp;"1234567890"))+1),10),".","/"))=TRUE,AJ169-(SUBSTITUTE(LEFT(RIGHT(E169,LEN(E169)-MIN(SEARCH({1,2,3,4,5,6,7,8,9,0},E169&amp;"1234567890"))+1),10),".","/")),IF((SUBSTITUTE(LEFT(RIGHT(E169,LEN(E169)-MIN(SEARCH({1,2,3,4,5,6,7,8,9,0},E169&amp;"1234567890"))+1),10),".","/"))="","",(AJ169)-(MID(RIGHT((SUBSTITUTE(LEFT(RIGHT(E169,LEN(E169)-MIN(SEARCH({1,2,3,4,5,6,7,8,9,0},E169&amp;"1234567890"))+1),10),".","/")),10),4,2)&amp;"/"&amp;LEFT((RIGHT((SUBSTITUTE(LEFT(RIGHT(E169,LEN(E169)-MIN(SEARCH({1,2,3,4,5,6,7,8,9,0},E169&amp;"1234567890"))+1),10),".","/")),10)),2)&amp;"/"&amp;RIGHT((SUBSTITUTE(LEFT(RIGHT(E169,LEN(E169)-MIN(SEARCH({1,2,3,4,5,6,7,8,9,0},E169&amp;"1234567890"))+1),10),".","/")),4))))),(AJ169-A169))</f>
        <v>#VALUE!</v>
      </c>
      <c r="C169" s="334"/>
      <c r="D169" s="294" t="str">
        <f t="shared" si="22"/>
        <v>FGCKW2-J3/2B-001XMULTI</v>
      </c>
      <c r="E169" s="294" t="s">
        <v>5315</v>
      </c>
      <c r="F169" s="294" t="s">
        <v>973</v>
      </c>
      <c r="G169" s="294" t="s">
        <v>5316</v>
      </c>
      <c r="H169" s="294" t="s">
        <v>29</v>
      </c>
      <c r="I169" s="337" t="s">
        <v>116</v>
      </c>
      <c r="J169" s="149">
        <v>0.92</v>
      </c>
      <c r="K169" s="149">
        <v>0.92</v>
      </c>
      <c r="L169" s="149"/>
      <c r="M169" s="149"/>
      <c r="N169" s="335">
        <v>620</v>
      </c>
      <c r="O169" s="296">
        <v>0.34499999999999997</v>
      </c>
      <c r="P169" s="345"/>
      <c r="Q169" s="138" t="s">
        <v>3598</v>
      </c>
      <c r="R169" s="295" t="s">
        <v>5317</v>
      </c>
      <c r="S169" s="339"/>
      <c r="T169" s="299"/>
      <c r="U169" s="282" t="s">
        <v>3497</v>
      </c>
      <c r="V169" s="282"/>
      <c r="W169" s="138"/>
      <c r="X169" s="340"/>
      <c r="Y169" s="340"/>
      <c r="Z169" s="340"/>
      <c r="AA169" s="340"/>
      <c r="AB169" s="340"/>
      <c r="AC169" s="341"/>
      <c r="AD169" s="342" t="s">
        <v>116</v>
      </c>
      <c r="AE169" s="342" t="s">
        <v>322</v>
      </c>
      <c r="AF169" s="284"/>
      <c r="AG169" s="284"/>
      <c r="AH169" s="284">
        <v>44398</v>
      </c>
      <c r="AI169" s="284"/>
      <c r="AJ169" s="334">
        <f t="shared" ca="1" si="21"/>
        <v>44963</v>
      </c>
      <c r="AK169" s="342">
        <f t="shared" ca="1" si="15"/>
        <v>565</v>
      </c>
      <c r="AL169" s="342" t="str">
        <f t="shared" si="16"/>
        <v/>
      </c>
      <c r="AM169" s="284"/>
      <c r="AN169" s="284" t="s">
        <v>976</v>
      </c>
      <c r="AO169" s="343">
        <v>9.9329999999999998</v>
      </c>
      <c r="AP169" s="343">
        <v>9.972999999999999</v>
      </c>
      <c r="AQ169" s="343">
        <v>9.9979999999999976</v>
      </c>
      <c r="AR169" s="343">
        <v>10.002999999999998</v>
      </c>
      <c r="AS169" s="331" t="str">
        <f t="shared" si="20"/>
        <v/>
      </c>
      <c r="AV169" s="331" t="s">
        <v>136</v>
      </c>
      <c r="BI169" s="347"/>
    </row>
    <row r="170" spans="1:64" s="331" customFormat="1" ht="18" hidden="1" customHeight="1" x14ac:dyDescent="0.35">
      <c r="A170" s="334"/>
      <c r="B170" s="335" t="e">
        <f ca="1">IF(A170="",(IF(ISNUMBER(SUBSTITUTE(LEFT(RIGHT(E170,LEN(E170)-MIN(SEARCH({1,2,3,4,5,6,7,8,9,0},E170&amp;"1234567890"))+1),10),".","/"))=TRUE,AJ170-(SUBSTITUTE(LEFT(RIGHT(E170,LEN(E170)-MIN(SEARCH({1,2,3,4,5,6,7,8,9,0},E170&amp;"1234567890"))+1),10),".","/")),IF((SUBSTITUTE(LEFT(RIGHT(E170,LEN(E170)-MIN(SEARCH({1,2,3,4,5,6,7,8,9,0},E170&amp;"1234567890"))+1),10),".","/"))="","",(AJ170)-(MID(RIGHT((SUBSTITUTE(LEFT(RIGHT(E170,LEN(E170)-MIN(SEARCH({1,2,3,4,5,6,7,8,9,0},E170&amp;"1234567890"))+1),10),".","/")),10),4,2)&amp;"/"&amp;LEFT((RIGHT((SUBSTITUTE(LEFT(RIGHT(E170,LEN(E170)-MIN(SEARCH({1,2,3,4,5,6,7,8,9,0},E170&amp;"1234567890"))+1),10),".","/")),10)),2)&amp;"/"&amp;RIGHT((SUBSTITUTE(LEFT(RIGHT(E170,LEN(E170)-MIN(SEARCH({1,2,3,4,5,6,7,8,9,0},E170&amp;"1234567890"))+1),10),".","/")),4))))),(AJ170-A170))</f>
        <v>#VALUE!</v>
      </c>
      <c r="C170" s="334"/>
      <c r="D170" s="294" t="str">
        <f t="shared" si="22"/>
        <v>FGCKW2-304L/2B-001XMULTI</v>
      </c>
      <c r="E170" s="294" t="s">
        <v>5318</v>
      </c>
      <c r="F170" s="294" t="s">
        <v>5294</v>
      </c>
      <c r="G170" s="294" t="s">
        <v>5319</v>
      </c>
      <c r="H170" s="294" t="s">
        <v>230</v>
      </c>
      <c r="I170" s="337" t="s">
        <v>116</v>
      </c>
      <c r="J170" s="149">
        <v>3.48</v>
      </c>
      <c r="K170" s="149">
        <v>0.95</v>
      </c>
      <c r="L170" s="149"/>
      <c r="M170" s="149"/>
      <c r="N170" s="335">
        <v>770</v>
      </c>
      <c r="O170" s="296">
        <v>0.48</v>
      </c>
      <c r="P170" s="345"/>
      <c r="Q170" s="138" t="s">
        <v>3598</v>
      </c>
      <c r="R170" s="295" t="s">
        <v>5320</v>
      </c>
      <c r="S170" s="339"/>
      <c r="T170" s="299"/>
      <c r="U170" s="282" t="s">
        <v>3497</v>
      </c>
      <c r="V170" s="282"/>
      <c r="W170" s="138" t="s">
        <v>116</v>
      </c>
      <c r="X170" s="340">
        <v>44476</v>
      </c>
      <c r="Y170" s="340">
        <v>44477</v>
      </c>
      <c r="Z170" s="340">
        <v>44548</v>
      </c>
      <c r="AA170" s="340"/>
      <c r="AB170" s="340"/>
      <c r="AC170" s="282"/>
      <c r="AD170" s="342" t="s">
        <v>64</v>
      </c>
      <c r="AE170" s="342" t="s">
        <v>154</v>
      </c>
      <c r="AF170" s="284" t="s">
        <v>1183</v>
      </c>
      <c r="AG170" s="284"/>
      <c r="AH170" s="284">
        <v>44466</v>
      </c>
      <c r="AI170" s="284"/>
      <c r="AJ170" s="334">
        <f t="shared" ca="1" si="21"/>
        <v>44963</v>
      </c>
      <c r="AK170" s="342">
        <f t="shared" ca="1" si="15"/>
        <v>497</v>
      </c>
      <c r="AL170" s="342">
        <f t="shared" ca="1" si="16"/>
        <v>415</v>
      </c>
      <c r="AM170" s="284"/>
      <c r="AN170" s="284" t="s">
        <v>5296</v>
      </c>
      <c r="AO170" s="343">
        <v>10.404999999999999</v>
      </c>
      <c r="AP170" s="343">
        <v>10.414999999999999</v>
      </c>
      <c r="AQ170" s="343">
        <v>10.439999999999998</v>
      </c>
      <c r="AR170" s="343">
        <v>10.444999999999999</v>
      </c>
      <c r="AS170" s="331">
        <f t="shared" ca="1" si="20"/>
        <v>486</v>
      </c>
      <c r="AV170" s="331" t="s">
        <v>136</v>
      </c>
      <c r="BI170" s="347"/>
    </row>
    <row r="171" spans="1:64" s="331" customFormat="1" ht="18" hidden="1" customHeight="1" x14ac:dyDescent="0.35">
      <c r="A171" s="334"/>
      <c r="B171" s="335" t="e">
        <f ca="1">IF(A171="",(IF(ISNUMBER(SUBSTITUTE(LEFT(RIGHT(E171,LEN(E171)-MIN(SEARCH({1,2,3,4,5,6,7,8,9,0},E171&amp;"1234567890"))+1),10),".","/"))=TRUE,AJ171-(SUBSTITUTE(LEFT(RIGHT(E171,LEN(E171)-MIN(SEARCH({1,2,3,4,5,6,7,8,9,0},E171&amp;"1234567890"))+1),10),".","/")),IF((SUBSTITUTE(LEFT(RIGHT(E171,LEN(E171)-MIN(SEARCH({1,2,3,4,5,6,7,8,9,0},E171&amp;"1234567890"))+1),10),".","/"))="","",(AJ171)-(MID(RIGHT((SUBSTITUTE(LEFT(RIGHT(E171,LEN(E171)-MIN(SEARCH({1,2,3,4,5,6,7,8,9,0},E171&amp;"1234567890"))+1),10),".","/")),10),4,2)&amp;"/"&amp;LEFT((RIGHT((SUBSTITUTE(LEFT(RIGHT(E171,LEN(E171)-MIN(SEARCH({1,2,3,4,5,6,7,8,9,0},E171&amp;"1234567890"))+1),10),".","/")),10)),2)&amp;"/"&amp;RIGHT((SUBSTITUTE(LEFT(RIGHT(E171,LEN(E171)-MIN(SEARCH({1,2,3,4,5,6,7,8,9,0},E171&amp;"1234567890"))+1),10),".","/")),4))))),(AJ171-A171))</f>
        <v>#VALUE!</v>
      </c>
      <c r="C171" s="334"/>
      <c r="D171" s="294" t="str">
        <f t="shared" si="22"/>
        <v>FGCKW2-J3/2B-000X580</v>
      </c>
      <c r="E171" s="294" t="s">
        <v>5321</v>
      </c>
      <c r="F171" s="294" t="s">
        <v>5322</v>
      </c>
      <c r="G171" s="294" t="s">
        <v>5323</v>
      </c>
      <c r="H171" s="294" t="s">
        <v>29</v>
      </c>
      <c r="I171" s="337" t="s">
        <v>116</v>
      </c>
      <c r="J171" s="149">
        <v>0.65</v>
      </c>
      <c r="K171" s="149">
        <v>0.35</v>
      </c>
      <c r="L171" s="149">
        <v>0.34</v>
      </c>
      <c r="M171" s="149">
        <v>0.35</v>
      </c>
      <c r="N171" s="335">
        <v>588</v>
      </c>
      <c r="O171" s="296">
        <v>0.30499999999999999</v>
      </c>
      <c r="P171" s="345"/>
      <c r="Q171" s="138">
        <v>580</v>
      </c>
      <c r="R171" s="138"/>
      <c r="S171" s="339"/>
      <c r="T171" s="299"/>
      <c r="U171" s="282" t="s">
        <v>3497</v>
      </c>
      <c r="V171" s="282" t="s">
        <v>568</v>
      </c>
      <c r="W171" s="138" t="s">
        <v>116</v>
      </c>
      <c r="X171" s="340" t="s">
        <v>5324</v>
      </c>
      <c r="Y171" s="340" t="s">
        <v>5325</v>
      </c>
      <c r="Z171" s="340" t="s">
        <v>5326</v>
      </c>
      <c r="AA171" s="340">
        <v>44379</v>
      </c>
      <c r="AB171" s="340"/>
      <c r="AC171" s="282"/>
      <c r="AD171" s="342" t="s">
        <v>64</v>
      </c>
      <c r="AE171" s="342" t="s">
        <v>132</v>
      </c>
      <c r="AF171" s="284" t="s">
        <v>580</v>
      </c>
      <c r="AG171" s="284">
        <v>44303</v>
      </c>
      <c r="AH171" s="284">
        <v>44327</v>
      </c>
      <c r="AI171" s="284"/>
      <c r="AJ171" s="334">
        <f t="shared" ca="1" si="21"/>
        <v>44963</v>
      </c>
      <c r="AK171" s="342">
        <f t="shared" ca="1" si="15"/>
        <v>636</v>
      </c>
      <c r="AL171" s="342">
        <f t="shared" ca="1" si="16"/>
        <v>421</v>
      </c>
      <c r="AM171" s="284" t="s">
        <v>5327</v>
      </c>
      <c r="AN171" s="284" t="s">
        <v>617</v>
      </c>
      <c r="AO171" s="343">
        <v>8.2449999999999992</v>
      </c>
      <c r="AP171" s="343">
        <v>8.26</v>
      </c>
      <c r="AQ171" s="343">
        <v>8.2849999999999984</v>
      </c>
      <c r="AR171" s="343">
        <v>8.2899999999999991</v>
      </c>
      <c r="AS171" s="331" t="e">
        <f t="shared" ca="1" si="20"/>
        <v>#VALUE!</v>
      </c>
      <c r="AV171" s="331" t="s">
        <v>136</v>
      </c>
      <c r="BI171" s="347"/>
    </row>
    <row r="172" spans="1:64" s="331" customFormat="1" ht="18" hidden="1" customHeight="1" x14ac:dyDescent="0.35">
      <c r="A172" s="334"/>
      <c r="B172" s="335" t="e">
        <f ca="1">IF(A172="",(IF(ISNUMBER(SUBSTITUTE(LEFT(RIGHT(E172,LEN(E172)-MIN(SEARCH({1,2,3,4,5,6,7,8,9,0},E172&amp;"1234567890"))+1),10),".","/"))=TRUE,AJ172-(SUBSTITUTE(LEFT(RIGHT(E172,LEN(E172)-MIN(SEARCH({1,2,3,4,5,6,7,8,9,0},E172&amp;"1234567890"))+1),10),".","/")),IF((SUBSTITUTE(LEFT(RIGHT(E172,LEN(E172)-MIN(SEARCH({1,2,3,4,5,6,7,8,9,0},E172&amp;"1234567890"))+1),10),".","/"))="","",(AJ172)-(MID(RIGHT((SUBSTITUTE(LEFT(RIGHT(E172,LEN(E172)-MIN(SEARCH({1,2,3,4,5,6,7,8,9,0},E172&amp;"1234567890"))+1),10),".","/")),10),4,2)&amp;"/"&amp;LEFT((RIGHT((SUBSTITUTE(LEFT(RIGHT(E172,LEN(E172)-MIN(SEARCH({1,2,3,4,5,6,7,8,9,0},E172&amp;"1234567890"))+1),10),".","/")),10)),2)&amp;"/"&amp;RIGHT((SUBSTITUTE(LEFT(RIGHT(E172,LEN(E172)-MIN(SEARCH({1,2,3,4,5,6,7,8,9,0},E172&amp;"1234567890"))+1),10),".","/")),4))))),(AJ172-A172))</f>
        <v>#VALUE!</v>
      </c>
      <c r="C172" s="334"/>
      <c r="D172" s="294" t="str">
        <f t="shared" si="22"/>
        <v>FGCKW2-J3/2B-001X595</v>
      </c>
      <c r="E172" s="294" t="s">
        <v>5328</v>
      </c>
      <c r="F172" s="294" t="s">
        <v>5329</v>
      </c>
      <c r="G172" s="294" t="s">
        <v>5330</v>
      </c>
      <c r="H172" s="294" t="s">
        <v>29</v>
      </c>
      <c r="I172" s="337" t="s">
        <v>116</v>
      </c>
      <c r="J172" s="149">
        <v>2.4</v>
      </c>
      <c r="K172" s="149">
        <v>0.92</v>
      </c>
      <c r="L172" s="149">
        <v>0.91</v>
      </c>
      <c r="M172" s="149">
        <v>0.94</v>
      </c>
      <c r="N172" s="335">
        <v>595</v>
      </c>
      <c r="O172" s="296">
        <v>0.25</v>
      </c>
      <c r="P172" s="345"/>
      <c r="Q172" s="138">
        <v>595</v>
      </c>
      <c r="R172" s="138"/>
      <c r="S172" s="339"/>
      <c r="T172" s="299"/>
      <c r="U172" s="282" t="s">
        <v>3497</v>
      </c>
      <c r="V172" s="282"/>
      <c r="W172" s="138" t="s">
        <v>116</v>
      </c>
      <c r="X172" s="340">
        <v>44553</v>
      </c>
      <c r="Y172" s="340">
        <v>44553</v>
      </c>
      <c r="Z172" s="340">
        <v>44554</v>
      </c>
      <c r="AA172" s="340"/>
      <c r="AB172" s="340"/>
      <c r="AC172" s="341"/>
      <c r="AD172" s="342" t="s">
        <v>64</v>
      </c>
      <c r="AE172" s="342" t="s">
        <v>132</v>
      </c>
      <c r="AF172" s="284" t="s">
        <v>580</v>
      </c>
      <c r="AG172" s="284">
        <v>44303</v>
      </c>
      <c r="AH172" s="284">
        <v>44327</v>
      </c>
      <c r="AI172" s="284"/>
      <c r="AJ172" s="334">
        <f t="shared" ca="1" si="21"/>
        <v>44963</v>
      </c>
      <c r="AK172" s="342">
        <f t="shared" ca="1" si="15"/>
        <v>636</v>
      </c>
      <c r="AL172" s="342">
        <f t="shared" ca="1" si="16"/>
        <v>409</v>
      </c>
      <c r="AM172" s="284" t="s">
        <v>5331</v>
      </c>
      <c r="AN172" s="284" t="s">
        <v>586</v>
      </c>
      <c r="AO172" s="343">
        <v>8.2690000000000001</v>
      </c>
      <c r="AP172" s="343">
        <v>8.2840000000000007</v>
      </c>
      <c r="AQ172" s="343">
        <v>8.3089999999999993</v>
      </c>
      <c r="AR172" s="343">
        <v>8.3140000000000001</v>
      </c>
      <c r="AS172" s="331">
        <f t="shared" ca="1" si="20"/>
        <v>410</v>
      </c>
      <c r="AV172" s="331" t="s">
        <v>136</v>
      </c>
      <c r="BI172" s="347"/>
    </row>
    <row r="173" spans="1:64" s="331" customFormat="1" ht="18" hidden="1" customHeight="1" x14ac:dyDescent="0.35">
      <c r="A173" s="334"/>
      <c r="B173" s="335" t="e">
        <f ca="1">IF(A173="",(IF(ISNUMBER(SUBSTITUTE(LEFT(RIGHT(E173,LEN(E173)-MIN(SEARCH({1,2,3,4,5,6,7,8,9,0},E173&amp;"1234567890"))+1),10),".","/"))=TRUE,AJ173-(SUBSTITUTE(LEFT(RIGHT(E173,LEN(E173)-MIN(SEARCH({1,2,3,4,5,6,7,8,9,0},E173&amp;"1234567890"))+1),10),".","/")),IF((SUBSTITUTE(LEFT(RIGHT(E173,LEN(E173)-MIN(SEARCH({1,2,3,4,5,6,7,8,9,0},E173&amp;"1234567890"))+1),10),".","/"))="","",(AJ173)-(MID(RIGHT((SUBSTITUTE(LEFT(RIGHT(E173,LEN(E173)-MIN(SEARCH({1,2,3,4,5,6,7,8,9,0},E173&amp;"1234567890"))+1),10),".","/")),10),4,2)&amp;"/"&amp;LEFT((RIGHT((SUBSTITUTE(LEFT(RIGHT(E173,LEN(E173)-MIN(SEARCH({1,2,3,4,5,6,7,8,9,0},E173&amp;"1234567890"))+1),10),".","/")),10)),2)&amp;"/"&amp;RIGHT((SUBSTITUTE(LEFT(RIGHT(E173,LEN(E173)-MIN(SEARCH({1,2,3,4,5,6,7,8,9,0},E173&amp;"1234567890"))+1),10),".","/")),4))))),(AJ173-A173))</f>
        <v>#VALUE!</v>
      </c>
      <c r="C173" s="334"/>
      <c r="D173" s="294" t="str">
        <f t="shared" si="22"/>
        <v>FGCKW2-316L/2B-001X760</v>
      </c>
      <c r="E173" s="294" t="s">
        <v>5332</v>
      </c>
      <c r="F173" s="294" t="s">
        <v>5333</v>
      </c>
      <c r="G173" s="294" t="s">
        <v>5334</v>
      </c>
      <c r="H173" s="294" t="s">
        <v>148</v>
      </c>
      <c r="I173" s="337" t="s">
        <v>116</v>
      </c>
      <c r="J173" s="149">
        <v>3.79</v>
      </c>
      <c r="K173" s="149">
        <v>1.3</v>
      </c>
      <c r="L173" s="149">
        <v>1.27</v>
      </c>
      <c r="M173" s="149">
        <v>1.31</v>
      </c>
      <c r="N173" s="335">
        <v>770</v>
      </c>
      <c r="O173" s="296">
        <v>0.15</v>
      </c>
      <c r="P173" s="345"/>
      <c r="Q173" s="138">
        <v>760</v>
      </c>
      <c r="R173" s="138"/>
      <c r="S173" s="339"/>
      <c r="T173" s="299"/>
      <c r="U173" s="282" t="s">
        <v>3497</v>
      </c>
      <c r="V173" s="282"/>
      <c r="W173" s="138" t="s">
        <v>116</v>
      </c>
      <c r="X173" s="340">
        <v>44506</v>
      </c>
      <c r="Y173" s="340">
        <v>44506</v>
      </c>
      <c r="Z173" s="340">
        <v>44558</v>
      </c>
      <c r="AA173" s="340"/>
      <c r="AB173" s="340"/>
      <c r="AC173" s="341"/>
      <c r="AD173" s="342" t="s">
        <v>64</v>
      </c>
      <c r="AE173" s="342" t="s">
        <v>154</v>
      </c>
      <c r="AF173" s="284" t="s">
        <v>1190</v>
      </c>
      <c r="AG173" s="284"/>
      <c r="AH173" s="284">
        <v>44496</v>
      </c>
      <c r="AI173" s="284"/>
      <c r="AJ173" s="334">
        <f t="shared" ca="1" si="21"/>
        <v>44963</v>
      </c>
      <c r="AK173" s="342">
        <f t="shared" ca="1" si="15"/>
        <v>467</v>
      </c>
      <c r="AL173" s="342">
        <f t="shared" ca="1" si="16"/>
        <v>405</v>
      </c>
      <c r="AM173" s="284"/>
      <c r="AN173" s="284" t="s">
        <v>5335</v>
      </c>
      <c r="AO173" s="343">
        <v>10.595000000000001</v>
      </c>
      <c r="AP173" s="343">
        <v>10.605</v>
      </c>
      <c r="AQ173" s="343">
        <v>10.629999999999999</v>
      </c>
      <c r="AR173" s="343">
        <v>10.635</v>
      </c>
      <c r="AS173" s="331">
        <f t="shared" ca="1" si="20"/>
        <v>457</v>
      </c>
      <c r="AV173" s="331" t="s">
        <v>136</v>
      </c>
      <c r="BI173" s="347"/>
    </row>
    <row r="174" spans="1:64" s="331" customFormat="1" ht="18" hidden="1" customHeight="1" x14ac:dyDescent="0.35">
      <c r="A174" s="334"/>
      <c r="B174" s="335">
        <f ca="1">IF(A174="",(IF(ISNUMBER(SUBSTITUTE(LEFT(RIGHT(E174,LEN(E174)-MIN(SEARCH({1,2,3,4,5,6,7,8,9,0},E174&amp;"1234567890"))+1),10),".","/"))=TRUE,AJ174-(SUBSTITUTE(LEFT(RIGHT(E174,LEN(E174)-MIN(SEARCH({1,2,3,4,5,6,7,8,9,0},E174&amp;"1234567890"))+1),10),".","/")),IF((SUBSTITUTE(LEFT(RIGHT(E174,LEN(E174)-MIN(SEARCH({1,2,3,4,5,6,7,8,9,0},E174&amp;"1234567890"))+1),10),".","/"))="","",(AJ174)-(MID(RIGHT((SUBSTITUTE(LEFT(RIGHT(E174,LEN(E174)-MIN(SEARCH({1,2,3,4,5,6,7,8,9,0},E174&amp;"1234567890"))+1),10),".","/")),10),4,2)&amp;"/"&amp;LEFT((RIGHT((SUBSTITUTE(LEFT(RIGHT(E174,LEN(E174)-MIN(SEARCH({1,2,3,4,5,6,7,8,9,0},E174&amp;"1234567890"))+1),10),".","/")),10)),2)&amp;"/"&amp;RIGHT((SUBSTITUTE(LEFT(RIGHT(E174,LEN(E174)-MIN(SEARCH({1,2,3,4,5,6,7,8,9,0},E174&amp;"1234567890"))+1),10),".","/")),4))))),(AJ174-A174))</f>
        <v>67</v>
      </c>
      <c r="C174" s="334"/>
      <c r="D174" s="294" t="str">
        <f t="shared" si="22"/>
        <v>FGCKW2-304L/2B-001X770</v>
      </c>
      <c r="E174" s="294" t="s">
        <v>5336</v>
      </c>
      <c r="F174" s="294" t="s">
        <v>5337</v>
      </c>
      <c r="G174" s="294" t="s">
        <v>5338</v>
      </c>
      <c r="H174" s="294" t="s">
        <v>230</v>
      </c>
      <c r="I174" s="337" t="s">
        <v>116</v>
      </c>
      <c r="J174" s="149">
        <v>3</v>
      </c>
      <c r="K174" s="149">
        <v>0.9</v>
      </c>
      <c r="L174" s="149">
        <v>0.94</v>
      </c>
      <c r="M174" s="149">
        <v>0.95</v>
      </c>
      <c r="N174" s="335">
        <v>770</v>
      </c>
      <c r="O174" s="296">
        <v>1.73</v>
      </c>
      <c r="P174" s="345"/>
      <c r="Q174" s="138">
        <v>770</v>
      </c>
      <c r="R174" s="339"/>
      <c r="S174" s="339"/>
      <c r="T174" s="299"/>
      <c r="U174" s="282" t="s">
        <v>3497</v>
      </c>
      <c r="V174" s="282"/>
      <c r="W174" s="138" t="s">
        <v>116</v>
      </c>
      <c r="X174" s="340">
        <v>44536</v>
      </c>
      <c r="Y174" s="340">
        <v>44536</v>
      </c>
      <c r="Z174" s="340"/>
      <c r="AA174" s="340"/>
      <c r="AB174" s="340"/>
      <c r="AC174" s="341"/>
      <c r="AD174" s="342" t="s">
        <v>64</v>
      </c>
      <c r="AE174" s="342" t="s">
        <v>154</v>
      </c>
      <c r="AF174" s="284" t="s">
        <v>1190</v>
      </c>
      <c r="AG174" s="284"/>
      <c r="AH174" s="284">
        <v>44496</v>
      </c>
      <c r="AI174" s="284"/>
      <c r="AJ174" s="334">
        <f t="shared" ca="1" si="21"/>
        <v>44963</v>
      </c>
      <c r="AK174" s="342">
        <f t="shared" ca="1" si="15"/>
        <v>467</v>
      </c>
      <c r="AL174" s="342" t="str">
        <f t="shared" si="16"/>
        <v/>
      </c>
      <c r="AM174" s="284"/>
      <c r="AN174" s="284" t="s">
        <v>2774</v>
      </c>
      <c r="AO174" s="343">
        <v>10.445</v>
      </c>
      <c r="AP174" s="343">
        <v>10.455</v>
      </c>
      <c r="AQ174" s="343">
        <v>10.479999999999999</v>
      </c>
      <c r="AR174" s="343">
        <v>10.484999999999999</v>
      </c>
      <c r="AS174" s="331">
        <f t="shared" ca="1" si="20"/>
        <v>427</v>
      </c>
      <c r="AV174" s="331" t="s">
        <v>136</v>
      </c>
      <c r="BI174" s="347"/>
    </row>
    <row r="175" spans="1:64" s="331" customFormat="1" ht="18" hidden="1" customHeight="1" x14ac:dyDescent="0.35">
      <c r="A175" s="334"/>
      <c r="B175" s="335">
        <f ca="1">IF(A175="",(IF(ISNUMBER(SUBSTITUTE(LEFT(RIGHT(E175,LEN(E175)-MIN(SEARCH({1,2,3,4,5,6,7,8,9,0},E175&amp;"1234567890"))+1),10),".","/"))=TRUE,AJ175-(SUBSTITUTE(LEFT(RIGHT(E175,LEN(E175)-MIN(SEARCH({1,2,3,4,5,6,7,8,9,0},E175&amp;"1234567890"))+1),10),".","/")),IF((SUBSTITUTE(LEFT(RIGHT(E175,LEN(E175)-MIN(SEARCH({1,2,3,4,5,6,7,8,9,0},E175&amp;"1234567890"))+1),10),".","/"))="","",(AJ175)-(MID(RIGHT((SUBSTITUTE(LEFT(RIGHT(E175,LEN(E175)-MIN(SEARCH({1,2,3,4,5,6,7,8,9,0},E175&amp;"1234567890"))+1),10),".","/")),10),4,2)&amp;"/"&amp;LEFT((RIGHT((SUBSTITUTE(LEFT(RIGHT(E175,LEN(E175)-MIN(SEARCH({1,2,3,4,5,6,7,8,9,0},E175&amp;"1234567890"))+1),10),".","/")),10)),2)&amp;"/"&amp;RIGHT((SUBSTITUTE(LEFT(RIGHT(E175,LEN(E175)-MIN(SEARCH({1,2,3,4,5,6,7,8,9,0},E175&amp;"1234567890"))+1),10),".","/")),4))))),(AJ175-A175))</f>
        <v>219</v>
      </c>
      <c r="C175" s="334"/>
      <c r="D175" s="294" t="str">
        <f t="shared" si="22"/>
        <v>FGCKW2-304L/2B-001X765</v>
      </c>
      <c r="E175" s="294" t="s">
        <v>3494</v>
      </c>
      <c r="F175" s="294" t="s">
        <v>3492</v>
      </c>
      <c r="G175" s="294" t="s">
        <v>3496</v>
      </c>
      <c r="H175" s="294" t="s">
        <v>230</v>
      </c>
      <c r="I175" s="337" t="s">
        <v>116</v>
      </c>
      <c r="J175" s="149">
        <v>2.92</v>
      </c>
      <c r="K175" s="149">
        <v>0.95</v>
      </c>
      <c r="L175" s="149">
        <v>0.91</v>
      </c>
      <c r="M175" s="149">
        <v>0.92</v>
      </c>
      <c r="N175" s="335">
        <v>768</v>
      </c>
      <c r="O175" s="296">
        <v>0.28999999999999998</v>
      </c>
      <c r="P175" s="345"/>
      <c r="Q175" s="138">
        <v>765</v>
      </c>
      <c r="R175" s="339"/>
      <c r="S175" s="339"/>
      <c r="T175" s="299"/>
      <c r="U175" s="282" t="s">
        <v>3497</v>
      </c>
      <c r="V175" s="282"/>
      <c r="W175" s="138" t="s">
        <v>116</v>
      </c>
      <c r="X175" s="340">
        <v>44577</v>
      </c>
      <c r="Y175" s="340">
        <v>44578</v>
      </c>
      <c r="Z175" s="340">
        <v>44590</v>
      </c>
      <c r="AA175" s="340"/>
      <c r="AB175" s="340"/>
      <c r="AC175" s="341"/>
      <c r="AD175" s="342" t="s">
        <v>64</v>
      </c>
      <c r="AE175" s="342" t="s">
        <v>154</v>
      </c>
      <c r="AF175" s="284" t="s">
        <v>1296</v>
      </c>
      <c r="AG175" s="284"/>
      <c r="AH175" s="284">
        <v>44516</v>
      </c>
      <c r="AI175" s="284"/>
      <c r="AJ175" s="334">
        <f t="shared" ca="1" si="21"/>
        <v>44963</v>
      </c>
      <c r="AK175" s="342">
        <f t="shared" ca="1" si="15"/>
        <v>447</v>
      </c>
      <c r="AL175" s="342">
        <f t="shared" ca="1" si="16"/>
        <v>373</v>
      </c>
      <c r="AM175" s="284"/>
      <c r="AN175" s="284" t="s">
        <v>2696</v>
      </c>
      <c r="AO175" s="343">
        <v>7.93</v>
      </c>
      <c r="AP175" s="343">
        <v>7.94</v>
      </c>
      <c r="AQ175" s="343">
        <v>7.9650000000000007</v>
      </c>
      <c r="AR175" s="343">
        <v>7.9700000000000006</v>
      </c>
      <c r="AS175" s="331">
        <f t="shared" ca="1" si="20"/>
        <v>385</v>
      </c>
      <c r="AV175" s="331" t="s">
        <v>136</v>
      </c>
      <c r="BI175" s="347"/>
    </row>
    <row r="176" spans="1:64" s="331" customFormat="1" ht="18" hidden="1" customHeight="1" x14ac:dyDescent="0.35">
      <c r="A176" s="334"/>
      <c r="B176" s="335" t="e">
        <f ca="1">IF(A176="",(IF(ISNUMBER(SUBSTITUTE(LEFT(RIGHT(E176,LEN(E176)-MIN(SEARCH({1,2,3,4,5,6,7,8,9,0},E176&amp;"1234567890"))+1),10),".","/"))=TRUE,AJ176-(SUBSTITUTE(LEFT(RIGHT(E176,LEN(E176)-MIN(SEARCH({1,2,3,4,5,6,7,8,9,0},E176&amp;"1234567890"))+1),10),".","/")),IF((SUBSTITUTE(LEFT(RIGHT(E176,LEN(E176)-MIN(SEARCH({1,2,3,4,5,6,7,8,9,0},E176&amp;"1234567890"))+1),10),".","/"))="","",(AJ176)-(MID(RIGHT((SUBSTITUTE(LEFT(RIGHT(E176,LEN(E176)-MIN(SEARCH({1,2,3,4,5,6,7,8,9,0},E176&amp;"1234567890"))+1),10),".","/")),10),4,2)&amp;"/"&amp;LEFT((RIGHT((SUBSTITUTE(LEFT(RIGHT(E176,LEN(E176)-MIN(SEARCH({1,2,3,4,5,6,7,8,9,0},E176&amp;"1234567890"))+1),10),".","/")),10)),2)&amp;"/"&amp;RIGHT((SUBSTITUTE(LEFT(RIGHT(E176,LEN(E176)-MIN(SEARCH({1,2,3,4,5,6,7,8,9,0},E176&amp;"1234567890"))+1),10),".","/")),4))))),(AJ176-A176))</f>
        <v>#VALUE!</v>
      </c>
      <c r="C176" s="334"/>
      <c r="D176" s="294" t="str">
        <f t="shared" si="22"/>
        <v>FGCKW2-304L/2B-001X760</v>
      </c>
      <c r="E176" s="294" t="s">
        <v>3606</v>
      </c>
      <c r="F176" s="294" t="s">
        <v>2671</v>
      </c>
      <c r="G176" s="294" t="s">
        <v>3607</v>
      </c>
      <c r="H176" s="294" t="s">
        <v>230</v>
      </c>
      <c r="I176" s="337" t="s">
        <v>116</v>
      </c>
      <c r="J176" s="149">
        <v>3.78</v>
      </c>
      <c r="K176" s="149">
        <v>1.45</v>
      </c>
      <c r="L176" s="149">
        <v>1.4</v>
      </c>
      <c r="M176" s="149">
        <v>1.39</v>
      </c>
      <c r="N176" s="335">
        <v>770</v>
      </c>
      <c r="O176" s="296">
        <v>0.44500000000000001</v>
      </c>
      <c r="P176" s="345"/>
      <c r="Q176" s="138">
        <v>760</v>
      </c>
      <c r="R176" s="339"/>
      <c r="S176" s="339"/>
      <c r="T176" s="299"/>
      <c r="U176" s="282" t="s">
        <v>3497</v>
      </c>
      <c r="V176" s="282"/>
      <c r="W176" s="138" t="s">
        <v>116</v>
      </c>
      <c r="X176" s="340">
        <v>44602</v>
      </c>
      <c r="Y176" s="340">
        <v>44602</v>
      </c>
      <c r="Z176" s="340"/>
      <c r="AA176" s="340"/>
      <c r="AB176" s="340"/>
      <c r="AC176" s="341" t="s">
        <v>1395</v>
      </c>
      <c r="AD176" s="342" t="s">
        <v>64</v>
      </c>
      <c r="AE176" s="342" t="s">
        <v>154</v>
      </c>
      <c r="AF176" s="284" t="s">
        <v>1330</v>
      </c>
      <c r="AG176" s="284"/>
      <c r="AH176" s="284">
        <v>44554</v>
      </c>
      <c r="AI176" s="284"/>
      <c r="AJ176" s="334">
        <f t="shared" ca="1" si="21"/>
        <v>44963</v>
      </c>
      <c r="AK176" s="342">
        <f t="shared" ca="1" si="15"/>
        <v>409</v>
      </c>
      <c r="AL176" s="342" t="str">
        <f t="shared" si="16"/>
        <v/>
      </c>
      <c r="AM176" s="284"/>
      <c r="AN176" s="284" t="s">
        <v>2673</v>
      </c>
      <c r="AO176" s="343">
        <v>10.265000000000001</v>
      </c>
      <c r="AP176" s="343">
        <v>10.275</v>
      </c>
      <c r="AQ176" s="343">
        <v>10.299999999999999</v>
      </c>
      <c r="AR176" s="343">
        <v>10.305</v>
      </c>
      <c r="AS176" s="331">
        <f t="shared" ca="1" si="20"/>
        <v>361</v>
      </c>
      <c r="AV176" s="331" t="s">
        <v>136</v>
      </c>
      <c r="BI176" s="347"/>
    </row>
    <row r="177" spans="1:63" s="331" customFormat="1" ht="18" hidden="1" customHeight="1" x14ac:dyDescent="0.35">
      <c r="A177" s="334"/>
      <c r="B177" s="335" t="e">
        <f ca="1">IF(A177="",(IF(ISNUMBER(SUBSTITUTE(LEFT(RIGHT(E177,LEN(E177)-MIN(SEARCH({1,2,3,4,5,6,7,8,9,0},E177&amp;"1234567890"))+1),10),".","/"))=TRUE,AJ177-(SUBSTITUTE(LEFT(RIGHT(E177,LEN(E177)-MIN(SEARCH({1,2,3,4,5,6,7,8,9,0},E177&amp;"1234567890"))+1),10),".","/")),IF((SUBSTITUTE(LEFT(RIGHT(E177,LEN(E177)-MIN(SEARCH({1,2,3,4,5,6,7,8,9,0},E177&amp;"1234567890"))+1),10),".","/"))="","",(AJ177)-(MID(RIGHT((SUBSTITUTE(LEFT(RIGHT(E177,LEN(E177)-MIN(SEARCH({1,2,3,4,5,6,7,8,9,0},E177&amp;"1234567890"))+1),10),".","/")),10),4,2)&amp;"/"&amp;LEFT((RIGHT((SUBSTITUTE(LEFT(RIGHT(E177,LEN(E177)-MIN(SEARCH({1,2,3,4,5,6,7,8,9,0},E177&amp;"1234567890"))+1),10),".","/")),10)),2)&amp;"/"&amp;RIGHT((SUBSTITUTE(LEFT(RIGHT(E177,LEN(E177)-MIN(SEARCH({1,2,3,4,5,6,7,8,9,0},E177&amp;"1234567890"))+1),10),".","/")),4))))),(AJ177-A177))</f>
        <v>#VALUE!</v>
      </c>
      <c r="C177" s="334"/>
      <c r="D177" s="294" t="str">
        <f t="shared" si="22"/>
        <v>FGCKW2-304L/2B-002X759</v>
      </c>
      <c r="E177" s="294" t="s">
        <v>3631</v>
      </c>
      <c r="F177" s="294" t="s">
        <v>3213</v>
      </c>
      <c r="G177" s="294" t="s">
        <v>3632</v>
      </c>
      <c r="H177" s="294" t="s">
        <v>230</v>
      </c>
      <c r="I177" s="337" t="s">
        <v>116</v>
      </c>
      <c r="J177" s="149">
        <v>3.79</v>
      </c>
      <c r="K177" s="149">
        <v>1.5</v>
      </c>
      <c r="L177" s="149">
        <v>1.48</v>
      </c>
      <c r="M177" s="149">
        <v>1.5</v>
      </c>
      <c r="N177" s="335">
        <v>767</v>
      </c>
      <c r="O177" s="296">
        <v>0.435</v>
      </c>
      <c r="P177" s="345"/>
      <c r="Q177" s="138">
        <v>759</v>
      </c>
      <c r="R177" s="339"/>
      <c r="S177" s="339"/>
      <c r="T177" s="299"/>
      <c r="U177" s="282" t="s">
        <v>3497</v>
      </c>
      <c r="V177" s="282"/>
      <c r="W177" s="138" t="s">
        <v>116</v>
      </c>
      <c r="X177" s="340">
        <v>44535</v>
      </c>
      <c r="Y177" s="340">
        <v>44536</v>
      </c>
      <c r="Z177" s="340">
        <v>44601</v>
      </c>
      <c r="AA177" s="340"/>
      <c r="AB177" s="340"/>
      <c r="AC177" s="341"/>
      <c r="AD177" s="342" t="s">
        <v>64</v>
      </c>
      <c r="AE177" s="342" t="s">
        <v>154</v>
      </c>
      <c r="AF177" s="284" t="s">
        <v>1330</v>
      </c>
      <c r="AG177" s="284"/>
      <c r="AH177" s="284">
        <v>44516</v>
      </c>
      <c r="AI177" s="284"/>
      <c r="AJ177" s="334">
        <f ca="1">TODAY()</f>
        <v>44963</v>
      </c>
      <c r="AK177" s="342">
        <f t="shared" ca="1" si="15"/>
        <v>447</v>
      </c>
      <c r="AL177" s="342">
        <f t="shared" ca="1" si="16"/>
        <v>362</v>
      </c>
      <c r="AM177" s="284"/>
      <c r="AN177" s="284" t="s">
        <v>3215</v>
      </c>
      <c r="AO177" s="343">
        <v>12.095000000000001</v>
      </c>
      <c r="AP177" s="343">
        <v>12.105</v>
      </c>
      <c r="AQ177" s="343">
        <v>12.129999999999999</v>
      </c>
      <c r="AR177" s="343">
        <v>12.135</v>
      </c>
      <c r="AS177" s="331">
        <f t="shared" ca="1" si="20"/>
        <v>427</v>
      </c>
      <c r="AV177" s="331" t="s">
        <v>136</v>
      </c>
      <c r="BI177" s="347"/>
    </row>
    <row r="178" spans="1:63" s="331" customFormat="1" ht="18" hidden="1" customHeight="1" x14ac:dyDescent="0.35">
      <c r="A178" s="334"/>
      <c r="B178" s="335" t="e">
        <f ca="1">IF(A178="",(IF(ISNUMBER(SUBSTITUTE(LEFT(RIGHT(E178,LEN(E178)-MIN(SEARCH({1,2,3,4,5,6,7,8,9,0},E178&amp;"1234567890"))+1),10),".","/"))=TRUE,AJ178-(SUBSTITUTE(LEFT(RIGHT(E178,LEN(E178)-MIN(SEARCH({1,2,3,4,5,6,7,8,9,0},E178&amp;"1234567890"))+1),10),".","/")),IF((SUBSTITUTE(LEFT(RIGHT(E178,LEN(E178)-MIN(SEARCH({1,2,3,4,5,6,7,8,9,0},E178&amp;"1234567890"))+1),10),".","/"))="","",(AJ178)-(MID(RIGHT((SUBSTITUTE(LEFT(RIGHT(E178,LEN(E178)-MIN(SEARCH({1,2,3,4,5,6,7,8,9,0},E178&amp;"1234567890"))+1),10),".","/")),10),4,2)&amp;"/"&amp;LEFT((RIGHT((SUBSTITUTE(LEFT(RIGHT(E178,LEN(E178)-MIN(SEARCH({1,2,3,4,5,6,7,8,9,0},E178&amp;"1234567890"))+1),10),".","/")),10)),2)&amp;"/"&amp;RIGHT((SUBSTITUTE(LEFT(RIGHT(E178,LEN(E178)-MIN(SEARCH({1,2,3,4,5,6,7,8,9,0},E178&amp;"1234567890"))+1),10),".","/")),4))))),(AJ178-A178))</f>
        <v>#VALUE!</v>
      </c>
      <c r="C178" s="334"/>
      <c r="D178" s="294" t="str">
        <f t="shared" si="22"/>
        <v>FGCKW2-304L/2B-000X760</v>
      </c>
      <c r="E178" s="294" t="s">
        <v>3684</v>
      </c>
      <c r="F178" s="294" t="s">
        <v>2929</v>
      </c>
      <c r="G178" s="294" t="s">
        <v>3685</v>
      </c>
      <c r="H178" s="294" t="s">
        <v>230</v>
      </c>
      <c r="I178" s="337" t="s">
        <v>116</v>
      </c>
      <c r="J178" s="149">
        <v>0.6</v>
      </c>
      <c r="K178" s="149">
        <v>0.3</v>
      </c>
      <c r="L178" s="149">
        <v>0.3</v>
      </c>
      <c r="M178" s="149">
        <v>0.31</v>
      </c>
      <c r="N178" s="335">
        <v>761</v>
      </c>
      <c r="O178" s="296">
        <v>0.29499999999999998</v>
      </c>
      <c r="P178" s="345"/>
      <c r="Q178" s="138">
        <v>760</v>
      </c>
      <c r="R178" s="339"/>
      <c r="S178" s="339"/>
      <c r="T178" s="299"/>
      <c r="U178" s="282" t="s">
        <v>3497</v>
      </c>
      <c r="V178" s="282" t="s">
        <v>1228</v>
      </c>
      <c r="W178" s="138" t="s">
        <v>116</v>
      </c>
      <c r="X178" s="340" t="s">
        <v>2932</v>
      </c>
      <c r="Y178" s="340" t="s">
        <v>2932</v>
      </c>
      <c r="Z178" s="340" t="s">
        <v>3454</v>
      </c>
      <c r="AA178" s="340"/>
      <c r="AB178" s="340"/>
      <c r="AC178" s="341"/>
      <c r="AD178" s="342" t="s">
        <v>64</v>
      </c>
      <c r="AE178" s="342" t="s">
        <v>154</v>
      </c>
      <c r="AF178" s="284" t="s">
        <v>1190</v>
      </c>
      <c r="AG178" s="284"/>
      <c r="AH178" s="284">
        <v>44496</v>
      </c>
      <c r="AI178" s="284"/>
      <c r="AJ178" s="334">
        <f ca="1">TODAY()</f>
        <v>44963</v>
      </c>
      <c r="AK178" s="342">
        <f t="shared" ca="1" si="15"/>
        <v>467</v>
      </c>
      <c r="AL178" s="342" t="e">
        <f t="shared" ca="1" si="16"/>
        <v>#VALUE!</v>
      </c>
      <c r="AM178" s="284"/>
      <c r="AN178" s="284" t="s">
        <v>2933</v>
      </c>
      <c r="AO178" s="343">
        <v>10.52</v>
      </c>
      <c r="AP178" s="343">
        <v>10.53</v>
      </c>
      <c r="AQ178" s="343">
        <v>10.554999999999998</v>
      </c>
      <c r="AR178" s="343">
        <v>10.559999999999999</v>
      </c>
      <c r="AS178" s="331" t="e">
        <f t="shared" ca="1" si="20"/>
        <v>#VALUE!</v>
      </c>
      <c r="AV178" s="331" t="s">
        <v>136</v>
      </c>
      <c r="BI178" s="347"/>
    </row>
    <row r="179" spans="1:63" s="331" customFormat="1" ht="18" customHeight="1" x14ac:dyDescent="0.35">
      <c r="A179" s="334"/>
      <c r="B179" s="335" t="e">
        <f ca="1">IF(A179="",(IF(ISNUMBER(SUBSTITUTE(LEFT(RIGHT(E179,LEN(E179)-MIN(SEARCH({1,2,3,4,5,6,7,8,9,0},E179&amp;"1234567890"))+1),10),".","/"))=TRUE,AJ179-(SUBSTITUTE(LEFT(RIGHT(E179,LEN(E179)-MIN(SEARCH({1,2,3,4,5,6,7,8,9,0},E179&amp;"1234567890"))+1),10),".","/")),IF((SUBSTITUTE(LEFT(RIGHT(E179,LEN(E179)-MIN(SEARCH({1,2,3,4,5,6,7,8,9,0},E179&amp;"1234567890"))+1),10),".","/"))="","",(AJ179)-(MID(RIGHT((SUBSTITUTE(LEFT(RIGHT(E179,LEN(E179)-MIN(SEARCH({1,2,3,4,5,6,7,8,9,0},E179&amp;"1234567890"))+1),10),".","/")),10),4,2)&amp;"/"&amp;LEFT((RIGHT((SUBSTITUTE(LEFT(RIGHT(E179,LEN(E179)-MIN(SEARCH({1,2,3,4,5,6,7,8,9,0},E179&amp;"1234567890"))+1),10),".","/")),10)),2)&amp;"/"&amp;RIGHT((SUBSTITUTE(LEFT(RIGHT(E179,LEN(E179)-MIN(SEARCH({1,2,3,4,5,6,7,8,9,0},E179&amp;"1234567890"))+1),10),".","/")),4))))),(AJ179-A179))</f>
        <v>#VALUE!</v>
      </c>
      <c r="C179" s="334"/>
      <c r="D179" s="294" t="str">
        <f t="shared" si="22"/>
        <v>FGCKW2-304L/2B-002X760</v>
      </c>
      <c r="E179" s="294" t="s">
        <v>3684</v>
      </c>
      <c r="F179" s="294" t="s">
        <v>2876</v>
      </c>
      <c r="G179" s="294" t="s">
        <v>3690</v>
      </c>
      <c r="H179" s="294" t="s">
        <v>230</v>
      </c>
      <c r="I179" s="337" t="s">
        <v>116</v>
      </c>
      <c r="J179" s="149">
        <v>3.78</v>
      </c>
      <c r="K179" s="149">
        <v>1.5</v>
      </c>
      <c r="L179" s="149">
        <v>1.47</v>
      </c>
      <c r="M179" s="149">
        <v>1.49</v>
      </c>
      <c r="N179" s="335">
        <v>764</v>
      </c>
      <c r="O179" s="296">
        <v>0.68500000000000005</v>
      </c>
      <c r="P179" s="345"/>
      <c r="Q179" s="138">
        <v>760</v>
      </c>
      <c r="R179" s="339"/>
      <c r="S179" s="339"/>
      <c r="T179" s="299"/>
      <c r="U179" s="282" t="s">
        <v>3497</v>
      </c>
      <c r="V179" s="282"/>
      <c r="W179" s="138" t="s">
        <v>116</v>
      </c>
      <c r="X179" s="340">
        <v>44612</v>
      </c>
      <c r="Y179" s="340">
        <v>44613</v>
      </c>
      <c r="Z179" s="340">
        <v>44614</v>
      </c>
      <c r="AA179" s="340">
        <v>44617</v>
      </c>
      <c r="AB179" s="340"/>
      <c r="AC179" s="341" t="s">
        <v>1395</v>
      </c>
      <c r="AD179" s="342" t="s">
        <v>64</v>
      </c>
      <c r="AE179" s="342" t="s">
        <v>154</v>
      </c>
      <c r="AF179" s="284" t="s">
        <v>1330</v>
      </c>
      <c r="AG179" s="284"/>
      <c r="AH179" s="284">
        <v>44554</v>
      </c>
      <c r="AI179" s="284"/>
      <c r="AJ179" s="334">
        <f ca="1">TODAY()</f>
        <v>44963</v>
      </c>
      <c r="AK179" s="342">
        <f t="shared" ca="1" si="15"/>
        <v>409</v>
      </c>
      <c r="AL179" s="342">
        <f t="shared" ca="1" si="16"/>
        <v>349</v>
      </c>
      <c r="AM179" s="284"/>
      <c r="AN179" s="284" t="s">
        <v>1396</v>
      </c>
      <c r="AO179" s="343">
        <v>10.210000000000001</v>
      </c>
      <c r="AP179" s="343">
        <v>10.220000000000001</v>
      </c>
      <c r="AQ179" s="343">
        <v>10.244999999999999</v>
      </c>
      <c r="AR179" s="343">
        <v>10.25</v>
      </c>
      <c r="AS179" s="331">
        <f t="shared" ca="1" si="20"/>
        <v>350</v>
      </c>
      <c r="AV179" s="331" t="s">
        <v>136</v>
      </c>
      <c r="BI179" s="347"/>
    </row>
    <row r="180" spans="1:63" s="331" customFormat="1" ht="18" hidden="1" customHeight="1" x14ac:dyDescent="0.35">
      <c r="A180" s="334"/>
      <c r="B180" s="335" t="e">
        <f ca="1">IF(A180="",(IF(ISNUMBER(SUBSTITUTE(LEFT(RIGHT(E180,LEN(E180)-MIN(SEARCH({1,2,3,4,5,6,7,8,9,0},E180&amp;"1234567890"))+1),10),".","/"))=TRUE,AJ180-(SUBSTITUTE(LEFT(RIGHT(E180,LEN(E180)-MIN(SEARCH({1,2,3,4,5,6,7,8,9,0},E180&amp;"1234567890"))+1),10),".","/")),IF((SUBSTITUTE(LEFT(RIGHT(E180,LEN(E180)-MIN(SEARCH({1,2,3,4,5,6,7,8,9,0},E180&amp;"1234567890"))+1),10),".","/"))="","",(AJ180)-(MID(RIGHT((SUBSTITUTE(LEFT(RIGHT(E180,LEN(E180)-MIN(SEARCH({1,2,3,4,5,6,7,8,9,0},E180&amp;"1234567890"))+1),10),".","/")),10),4,2)&amp;"/"&amp;LEFT((RIGHT((SUBSTITUTE(LEFT(RIGHT(E180,LEN(E180)-MIN(SEARCH({1,2,3,4,5,6,7,8,9,0},E180&amp;"1234567890"))+1),10),".","/")),10)),2)&amp;"/"&amp;RIGHT((SUBSTITUTE(LEFT(RIGHT(E180,LEN(E180)-MIN(SEARCH({1,2,3,4,5,6,7,8,9,0},E180&amp;"1234567890"))+1),10),".","/")),4))))),(AJ180-A180))</f>
        <v>#VALUE!</v>
      </c>
      <c r="C180" s="334"/>
      <c r="D180" s="294" t="str">
        <f t="shared" si="22"/>
        <v>FGCKW2-304/2B-000X760</v>
      </c>
      <c r="E180" s="294" t="s">
        <v>3702</v>
      </c>
      <c r="F180" s="294" t="s">
        <v>2955</v>
      </c>
      <c r="G180" s="294" t="s">
        <v>3703</v>
      </c>
      <c r="H180" s="294">
        <v>304</v>
      </c>
      <c r="I180" s="337" t="s">
        <v>116</v>
      </c>
      <c r="J180" s="149">
        <v>0.6</v>
      </c>
      <c r="K180" s="149">
        <v>0.3</v>
      </c>
      <c r="L180" s="149"/>
      <c r="M180" s="149"/>
      <c r="N180" s="335">
        <v>761</v>
      </c>
      <c r="O180" s="296">
        <v>2.1749999999999998</v>
      </c>
      <c r="P180" s="345"/>
      <c r="Q180" s="138">
        <v>760</v>
      </c>
      <c r="R180" s="339"/>
      <c r="S180" s="339"/>
      <c r="T180" s="299"/>
      <c r="U180" s="282" t="s">
        <v>3497</v>
      </c>
      <c r="V180" s="282" t="s">
        <v>1134</v>
      </c>
      <c r="W180" s="138" t="s">
        <v>116</v>
      </c>
      <c r="X180" s="340" t="s">
        <v>2958</v>
      </c>
      <c r="Y180" s="340" t="s">
        <v>2958</v>
      </c>
      <c r="Z180" s="340" t="s">
        <v>3463</v>
      </c>
      <c r="AA180" s="340" t="s">
        <v>3699</v>
      </c>
      <c r="AB180" s="340"/>
      <c r="AC180" s="341"/>
      <c r="AD180" s="342" t="s">
        <v>64</v>
      </c>
      <c r="AE180" s="342" t="s">
        <v>154</v>
      </c>
      <c r="AF180" s="284" t="s">
        <v>793</v>
      </c>
      <c r="AG180" s="284"/>
      <c r="AH180" s="284">
        <v>44444</v>
      </c>
      <c r="AI180" s="284"/>
      <c r="AJ180" s="334">
        <f ca="1">TODAY()</f>
        <v>44963</v>
      </c>
      <c r="AK180" s="342">
        <f t="shared" ca="1" si="15"/>
        <v>519</v>
      </c>
      <c r="AL180" s="342" t="e">
        <f t="shared" ca="1" si="16"/>
        <v>#VALUE!</v>
      </c>
      <c r="AM180" s="284"/>
      <c r="AN180" s="284" t="s">
        <v>2960</v>
      </c>
      <c r="AO180" s="343">
        <v>12.145</v>
      </c>
      <c r="AP180" s="343">
        <v>12.154999999999999</v>
      </c>
      <c r="AQ180" s="343">
        <v>12.179999999999998</v>
      </c>
      <c r="AR180" s="343">
        <v>12.184999999999999</v>
      </c>
      <c r="AS180" s="331" t="e">
        <f t="shared" ca="1" si="20"/>
        <v>#VALUE!</v>
      </c>
      <c r="AV180" s="331" t="s">
        <v>136</v>
      </c>
      <c r="BI180" s="347"/>
    </row>
    <row r="181" spans="1:63" s="331" customFormat="1" ht="18" hidden="1" customHeight="1" x14ac:dyDescent="0.35">
      <c r="A181" s="334"/>
      <c r="B181" s="335" t="e">
        <f ca="1">IF(A181="",(IF(ISNUMBER(SUBSTITUTE(LEFT(RIGHT(E181,LEN(E181)-MIN(SEARCH({1,2,3,4,5,6,7,8,9,0},E181&amp;"1234567890"))+1),10),".","/"))=TRUE,AJ181-(SUBSTITUTE(LEFT(RIGHT(E181,LEN(E181)-MIN(SEARCH({1,2,3,4,5,6,7,8,9,0},E181&amp;"1234567890"))+1),10),".","/")),IF((SUBSTITUTE(LEFT(RIGHT(E181,LEN(E181)-MIN(SEARCH({1,2,3,4,5,6,7,8,9,0},E181&amp;"1234567890"))+1),10),".","/"))="","",(AJ181)-(MID(RIGHT((SUBSTITUTE(LEFT(RIGHT(E181,LEN(E181)-MIN(SEARCH({1,2,3,4,5,6,7,8,9,0},E181&amp;"1234567890"))+1),10),".","/")),10),4,2)&amp;"/"&amp;LEFT((RIGHT((SUBSTITUTE(LEFT(RIGHT(E181,LEN(E181)-MIN(SEARCH({1,2,3,4,5,6,7,8,9,0},E181&amp;"1234567890"))+1),10),".","/")),10)),2)&amp;"/"&amp;RIGHT((SUBSTITUTE(LEFT(RIGHT(E181,LEN(E181)-MIN(SEARCH({1,2,3,4,5,6,7,8,9,0},E181&amp;"1234567890"))+1),10),".","/")),4))))),(AJ181-A181))</f>
        <v>#VALUE!</v>
      </c>
      <c r="C181" s="334"/>
      <c r="D181" s="294" t="str">
        <f t="shared" si="22"/>
        <v>FGCKW2-304L/2B-000X760</v>
      </c>
      <c r="E181" s="294" t="s">
        <v>3705</v>
      </c>
      <c r="F181" s="294" t="s">
        <v>2940</v>
      </c>
      <c r="G181" s="294" t="s">
        <v>3706</v>
      </c>
      <c r="H181" s="294" t="s">
        <v>230</v>
      </c>
      <c r="I181" s="337" t="s">
        <v>116</v>
      </c>
      <c r="J181" s="149">
        <v>0.6</v>
      </c>
      <c r="K181" s="149">
        <v>0.3</v>
      </c>
      <c r="L181" s="149"/>
      <c r="M181" s="149"/>
      <c r="N181" s="335">
        <v>765</v>
      </c>
      <c r="O181" s="296">
        <v>1.2050000000000001</v>
      </c>
      <c r="P181" s="345"/>
      <c r="Q181" s="138">
        <v>760</v>
      </c>
      <c r="R181" s="339"/>
      <c r="S181" s="339"/>
      <c r="T181" s="299"/>
      <c r="U181" s="282" t="s">
        <v>3497</v>
      </c>
      <c r="V181" s="282" t="s">
        <v>1143</v>
      </c>
      <c r="W181" s="138" t="s">
        <v>116</v>
      </c>
      <c r="X181" s="340" t="s">
        <v>2942</v>
      </c>
      <c r="Y181" s="340" t="s">
        <v>3012</v>
      </c>
      <c r="Z181" s="340" t="s">
        <v>3462</v>
      </c>
      <c r="AA181" s="340">
        <v>44615</v>
      </c>
      <c r="AB181" s="340"/>
      <c r="AC181" s="341"/>
      <c r="AD181" s="342" t="s">
        <v>64</v>
      </c>
      <c r="AE181" s="342" t="s">
        <v>154</v>
      </c>
      <c r="AF181" s="284" t="s">
        <v>1190</v>
      </c>
      <c r="AG181" s="284"/>
      <c r="AH181" s="284">
        <v>44496</v>
      </c>
      <c r="AI181" s="284"/>
      <c r="AJ181" s="334">
        <f ca="1">TODAY()</f>
        <v>44963</v>
      </c>
      <c r="AK181" s="342">
        <f t="shared" ca="1" si="15"/>
        <v>467</v>
      </c>
      <c r="AL181" s="342" t="e">
        <f t="shared" ca="1" si="16"/>
        <v>#VALUE!</v>
      </c>
      <c r="AM181" s="284"/>
      <c r="AN181" s="284" t="s">
        <v>2915</v>
      </c>
      <c r="AO181" s="343">
        <v>10.555</v>
      </c>
      <c r="AP181" s="343">
        <v>10.565</v>
      </c>
      <c r="AQ181" s="343">
        <v>10.589999999999998</v>
      </c>
      <c r="AR181" s="343">
        <v>10.594999999999999</v>
      </c>
      <c r="AS181" s="331" t="e">
        <f t="shared" ca="1" si="20"/>
        <v>#VALUE!</v>
      </c>
      <c r="AV181" s="331" t="s">
        <v>136</v>
      </c>
      <c r="BI181" s="347"/>
    </row>
    <row r="182" spans="1:63" ht="15.75" hidden="1" customHeight="1" x14ac:dyDescent="0.35">
      <c r="O182" s="388">
        <f>SUM(O7:O181)</f>
        <v>75.255000000000067</v>
      </c>
    </row>
    <row r="183" spans="1:63" ht="15.75" customHeight="1" x14ac:dyDescent="0.35">
      <c r="O183" s="388"/>
    </row>
    <row r="187" spans="1:63" x14ac:dyDescent="0.35">
      <c r="G187" s="280" t="s">
        <v>2522</v>
      </c>
      <c r="O187" s="388">
        <f>SUBTOTAL(9,O7:O184)</f>
        <v>0.68500000000000005</v>
      </c>
    </row>
    <row r="188" spans="1:63" x14ac:dyDescent="0.35">
      <c r="G188" s="280" t="s">
        <v>18</v>
      </c>
      <c r="O188" s="388">
        <f>O182</f>
        <v>75.255000000000067</v>
      </c>
    </row>
    <row r="192" spans="1:63" x14ac:dyDescent="0.35">
      <c r="BK192" s="331"/>
    </row>
    <row r="328" spans="1:7" ht="14.5" x14ac:dyDescent="0.35">
      <c r="A328" s="805" t="s">
        <v>73</v>
      </c>
      <c r="B328" s="185" t="s">
        <v>74</v>
      </c>
      <c r="C328" s="842" t="s">
        <v>2528</v>
      </c>
      <c r="D328" s="842"/>
      <c r="E328" s="842"/>
      <c r="F328" s="842"/>
      <c r="G328" s="842"/>
    </row>
    <row r="329" spans="1:7" ht="14.5" x14ac:dyDescent="0.25">
      <c r="A329" s="806"/>
      <c r="B329" s="188" t="s">
        <v>5339</v>
      </c>
      <c r="C329" s="394" t="s">
        <v>2530</v>
      </c>
      <c r="D329" s="394" t="s">
        <v>2531</v>
      </c>
      <c r="E329" s="394" t="s">
        <v>2532</v>
      </c>
      <c r="F329" s="394" t="s">
        <v>2533</v>
      </c>
      <c r="G329" s="395" t="s">
        <v>34</v>
      </c>
    </row>
    <row r="330" spans="1:7" ht="14.5" x14ac:dyDescent="0.35">
      <c r="A330" s="396"/>
      <c r="B330" s="397" t="s">
        <v>65</v>
      </c>
      <c r="C330" s="194">
        <f>SUMIFS($O$5:$O263,$H$5:$H263,$A$331,$I$5:$I263,$B330,$B$5:$B263,"&lt;=30")</f>
        <v>0</v>
      </c>
      <c r="D330" s="194">
        <f>SUMIFS($O$5:$O263,$H$5:$H263,$A$331,$I$5:$I263,$B330,$B$5:$B263,"&lt;=60")-C330</f>
        <v>0</v>
      </c>
      <c r="E330" s="194">
        <f>SUMIFS($O$5:$O263,$H$5:$H263,$A$331,$I$5:$I263,$B330,$B$5:$B263,"&lt;=90")-D330-C330</f>
        <v>0</v>
      </c>
      <c r="F330" s="194">
        <f>SUMIFS($O$5:$O263,$H$5:$H263,$A$331,$I$5:$I263,$B330,$B$5:$B263,"&gt;=91")</f>
        <v>0</v>
      </c>
      <c r="G330" s="195">
        <f t="shared" ref="G330:G363" si="23">SUM(C330:F330)</f>
        <v>0</v>
      </c>
    </row>
    <row r="331" spans="1:7" ht="14.5" x14ac:dyDescent="0.35">
      <c r="A331" s="398">
        <v>201</v>
      </c>
      <c r="B331" s="399" t="s">
        <v>64</v>
      </c>
      <c r="C331" s="194">
        <f>SUMIFS($O$5:$O264,$H$5:$H264,$A$331,$I$5:$I264,$B331,$B$5:$B264,"&lt;=30")</f>
        <v>0</v>
      </c>
      <c r="D331" s="194">
        <f>SUMIFS($O$5:$O264,$H$5:$H264,$A$331,$I$5:$I264,$B331,$B$5:$B264,"&lt;=60")-C331</f>
        <v>0</v>
      </c>
      <c r="E331" s="194">
        <f>SUMIFS($O$5:$O264,$H$5:$H264,$A$331,$I$5:$I264,$B331,$B$5:$B264,"&lt;=90")-D331-C331</f>
        <v>0</v>
      </c>
      <c r="F331" s="194">
        <f>SUMIFS($O$5:$O264,$H$5:$H264,$A$331,$I$5:$I264,$B331,$B$5:$B264,"&gt;=91")</f>
        <v>0</v>
      </c>
      <c r="G331" s="195">
        <f t="shared" si="23"/>
        <v>0</v>
      </c>
    </row>
    <row r="332" spans="1:7" ht="14.5" x14ac:dyDescent="0.35">
      <c r="A332" s="409"/>
      <c r="B332" s="400" t="s">
        <v>116</v>
      </c>
      <c r="C332" s="194">
        <f>SUMIFS($O$5:$O265,$H$5:$H265,$A$331,$I$5:$I265,$B332,$B$5:$B265,"&lt;=30")</f>
        <v>0</v>
      </c>
      <c r="D332" s="194">
        <f>SUMIFS($O$5:$O265,$H$5:$H265,$A$331,$I$5:$I265,$B332,$B$5:$B265,"&lt;=60")-C332</f>
        <v>0</v>
      </c>
      <c r="E332" s="436">
        <f>SUMIFS($O$5:$O265,$H$5:$H265,$A$331,$I$5:$I265,$B332,$B$5:$B265,"&lt;=90")-D332-C332</f>
        <v>0</v>
      </c>
      <c r="F332" s="194">
        <f>SUMIFS($O$5:$O265,$H$5:$H265,$A$331,$I$5:$I265,$B332,$B$5:$B265,"&gt;=91")</f>
        <v>0</v>
      </c>
      <c r="G332" s="195">
        <f t="shared" si="23"/>
        <v>0</v>
      </c>
    </row>
    <row r="333" spans="1:7" ht="14.5" x14ac:dyDescent="0.35">
      <c r="A333" s="202"/>
      <c r="B333" s="397" t="s">
        <v>65</v>
      </c>
      <c r="C333" s="194">
        <f>SUMIFS($O$5:$O266,$H$5:$H266,$A$334,$I$5:$I266,$B333,$B$5:$B266,"&lt;=30")</f>
        <v>0</v>
      </c>
      <c r="D333" s="194">
        <f>SUMIFS($O$5:$O266,$H$5:$H266,$A$334,$I$5:$I266,$B333,$B$5:$B266,"&lt;=60")-C333</f>
        <v>0</v>
      </c>
      <c r="E333" s="194">
        <f>SUMIFS($O$5:$O266,$H$5:$H266,$A$334,$I$5:$I266,$B333,$B$5:$B266,"&lt;=90")-D333-C333</f>
        <v>0</v>
      </c>
      <c r="F333" s="194">
        <f>SUMIFS($O$5:$O266,$H$5:$H266,$A$334,$I$5:$I266,$B333,$B$5:$B266,"&gt;=91")</f>
        <v>0</v>
      </c>
      <c r="G333" s="195">
        <f t="shared" si="23"/>
        <v>0</v>
      </c>
    </row>
    <row r="334" spans="1:7" ht="14.5" x14ac:dyDescent="0.35">
      <c r="A334" s="205" t="s">
        <v>27</v>
      </c>
      <c r="B334" s="399" t="s">
        <v>64</v>
      </c>
      <c r="C334" s="194">
        <f>SUMIFS($O$5:$O267,$H$5:$H267,$A$334,$I$5:$I267,$B334,$B$5:$B267,"&lt;=30")</f>
        <v>0</v>
      </c>
      <c r="D334" s="194">
        <f>SUMIFS($O$5:$O267,$H$5:$H267,$A$334,$I$5:$I267,$B334,$B$5:$B267,"&lt;=60")-C334</f>
        <v>0</v>
      </c>
      <c r="E334" s="194">
        <f>SUMIFS($O$5:$O267,$H$5:$H267,$A$334,$I$5:$I267,$B334,$B$5:$B267,"&lt;=90")-D334-C334</f>
        <v>0</v>
      </c>
      <c r="F334" s="194">
        <f>SUMIFS($O$5:$O267,$H$5:$H267,$A$334,$I$5:$I267,$B334,$B$5:$B267,"&gt;=91")</f>
        <v>0</v>
      </c>
      <c r="G334" s="195">
        <f t="shared" si="23"/>
        <v>0</v>
      </c>
    </row>
    <row r="335" spans="1:7" ht="14.5" x14ac:dyDescent="0.35">
      <c r="A335" s="205"/>
      <c r="B335" s="400" t="s">
        <v>116</v>
      </c>
      <c r="C335" s="194">
        <f ca="1">SUMIFS($O$5:$O268,$H$5:$H268,$A$334,$I$5:$I268,$B335,$B$5:$B268,"&lt;=30")</f>
        <v>0</v>
      </c>
      <c r="D335" s="194">
        <f ca="1">SUMIFS($O$5:$O268,$H$5:$H268,$A$334,$I$5:$I268,$B335,$B$5:$B268,"&lt;=60")-C335</f>
        <v>0</v>
      </c>
      <c r="E335" s="194">
        <f ca="1">SUMIFS($O$5:$O268,$H$5:$H268,$A$334,$I$5:$I268,$B335,$B$5:$B268,"&lt;=90")-D335-C335</f>
        <v>0</v>
      </c>
      <c r="F335" s="194">
        <f ca="1">SUMIFS($O$5:$O268,$H$5:$H268,$A$334,$I$5:$I268,$B335,$B$5:$B268,"&gt;=91")</f>
        <v>1.9299999999999997</v>
      </c>
      <c r="G335" s="195">
        <f t="shared" ca="1" si="23"/>
        <v>1.9299999999999997</v>
      </c>
    </row>
    <row r="336" spans="1:7" ht="14.5" x14ac:dyDescent="0.35">
      <c r="A336" s="208"/>
      <c r="B336" s="397" t="s">
        <v>65</v>
      </c>
      <c r="C336" s="194">
        <f>SUMIFS($O$5:$O269,$H$5:$H269,$A$337,$I$5:$I269,$B336,$B$5:$B269,"&lt;=30")</f>
        <v>0</v>
      </c>
      <c r="D336" s="194">
        <f>SUMIFS($O$5:$O269,$H$5:$H269,$A$337,$I$5:$I269,$B336,$B$5:$B269,"&lt;=60")-C336</f>
        <v>0</v>
      </c>
      <c r="E336" s="194">
        <f>SUMIFS($O$5:$O269,$H$5:$H269,$A$337,$I$5:$I269,$B336,$B$5:$B269,"&lt;=90")-D336-C336</f>
        <v>0</v>
      </c>
      <c r="F336" s="194">
        <f>SUMIFS($O$5:$O269,$H$5:$H269,$A$337,$I$5:$I269,$B336,$B$5:$B269,"&gt;=91")</f>
        <v>0</v>
      </c>
      <c r="G336" s="195">
        <f t="shared" si="23"/>
        <v>0</v>
      </c>
    </row>
    <row r="337" spans="1:7" ht="14.5" x14ac:dyDescent="0.35">
      <c r="A337" s="212" t="s">
        <v>28</v>
      </c>
      <c r="B337" s="399" t="s">
        <v>64</v>
      </c>
      <c r="C337" s="194">
        <f>SUMIFS($O$5:$O270,$H$5:$H270,$A$337,$I$5:$I270,$B337,$B$5:$B270,"&lt;=30")</f>
        <v>0</v>
      </c>
      <c r="D337" s="194">
        <f>SUMIFS($O$5:$O270,$H$5:$H270,$A$337,$I$5:$I270,$B337,$B$5:$B270,"&lt;=60")-C337</f>
        <v>0</v>
      </c>
      <c r="E337" s="194">
        <f>SUMIFS($O$5:$O270,$H$5:$H270,$A$337,$I$5:$I270,$B337,$B$5:$B270,"&lt;=90")-D337-C337</f>
        <v>0</v>
      </c>
      <c r="F337" s="194">
        <f>SUMIFS($O$5:$O270,$H$5:$H270,$A$337,$I$5:$I270,$B337,$B$5:$B270,"&gt;=91")</f>
        <v>0</v>
      </c>
      <c r="G337" s="195">
        <f t="shared" si="23"/>
        <v>0</v>
      </c>
    </row>
    <row r="338" spans="1:7" ht="14.5" x14ac:dyDescent="0.35">
      <c r="A338" s="212"/>
      <c r="B338" s="400" t="s">
        <v>116</v>
      </c>
      <c r="C338" s="194">
        <f>SUMIFS($O$5:$O271,$H$5:$H271,$A$337,$I$5:$I271,$B338,$B$5:$B271,"&lt;=30")</f>
        <v>0</v>
      </c>
      <c r="D338" s="194">
        <f>SUMIFS($O$5:$O271,$H$5:$H271,$A$337,$I$5:$I271,$B338,$B$5:$B271,"&lt;=60")-C338</f>
        <v>0</v>
      </c>
      <c r="E338" s="194">
        <f>SUMIFS($O$5:$O271,$H$5:$H271,$A$337,$I$5:$I271,$B338,$B$5:$B271,"&lt;=90")-D338-C338</f>
        <v>0</v>
      </c>
      <c r="F338" s="194">
        <f>SUMIFS($O$5:$O271,$H$5:$H271,$A$337,$I$5:$I271,$B338,$B$5:$B271,"&gt;=91")</f>
        <v>0</v>
      </c>
      <c r="G338" s="195">
        <f t="shared" si="23"/>
        <v>0</v>
      </c>
    </row>
    <row r="339" spans="1:7" ht="14.5" x14ac:dyDescent="0.35">
      <c r="A339" s="217"/>
      <c r="B339" s="397" t="s">
        <v>65</v>
      </c>
      <c r="C339" s="194">
        <f>SUMIFS($O$5:$O272,$H$5:$H272,$A$340,$I$5:$I272,$B339,$B$5:$B272,"&lt;=30")</f>
        <v>0</v>
      </c>
      <c r="D339" s="194">
        <f>SUMIFS($O$5:$O272,$H$5:$H272,$A$340,$I$5:$I272,$B339,$B$5:$B272,"&lt;=60")-C339</f>
        <v>0</v>
      </c>
      <c r="E339" s="194">
        <f>SUMIFS($O$5:$O272,$H$5:$H272,$A$340,$I$5:$I272,$B339,$B$5:$B272,"&lt;=90")-D339-C339</f>
        <v>0</v>
      </c>
      <c r="F339" s="194">
        <f>SUMIFS($O$5:$O272,$H$5:$H272,$A$340,$I$5:$I272,$B339,$B$5:$B272,"&gt;=91")</f>
        <v>0</v>
      </c>
      <c r="G339" s="195">
        <f t="shared" si="23"/>
        <v>0</v>
      </c>
    </row>
    <row r="340" spans="1:7" ht="14.5" x14ac:dyDescent="0.35">
      <c r="A340" s="219" t="s">
        <v>29</v>
      </c>
      <c r="B340" s="399" t="s">
        <v>64</v>
      </c>
      <c r="C340" s="194">
        <f>SUMIFS($O$5:$O273,$H$5:$H273,$A$340,$I$5:$I273,$B340,$B$5:$B273,"&lt;=30")</f>
        <v>0</v>
      </c>
      <c r="D340" s="194">
        <f>SUMIFS($O$5:$O273,$H$5:$H273,$A$340,$I$5:$I273,$B340,$B$5:$B273,"&lt;=60")-C340</f>
        <v>0</v>
      </c>
      <c r="E340" s="194">
        <f>SUMIFS($O$5:$O273,$H$5:$H273,$A$340,$I$5:$I273,$B340,$B$5:$B273,"&lt;=90")-D340-C340</f>
        <v>0</v>
      </c>
      <c r="F340" s="194">
        <f>SUMIFS($O$5:$O273,$H$5:$H273,$A$340,$I$5:$I273,$B340,$B$5:$B273,"&gt;=91")</f>
        <v>0</v>
      </c>
      <c r="G340" s="195">
        <f t="shared" si="23"/>
        <v>0</v>
      </c>
    </row>
    <row r="341" spans="1:7" ht="14.5" x14ac:dyDescent="0.35">
      <c r="A341" s="219"/>
      <c r="B341" s="400" t="s">
        <v>116</v>
      </c>
      <c r="C341" s="194">
        <f ca="1">SUMIFS($O$5:$O274,$H$5:$H274,$A$340,$I$5:$I274,$B341,$B$5:$B274,"&lt;=30")</f>
        <v>0</v>
      </c>
      <c r="D341" s="194">
        <f ca="1">SUMIFS($O$5:$O274,$H$5:$H274,$A$340,$I$5:$I274,$B341,$B$5:$B274,"&lt;=60")-C341</f>
        <v>0</v>
      </c>
      <c r="E341" s="194">
        <f ca="1">SUMIFS($O$5:$O274,$H$5:$H274,$A$340,$I$5:$I274,$B341,$B$5:$B274,"&lt;=90")-D341-C341</f>
        <v>0</v>
      </c>
      <c r="F341" s="194">
        <f ca="1">SUMIFS($O$5:$O274,$H$5:$H274,$A$340,$I$5:$I274,$B341,$B$5:$B274,"&gt;=91")</f>
        <v>10.445</v>
      </c>
      <c r="G341" s="195">
        <f t="shared" ca="1" si="23"/>
        <v>10.445</v>
      </c>
    </row>
    <row r="342" spans="1:7" ht="14.5" x14ac:dyDescent="0.35">
      <c r="A342" s="222"/>
      <c r="B342" s="397" t="s">
        <v>65</v>
      </c>
      <c r="C342" s="194">
        <f>SUMIFS($O$5:$O275,$H$5:$H275,$A$343,$I$5:$I275,$B342,$B$5:$B275,"&lt;=30")</f>
        <v>0</v>
      </c>
      <c r="D342" s="194">
        <f>SUMIFS($O$5:$O275,$H$5:$H275,$A$343,$I$5:$I275,$B342,$B$5:$B275,"&lt;=60")-C342</f>
        <v>0</v>
      </c>
      <c r="E342" s="194">
        <f>SUMIFS($O$5:$O275,$H$5:$H275,$A$343,$I$5:$I275,$B342,$B$5:$B275,"&lt;=90")-D342-C342</f>
        <v>0</v>
      </c>
      <c r="F342" s="194">
        <f>SUMIFS($O$5:$O275,$H$5:$H275,$A$343,$I$5:$I275,$B342,$B$5:$B275,"&gt;=91")</f>
        <v>0</v>
      </c>
      <c r="G342" s="195">
        <f t="shared" si="23"/>
        <v>0</v>
      </c>
    </row>
    <row r="343" spans="1:7" ht="14.5" x14ac:dyDescent="0.35">
      <c r="A343" s="228" t="s">
        <v>30</v>
      </c>
      <c r="B343" s="399" t="s">
        <v>64</v>
      </c>
      <c r="C343" s="194">
        <f>SUMIFS($O$5:$O276,$H$5:$H276,$A$343,$I$5:$I276,$B343,$B$5:$B276,"&lt;=30")</f>
        <v>0</v>
      </c>
      <c r="D343" s="194">
        <f>SUMIFS($O$5:$O276,$H$5:$H276,$A$343,$I$5:$I276,$B343,$B$5:$B276,"&lt;=60")-C343</f>
        <v>0</v>
      </c>
      <c r="E343" s="194">
        <f>SUMIFS($O$5:$O276,$H$5:$H276,$A$343,$I$5:$I276,$B343,$B$5:$B276,"&lt;=90")-D343-C343</f>
        <v>0</v>
      </c>
      <c r="F343" s="194">
        <f>SUMIFS($O$5:$O276,$H$5:$H276,$A$343,$I$5:$I276,$B343,$B$5:$B276,"&gt;=91")</f>
        <v>0</v>
      </c>
      <c r="G343" s="195">
        <f t="shared" si="23"/>
        <v>0</v>
      </c>
    </row>
    <row r="344" spans="1:7" ht="14.5" x14ac:dyDescent="0.35">
      <c r="A344" s="228"/>
      <c r="B344" s="400" t="s">
        <v>116</v>
      </c>
      <c r="C344" s="194">
        <f ca="1">SUMIFS($O$5:$O277,$H$5:$H277,$A$343,$I$5:$I277,$B344,$B$5:$B277,"&lt;=30")</f>
        <v>0</v>
      </c>
      <c r="D344" s="194">
        <f ca="1">SUMIFS($O$5:$O277,$H$5:$H277,$A$343,$I$5:$I277,$B344,$B$5:$B277,"&lt;=60")-C344</f>
        <v>0</v>
      </c>
      <c r="E344" s="194">
        <f ca="1">SUMIFS($O$5:$O277,$H$5:$H277,$A$343,$I$5:$I277,$B344,$B$5:$B277,"&lt;=90")-D344-C344</f>
        <v>0</v>
      </c>
      <c r="F344" s="194">
        <f ca="1">SUMIFS($O$5:$O277,$H$5:$H277,$A$343,$I$5:$I277,$B344,$B$5:$B277,"&gt;=91")</f>
        <v>1.0150000000000001</v>
      </c>
      <c r="G344" s="195">
        <f t="shared" ca="1" si="23"/>
        <v>1.0150000000000001</v>
      </c>
    </row>
    <row r="345" spans="1:7" ht="14.5" x14ac:dyDescent="0.35">
      <c r="A345" s="233"/>
      <c r="B345" s="397" t="s">
        <v>65</v>
      </c>
      <c r="C345" s="194">
        <f>SUMIFS($O$5:$O278,$H$5:$H278,$A$346,$I$5:$I278,$B345,$B$5:$B278,"&lt;=30")</f>
        <v>0</v>
      </c>
      <c r="D345" s="194">
        <f>SUMIFS($O$5:$O278,$H$5:$H278,$A$346,$I$5:$I278,$B345,$B$5:$B278,"&lt;=60")-C345</f>
        <v>0</v>
      </c>
      <c r="E345" s="194">
        <f>SUMIFS($O$5:$O278,$H$5:$H278,$A$346,$I$5:$I278,$B345,$B$5:$B278,"&lt;=90")-D345-C345</f>
        <v>0</v>
      </c>
      <c r="F345" s="194">
        <f>SUMIFS($O$5:$O278,$H$5:$H278,$A$346,$I$5:$I278,$B345,$B$5:$B278,"&gt;=91")</f>
        <v>0</v>
      </c>
      <c r="G345" s="195">
        <f t="shared" si="23"/>
        <v>0</v>
      </c>
    </row>
    <row r="346" spans="1:7" ht="14.5" x14ac:dyDescent="0.35">
      <c r="A346" s="234">
        <v>304</v>
      </c>
      <c r="B346" s="399" t="s">
        <v>64</v>
      </c>
      <c r="C346" s="194">
        <f>SUMIFS($O$5:$O279,$H$5:$H279,$A$346,$I$5:$I279,$B346,$B$5:$B279,"&lt;=30")</f>
        <v>0</v>
      </c>
      <c r="D346" s="194">
        <f>SUMIFS($O$5:$O279,$H$5:$H279,$A$346,$I$5:$I279,$B346,$B$5:$B279,"&lt;=60")-C346</f>
        <v>0</v>
      </c>
      <c r="E346" s="194">
        <f>SUMIFS($O$5:$O279,$H$5:$H279,$A$346,$I$5:$I279,$B346,$B$5:$B279,"&lt;=90")-D346-C346</f>
        <v>0</v>
      </c>
      <c r="F346" s="194">
        <f>SUMIFS($O$5:$O279,$H$5:$H279,$A$346,$I$5:$I279,$B346,$B$5:$B279,"&gt;=91")</f>
        <v>0</v>
      </c>
      <c r="G346" s="195">
        <f t="shared" si="23"/>
        <v>0</v>
      </c>
    </row>
    <row r="347" spans="1:7" ht="14.5" x14ac:dyDescent="0.35">
      <c r="A347" s="234"/>
      <c r="B347" s="400" t="s">
        <v>116</v>
      </c>
      <c r="C347" s="194">
        <f ca="1">SUMIFS($O$5:$O280,$H$5:$H280,$A$346,$I$5:$I280,$B347,$B$5:$B280,"&lt;=30")</f>
        <v>0</v>
      </c>
      <c r="D347" s="194">
        <f ca="1">SUMIFS($O$5:$O280,$H$5:$H280,$A$346,$I$5:$I280,$B347,$B$5:$B280,"&lt;=60")-C347</f>
        <v>0</v>
      </c>
      <c r="E347" s="194">
        <f ca="1">SUMIFS($O$5:$O280,$H$5:$H280,$A$346,$I$5:$I280,$B347,$B$5:$B280,"&lt;=90")-D347-C347</f>
        <v>0</v>
      </c>
      <c r="F347" s="194">
        <f ca="1">SUMIFS($O$5:$O280,$H$5:$H280,$A$346,$I$5:$I280,$B347,$B$5:$B280,"&gt;=91")</f>
        <v>15.379999999999999</v>
      </c>
      <c r="G347" s="195">
        <f t="shared" ca="1" si="23"/>
        <v>15.379999999999999</v>
      </c>
    </row>
    <row r="348" spans="1:7" ht="14.5" x14ac:dyDescent="0.35">
      <c r="A348" s="403"/>
      <c r="B348" s="397" t="s">
        <v>65</v>
      </c>
      <c r="C348" s="194">
        <f ca="1">SUMIFS($O$5:$O281,$H$5:$H281,$A$349,$I$5:$I281,$B348,$B$5:$B281,"&lt;=30")</f>
        <v>0</v>
      </c>
      <c r="D348" s="402">
        <f ca="1">SUMIFS($O$5:$O281,$H$5:$H281,$A$349,$I$5:$I281,$B348,$B$5:$B281,"&lt;=60")-C348</f>
        <v>0</v>
      </c>
      <c r="E348" s="402">
        <f ca="1">SUMIFS($O$5:$O281,$H$5:$H281,$A$349,$I$5:$I281,$B348,$B$5:$B281,"&lt;=90")-D348-C348</f>
        <v>0</v>
      </c>
      <c r="F348" s="194">
        <f ca="1">SUMIFS($O$5:$O281,$H$5:$H281,$A$349,$I$5:$I281,$B348,$B$5:$B281,"&gt;=91")</f>
        <v>0.65</v>
      </c>
      <c r="G348" s="195">
        <f t="shared" ca="1" si="23"/>
        <v>0.65</v>
      </c>
    </row>
    <row r="349" spans="1:7" ht="14.5" x14ac:dyDescent="0.35">
      <c r="A349" s="404" t="s">
        <v>377</v>
      </c>
      <c r="B349" s="399" t="s">
        <v>64</v>
      </c>
      <c r="C349" s="194">
        <f>SUMIFS($O$5:$O282,$H$5:$H282,$A$349,$I$5:$I282,$B349,$B$5:$B282,"&lt;=30")</f>
        <v>0</v>
      </c>
      <c r="D349" s="402">
        <f>SUMIFS($O$5:$O282,$H$5:$H282,$A$349,$I$5:$I282,$B349,$B$5:$B282,"&lt;=60")-C349</f>
        <v>0</v>
      </c>
      <c r="E349" s="402">
        <f>SUMIFS($O$5:$O282,$H$5:$H282,$A$349,$I$5:$I282,$B349,$B$5:$B282,"&lt;=90")-D349-C349</f>
        <v>0</v>
      </c>
      <c r="F349" s="194">
        <f>SUMIFS($O$5:$O282,$H$5:$H282,$A$349,$I$5:$I282,$B349,$B$5:$B282,"&gt;=91")</f>
        <v>0</v>
      </c>
      <c r="G349" s="195">
        <f t="shared" si="23"/>
        <v>0</v>
      </c>
    </row>
    <row r="350" spans="1:7" ht="14.5" x14ac:dyDescent="0.35">
      <c r="A350" s="404"/>
      <c r="B350" s="400" t="s">
        <v>116</v>
      </c>
      <c r="C350" s="194">
        <f ca="1">SUMIFS($O$5:$O283,$H$5:$H283,$A$349,$I$5:$I283,$B350,$B$5:$B283,"&lt;=30")</f>
        <v>0</v>
      </c>
      <c r="D350" s="402">
        <f ca="1">SUMIFS($O$5:$O283,$H$5:$H283,$A$349,$I$5:$I283,$B350,$B$5:$B283,"&lt;=60")-C350</f>
        <v>0</v>
      </c>
      <c r="E350" s="402">
        <f ca="1">SUMIFS($O$5:$O283,$H$5:$H283,$A$349,$I$5:$I283,$B350,$B$5:$B283,"&lt;=90")-D350-C350</f>
        <v>0</v>
      </c>
      <c r="F350" s="194">
        <f ca="1">SUMIFS($O$5:$O283,$H$5:$H283,$A$349,$I$5:$I283,$B350,$B$5:$B283,"&gt;=91")</f>
        <v>12.219999999999997</v>
      </c>
      <c r="G350" s="195">
        <f t="shared" ca="1" si="23"/>
        <v>12.219999999999997</v>
      </c>
    </row>
    <row r="351" spans="1:7" ht="14.5" x14ac:dyDescent="0.35">
      <c r="A351" s="235"/>
      <c r="B351" s="397" t="s">
        <v>65</v>
      </c>
      <c r="C351" s="194">
        <f>SUMIFS($O$5:$O281,$H$5:$H281,$A$352,$I$5:$I281,$B351,$B$5:$B281,"&lt;=30")</f>
        <v>0</v>
      </c>
      <c r="D351" s="194">
        <f>SUMIFS($O$5:$O281,$H$5:$H281,$A$352,$I$5:$I281,$B351,$B$5:$B281,"&lt;=60")-C351</f>
        <v>0</v>
      </c>
      <c r="E351" s="194">
        <f>SUMIFS($O$5:$O281,$H$5:$H281,$A$352,$I$5:$I281,$B351,$B$5:$B281,"&lt;=90")-D351-C351</f>
        <v>0</v>
      </c>
      <c r="F351" s="194">
        <f>SUMIFS($O$5:$O281,$H$5:$H281,$A$352,$I$5:$I281,$B351,$B$5:$B281,"&gt;=91")</f>
        <v>0</v>
      </c>
      <c r="G351" s="195">
        <f t="shared" si="23"/>
        <v>0</v>
      </c>
    </row>
    <row r="352" spans="1:7" ht="14.5" x14ac:dyDescent="0.35">
      <c r="A352" s="238" t="s">
        <v>230</v>
      </c>
      <c r="B352" s="399" t="s">
        <v>64</v>
      </c>
      <c r="C352" s="194">
        <f>SUMIFS($O$5:$O282,$H$5:$H282,$A$352,$I$5:$I282,$B352,$B$5:$B282,"&lt;=30")</f>
        <v>0</v>
      </c>
      <c r="D352" s="194">
        <f>SUMIFS($O$5:$O282,$H$5:$H282,$A$352,$I$5:$I282,$B352,$B$5:$B282,"&lt;=60")-C352</f>
        <v>0</v>
      </c>
      <c r="E352" s="194">
        <f>SUMIFS($O$5:$O282,$H$5:$H282,$A$352,$I$5:$I282,$B352,$B$5:$B282,"&lt;=90")-D352-C352</f>
        <v>0</v>
      </c>
      <c r="F352" s="194">
        <f>SUMIFS($O$5:$O282,$H$5:$H282,$A$352,$I$5:$I282,$B352,$B$5:$B282,"&gt;=91")</f>
        <v>0</v>
      </c>
      <c r="G352" s="195">
        <f t="shared" si="23"/>
        <v>0</v>
      </c>
    </row>
    <row r="353" spans="1:7" ht="14.5" x14ac:dyDescent="0.35">
      <c r="A353" s="238"/>
      <c r="B353" s="400" t="s">
        <v>116</v>
      </c>
      <c r="C353" s="194">
        <f ca="1">SUMIFS($O$5:$O283,$H$5:$H283,$A$352,$I$5:$I283,$B353,$B$5:$B283,"&lt;=30")</f>
        <v>0</v>
      </c>
      <c r="D353" s="194">
        <f ca="1">SUMIFS($O$5:$O283,$H$5:$H283,$A$352,$I$5:$I283,$B353,$B$5:$B283,"&lt;=60")-C353</f>
        <v>0</v>
      </c>
      <c r="E353" s="194">
        <f ca="1">SUMIFS($O$5:$O283,$H$5:$H283,$A$352,$I$5:$I283,$B353,$B$5:$B283,"&lt;=90")-D353-C353</f>
        <v>1.73</v>
      </c>
      <c r="F353" s="194">
        <f ca="1">SUMIFS($O$5:$O283,$H$5:$H283,$A$352,$I$5:$I283,$B353,$B$5:$B283,"&gt;=91")</f>
        <v>4.4099999999999993</v>
      </c>
      <c r="G353" s="195">
        <f t="shared" ca="1" si="23"/>
        <v>6.1399999999999988</v>
      </c>
    </row>
    <row r="354" spans="1:7" ht="14.5" x14ac:dyDescent="0.35">
      <c r="A354" s="239"/>
      <c r="B354" s="397" t="s">
        <v>65</v>
      </c>
      <c r="C354" s="194">
        <f>SUMIFS($O$5:$O284,$H$5:$H284,$A$355,$I$5:$I284,$B354,$B$5:$B284,"&lt;=30")</f>
        <v>0</v>
      </c>
      <c r="D354" s="194">
        <f>SUMIFS($O$5:$O284,$H$5:$H284,$A$355,$I$5:$I284,$B354,$B$5:$B284,"&lt;=60")-C354</f>
        <v>0</v>
      </c>
      <c r="E354" s="194">
        <f>SUMIFS($O$5:$O284,$H$5:$H284,$A$355,$I$5:$I284,$B354,$B$5:$B284,"&lt;=90")-D354-C354</f>
        <v>0</v>
      </c>
      <c r="F354" s="194">
        <f>SUMIFS($O$5:$O284,$H$5:$H284,$A$355,$I$5:$I284,$B354,$B$5:$B284,"&gt;=91")</f>
        <v>0</v>
      </c>
      <c r="G354" s="195">
        <f t="shared" si="23"/>
        <v>0</v>
      </c>
    </row>
    <row r="355" spans="1:7" ht="14.5" x14ac:dyDescent="0.35">
      <c r="A355" s="240" t="s">
        <v>148</v>
      </c>
      <c r="B355" s="399" t="s">
        <v>64</v>
      </c>
      <c r="C355" s="194">
        <f>SUMIFS($O$5:$O285,$H$5:$H285,$A$355,$I$5:$I285,$B355,$B$5:$B285,"&lt;=30")</f>
        <v>0</v>
      </c>
      <c r="D355" s="194">
        <f>SUMIFS($O$5:$O285,$H$5:$H285,$A$355,$I$5:$I285,$B355,$B$5:$B285,"&lt;=60")-C355</f>
        <v>0</v>
      </c>
      <c r="E355" s="194">
        <f>SUMIFS($O$5:$O285,$H$5:$H285,$A$355,$I$5:$I285,$B355,$B$5:$B285,"&lt;=90")-D355-C355</f>
        <v>0</v>
      </c>
      <c r="F355" s="194">
        <f>SUMIFS($O$5:$O285,$H$5:$H285,$A$355,$I$5:$I285,$B355,$B$5:$B285,"&gt;=91")</f>
        <v>0</v>
      </c>
      <c r="G355" s="195">
        <f t="shared" si="23"/>
        <v>0</v>
      </c>
    </row>
    <row r="356" spans="1:7" ht="14.5" x14ac:dyDescent="0.35">
      <c r="A356" s="240"/>
      <c r="B356" s="400" t="s">
        <v>116</v>
      </c>
      <c r="C356" s="194">
        <f ca="1">SUMIFS($O$5:$O286,$H$5:$H286,$A$355,$I$5:$I286,$B356,$B$5:$B286,"&lt;=30")</f>
        <v>0</v>
      </c>
      <c r="D356" s="194">
        <f ca="1">SUMIFS($O$5:$O286,$H$5:$H286,$A$355,$I$5:$I286,$B356,$B$5:$B286,"&lt;=60")-C356</f>
        <v>0</v>
      </c>
      <c r="E356" s="194">
        <f ca="1">SUMIFS($O$5:$O286,$H$5:$H286,$A$355,$I$5:$I286,$B356,$B$5:$B286,"&lt;=90")-D356-C356</f>
        <v>0</v>
      </c>
      <c r="F356" s="194">
        <f ca="1">SUMIFS($O$5:$O286,$H$5:$H286,$A$355,$I$5:$I286,$B356,$B$5:$B286,"&gt;=91")</f>
        <v>0.56499999999999995</v>
      </c>
      <c r="G356" s="195">
        <f t="shared" ca="1" si="23"/>
        <v>0.56499999999999995</v>
      </c>
    </row>
    <row r="357" spans="1:7" ht="14.5" x14ac:dyDescent="0.35">
      <c r="A357" s="242"/>
      <c r="B357" s="397" t="s">
        <v>65</v>
      </c>
      <c r="C357" s="194">
        <f>SUMIFS($O$5:$O287,$H$5:$H287,$A$358,$I$5:$I287,$B357,$B$5:$B287,"&lt;=30")</f>
        <v>0</v>
      </c>
      <c r="D357" s="194">
        <f>SUMIFS($O$5:$O287,$H$5:$H287,$A$358,$I$5:$I287,$B357,$B$5:$B287,"&lt;=60")-C357</f>
        <v>0</v>
      </c>
      <c r="E357" s="194">
        <f>SUMIFS($O$5:$O287,$H$5:$H287,$A$358,$I$5:$I287,$B357,$B$5:$B287,"&lt;=90")-D357-C357</f>
        <v>0</v>
      </c>
      <c r="F357" s="194">
        <f>SUMIFS($O$5:$O287,$H$5:$H287,$A$358,$I$5:$I287,$B357,$B$5:$B287,"&gt;=91")</f>
        <v>0</v>
      </c>
      <c r="G357" s="195">
        <f t="shared" si="23"/>
        <v>0</v>
      </c>
    </row>
    <row r="358" spans="1:7" ht="14.5" x14ac:dyDescent="0.35">
      <c r="A358" s="243">
        <v>430</v>
      </c>
      <c r="B358" s="399" t="s">
        <v>64</v>
      </c>
      <c r="C358" s="194">
        <f>SUMIFS($O$5:$O288,$H$5:$H288,$A$358,$I$5:$I288,$B358,$B$5:$B288,"&lt;=30")</f>
        <v>0</v>
      </c>
      <c r="D358" s="194">
        <f>SUMIFS($O$5:$O288,$H$5:$H288,$A$358,$I$5:$I288,$B358,$B$5:$B288,"&lt;=60")-C358</f>
        <v>0</v>
      </c>
      <c r="E358" s="194">
        <f>SUMIFS($O$5:$O288,$H$5:$H288,$A$358,$I$5:$I288,$B358,$B$5:$B288,"&lt;=90")-D358-C358</f>
        <v>0</v>
      </c>
      <c r="F358" s="194">
        <f>SUMIFS($O$5:$O288,$H$5:$H288,$A$358,$I$5:$I288,$B358,$B$5:$B288,"&gt;=91")</f>
        <v>0</v>
      </c>
      <c r="G358" s="195">
        <f t="shared" si="23"/>
        <v>0</v>
      </c>
    </row>
    <row r="359" spans="1:7" ht="14.5" x14ac:dyDescent="0.35">
      <c r="A359" s="243"/>
      <c r="B359" s="400" t="s">
        <v>116</v>
      </c>
      <c r="C359" s="194">
        <f ca="1">SUMIFS($O$5:$O289,$H$5:$H289,$A$358,$I$5:$I289,$B359,$B$5:$B289,"&lt;=30")</f>
        <v>0</v>
      </c>
      <c r="D359" s="194">
        <f ca="1">SUMIFS($O$5:$O289,$H$5:$H289,$A$358,$I$5:$I289,$B359,$B$5:$B289,"&lt;=60")-C359</f>
        <v>0</v>
      </c>
      <c r="E359" s="194">
        <f ca="1">SUMIFS($O$5:$O289,$H$5:$H289,$A$358,$I$5:$I289,$B359,$B$5:$B289,"&lt;=90")-D359-C359</f>
        <v>0</v>
      </c>
      <c r="F359" s="194">
        <f ca="1">SUMIFS($O$5:$O289,$H$5:$H289,$A$358,$I$5:$I289,$B359,$B$5:$B289,"&gt;=91")</f>
        <v>3.4050000000000002</v>
      </c>
      <c r="G359" s="195">
        <f t="shared" ca="1" si="23"/>
        <v>3.4050000000000002</v>
      </c>
    </row>
    <row r="360" spans="1:7" ht="14.5" x14ac:dyDescent="0.35">
      <c r="A360" s="244"/>
      <c r="B360" s="397" t="s">
        <v>65</v>
      </c>
      <c r="C360" s="194">
        <f>SUMIFS($O$5:$O290,$H$5:$H290,$A$361,$I$5:$I290,$B360,$B$5:$B290,"&lt;=30")</f>
        <v>0</v>
      </c>
      <c r="D360" s="194">
        <f>SUMIFS($O$5:$O290,$H$5:$H290,$A$361,$I$5:$I290,$B360,$B$5:$B290,"&lt;=60")-C360</f>
        <v>0</v>
      </c>
      <c r="E360" s="194">
        <f>SUMIFS($O$5:$O290,$H$5:$H290,$A$361,$I$5:$I290,$B360,$B$5:$B290,"&lt;=90")-D360-C360</f>
        <v>0</v>
      </c>
      <c r="F360" s="194">
        <f>SUMIFS($O$5:$O290,$H$5:$H290,$A$361,$I$5:$I290,$B360,$B$5:$B290,"&gt;=91")</f>
        <v>0</v>
      </c>
      <c r="G360" s="195">
        <f t="shared" si="23"/>
        <v>0</v>
      </c>
    </row>
    <row r="361" spans="1:7" ht="14.5" x14ac:dyDescent="0.35">
      <c r="A361" s="245" t="s">
        <v>2538</v>
      </c>
      <c r="B361" s="399" t="s">
        <v>64</v>
      </c>
      <c r="C361" s="194">
        <f>SUMIFS($O$5:$O291,$H$5:$H291,$A$361,$I$5:$I291,$B361,$B$5:$B291,"&lt;=30")</f>
        <v>0</v>
      </c>
      <c r="D361" s="194">
        <f>SUMIFS($O$5:$O291,$H$5:$H291,$A$361,$I$5:$I291,$B361,$B$5:$B291,"&lt;=60")-C361</f>
        <v>0</v>
      </c>
      <c r="E361" s="194">
        <f>SUMIFS($O$5:$O291,$H$5:$H291,$A$361,$I$5:$I291,$B361,$B$5:$B291,"&lt;=90")-D361-C361</f>
        <v>0</v>
      </c>
      <c r="F361" s="194">
        <f>SUMIFS($O$5:$O291,$H$5:$H291,$A$361,$I$5:$I291,$B361,$B$5:$B291,"&gt;=91")</f>
        <v>0</v>
      </c>
      <c r="G361" s="195">
        <f t="shared" si="23"/>
        <v>0</v>
      </c>
    </row>
    <row r="362" spans="1:7" ht="14.5" x14ac:dyDescent="0.35">
      <c r="A362" s="246"/>
      <c r="B362" s="400" t="s">
        <v>116</v>
      </c>
      <c r="C362" s="194">
        <f>SUMIFS($O$5:$O292,$H$5:$H292,$A$361,$I$5:$I292,$B362,$B$5:$B292,"&lt;=30")</f>
        <v>0</v>
      </c>
      <c r="D362" s="194">
        <f>SUMIFS($O$5:$O292,$H$5:$H292,$A$361,$I$5:$I292,$B362,$B$5:$B292,"&lt;=60")-C362</f>
        <v>0</v>
      </c>
      <c r="E362" s="194">
        <f>SUMIFS($O$5:$O292,$H$5:$H292,$A$361,$I$5:$I292,$B362,$B$5:$B292,"&lt;=90")-D362-C362</f>
        <v>0</v>
      </c>
      <c r="F362" s="194">
        <f>SUMIFS($O$5:$O292,$H$5:$H292,$A$361,$I$5:$I292,$B362,$B$5:$B292,"&gt;=91")</f>
        <v>0</v>
      </c>
      <c r="G362" s="195">
        <f t="shared" si="23"/>
        <v>0</v>
      </c>
    </row>
    <row r="363" spans="1:7" ht="14.5" x14ac:dyDescent="0.35">
      <c r="A363" s="812" t="s">
        <v>34</v>
      </c>
      <c r="B363" s="813"/>
      <c r="C363" s="257">
        <f ca="1">SUM(C330:C362)</f>
        <v>0</v>
      </c>
      <c r="D363" s="257">
        <f ca="1">SUM(D330:D362)</f>
        <v>0</v>
      </c>
      <c r="E363" s="257">
        <f ca="1">SUM(E330:E362)</f>
        <v>1.73</v>
      </c>
      <c r="F363" s="437">
        <f ca="1">SUM(F330:F362)</f>
        <v>50.019999999999989</v>
      </c>
      <c r="G363" s="438">
        <f t="shared" ca="1" si="23"/>
        <v>51.749999999999986</v>
      </c>
    </row>
    <row r="1048489" spans="21:21" x14ac:dyDescent="0.35">
      <c r="U1048489" s="282"/>
    </row>
  </sheetData>
  <autoFilter ref="A4:BL182" xr:uid="{5EECA198-E54B-45BB-86B4-B506CE5D45C9}">
    <filterColumn colId="6">
      <filters>
        <filter val="LTI-GI306589C"/>
      </filters>
    </filterColumn>
  </autoFilter>
  <mergeCells count="6">
    <mergeCell ref="A363:B363"/>
    <mergeCell ref="A1:S1"/>
    <mergeCell ref="O67:O69"/>
    <mergeCell ref="P67:P69"/>
    <mergeCell ref="A328:A329"/>
    <mergeCell ref="C328:G328"/>
  </mergeCells>
  <pageMargins left="0.5" right="0.5" top="0.5" bottom="0" header="0.3" footer="0.3"/>
  <pageSetup scale="65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9D15-6CD6-4FDC-B522-464A3D623558}">
  <sheetPr>
    <pageSetUpPr fitToPage="1"/>
  </sheetPr>
  <dimension ref="A1:BJ427"/>
  <sheetViews>
    <sheetView zoomScale="70" zoomScaleNormal="70" workbookViewId="0">
      <pane ySplit="4" topLeftCell="A12" activePane="bottomLeft" state="frozen"/>
      <selection activeCell="J367" sqref="J367"/>
      <selection pane="bottomLeft" activeCell="J367" sqref="J367"/>
    </sheetView>
  </sheetViews>
  <sheetFormatPr defaultColWidth="9.1796875" defaultRowHeight="14" x14ac:dyDescent="0.35"/>
  <cols>
    <col min="1" max="2" width="15.1796875" style="260" customWidth="1"/>
    <col min="3" max="3" width="16.81640625" style="260" customWidth="1"/>
    <col min="4" max="4" width="29.1796875" style="260" customWidth="1"/>
    <col min="5" max="5" width="26.453125" style="260" customWidth="1"/>
    <col min="6" max="6" width="21.7265625" style="260" customWidth="1"/>
    <col min="7" max="7" width="25.1796875" style="260" customWidth="1"/>
    <col min="8" max="8" width="9.7265625" style="260" customWidth="1"/>
    <col min="9" max="9" width="9.1796875" style="260" customWidth="1"/>
    <col min="10" max="10" width="13.54296875" style="274" customWidth="1"/>
    <col min="11" max="11" width="11.1796875" style="304" customWidth="1"/>
    <col min="12" max="12" width="10.81640625" style="304" customWidth="1"/>
    <col min="13" max="13" width="10" style="304" customWidth="1"/>
    <col min="14" max="14" width="9.7265625" style="275" customWidth="1"/>
    <col min="15" max="15" width="12.1796875" style="276" customWidth="1"/>
    <col min="16" max="16" width="13" style="276" customWidth="1"/>
    <col min="17" max="17" width="11.1796875" style="276" customWidth="1"/>
    <col min="18" max="18" width="12.54296875" style="276" customWidth="1"/>
    <col min="19" max="19" width="12.453125" style="276" customWidth="1"/>
    <col min="20" max="20" width="25.1796875" style="304" customWidth="1"/>
    <col min="21" max="21" width="35.1796875" style="274" customWidth="1"/>
    <col min="22" max="22" width="57.54296875" style="274" customWidth="1"/>
    <col min="23" max="23" width="34.81640625" style="274" customWidth="1"/>
    <col min="24" max="24" width="13.26953125" style="274" customWidth="1"/>
    <col min="25" max="28" width="12.453125" style="274" customWidth="1"/>
    <col min="29" max="29" width="18.81640625" style="274" customWidth="1"/>
    <col min="30" max="30" width="12.453125" style="274" customWidth="1"/>
    <col min="31" max="31" width="36.453125" style="260" customWidth="1"/>
    <col min="32" max="32" width="18.26953125" style="260" customWidth="1"/>
    <col min="33" max="33" width="12.81640625" style="260" customWidth="1"/>
    <col min="34" max="34" width="12.7265625" style="260" customWidth="1"/>
    <col min="35" max="38" width="13.453125" style="260" customWidth="1"/>
    <col min="39" max="39" width="22.453125" style="260" customWidth="1"/>
    <col min="40" max="40" width="19.81640625" style="260" customWidth="1"/>
    <col min="41" max="43" width="13.54296875" style="305" customWidth="1"/>
    <col min="44" max="45" width="12.453125" style="274" customWidth="1"/>
    <col min="46" max="46" width="11.453125" style="260" customWidth="1"/>
    <col min="47" max="57" width="9.1796875" style="260" customWidth="1"/>
    <col min="58" max="58" width="14.1796875" style="260" customWidth="1"/>
    <col min="59" max="59" width="13.54296875" style="260" customWidth="1"/>
    <col min="60" max="60" width="16.1796875" style="260" customWidth="1"/>
    <col min="61" max="61" width="11.54296875" style="260" customWidth="1"/>
    <col min="62" max="62" width="10.54296875" style="260" bestFit="1" customWidth="1"/>
    <col min="63" max="16384" width="9.1796875" style="260"/>
  </cols>
  <sheetData>
    <row r="1" spans="1:61" ht="31.5" customHeight="1" x14ac:dyDescent="0.35">
      <c r="A1" s="836" t="s">
        <v>3727</v>
      </c>
      <c r="B1" s="836"/>
      <c r="C1" s="836"/>
      <c r="D1" s="836"/>
      <c r="E1" s="836"/>
      <c r="F1" s="836"/>
      <c r="G1" s="836"/>
      <c r="H1" s="836"/>
      <c r="I1" s="836"/>
      <c r="J1" s="836"/>
      <c r="K1" s="836"/>
      <c r="L1" s="836"/>
      <c r="M1" s="836"/>
      <c r="N1" s="836"/>
      <c r="O1" s="836"/>
      <c r="P1" s="836"/>
      <c r="Q1" s="836"/>
      <c r="R1" s="836"/>
      <c r="S1" s="836"/>
      <c r="T1" s="836"/>
      <c r="U1" s="836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</row>
    <row r="2" spans="1:61" x14ac:dyDescent="0.35">
      <c r="D2" s="302" t="str">
        <f>IF(G2="","",IF(Q2="MULTI","FGMS","FGC")&amp;"-"&amp;H2&amp;"/"&amp;I2&amp;"-"&amp;TEXT(K2,"0.00")&amp;"X"&amp;IF(Q2="MULTI",R2,Q2))</f>
        <v/>
      </c>
      <c r="BF2" s="302"/>
      <c r="BG2" s="302"/>
      <c r="BH2" s="306"/>
      <c r="BI2" s="302"/>
    </row>
    <row r="3" spans="1:61" x14ac:dyDescent="0.35">
      <c r="G3" s="280"/>
    </row>
    <row r="4" spans="1:61" ht="42" x14ac:dyDescent="0.35">
      <c r="A4" s="271" t="s">
        <v>3728</v>
      </c>
      <c r="B4" s="261" t="s">
        <v>3729</v>
      </c>
      <c r="C4" s="261" t="s">
        <v>3730</v>
      </c>
      <c r="D4" s="109" t="s">
        <v>69</v>
      </c>
      <c r="E4" s="110" t="s">
        <v>4</v>
      </c>
      <c r="F4" s="261" t="s">
        <v>71</v>
      </c>
      <c r="G4" s="261" t="s">
        <v>72</v>
      </c>
      <c r="H4" s="261" t="s">
        <v>73</v>
      </c>
      <c r="I4" s="261" t="s">
        <v>74</v>
      </c>
      <c r="J4" s="262" t="s">
        <v>3731</v>
      </c>
      <c r="K4" s="262" t="s">
        <v>3732</v>
      </c>
      <c r="L4" s="263" t="s">
        <v>2544</v>
      </c>
      <c r="M4" s="263" t="s">
        <v>2545</v>
      </c>
      <c r="N4" s="264" t="s">
        <v>3733</v>
      </c>
      <c r="O4" s="292" t="s">
        <v>3734</v>
      </c>
      <c r="P4" s="307" t="s">
        <v>3735</v>
      </c>
      <c r="Q4" s="262" t="s">
        <v>5340</v>
      </c>
      <c r="R4" s="308" t="s">
        <v>3737</v>
      </c>
      <c r="S4" s="262" t="s">
        <v>3738</v>
      </c>
      <c r="T4" s="303" t="s">
        <v>3739</v>
      </c>
      <c r="U4" s="262" t="s">
        <v>83</v>
      </c>
      <c r="V4" s="262"/>
      <c r="W4" s="262" t="s">
        <v>3740</v>
      </c>
      <c r="X4" s="266" t="s">
        <v>10</v>
      </c>
      <c r="Y4" s="267" t="s">
        <v>3741</v>
      </c>
      <c r="Z4" s="268" t="s">
        <v>3742</v>
      </c>
      <c r="AA4" s="269" t="s">
        <v>14</v>
      </c>
      <c r="AB4" s="270" t="s">
        <v>16</v>
      </c>
      <c r="AC4" s="262" t="s">
        <v>86</v>
      </c>
      <c r="AD4" s="262" t="s">
        <v>87</v>
      </c>
      <c r="AE4" s="261" t="s">
        <v>88</v>
      </c>
      <c r="AF4" s="261" t="s">
        <v>89</v>
      </c>
      <c r="AG4" s="271" t="s">
        <v>90</v>
      </c>
      <c r="AH4" s="271" t="s">
        <v>91</v>
      </c>
      <c r="AI4" s="271" t="s">
        <v>2553</v>
      </c>
      <c r="AJ4" s="271" t="s">
        <v>2554</v>
      </c>
      <c r="AK4" s="271" t="s">
        <v>93</v>
      </c>
      <c r="AL4" s="271"/>
      <c r="AM4" s="261" t="s">
        <v>95</v>
      </c>
      <c r="AN4" s="261" t="s">
        <v>96</v>
      </c>
      <c r="AO4" s="272" t="s">
        <v>2556</v>
      </c>
      <c r="AP4" s="272" t="s">
        <v>2557</v>
      </c>
      <c r="AQ4" s="272" t="s">
        <v>2558</v>
      </c>
      <c r="AR4" s="262" t="s">
        <v>2559</v>
      </c>
      <c r="AS4" s="262"/>
      <c r="AT4" s="309"/>
      <c r="BB4" s="309"/>
      <c r="BC4" s="309"/>
      <c r="BF4" s="309"/>
      <c r="BG4" s="309"/>
      <c r="BH4" s="309"/>
      <c r="BI4" s="439"/>
    </row>
    <row r="5" spans="1:61" s="312" customFormat="1" ht="19.5" customHeight="1" x14ac:dyDescent="0.35">
      <c r="A5" s="311" t="s">
        <v>5341</v>
      </c>
      <c r="G5" s="440"/>
      <c r="H5" s="440"/>
      <c r="I5" s="440"/>
      <c r="J5" s="440"/>
      <c r="K5" s="441"/>
      <c r="L5" s="441"/>
      <c r="M5" s="441"/>
      <c r="N5" s="442"/>
      <c r="O5" s="443"/>
      <c r="P5" s="443"/>
      <c r="Q5" s="443"/>
      <c r="R5" s="443"/>
      <c r="S5" s="443"/>
      <c r="T5" s="441"/>
      <c r="U5" s="444"/>
      <c r="V5" s="313"/>
      <c r="W5" s="313"/>
      <c r="X5" s="313"/>
      <c r="Y5" s="313"/>
      <c r="Z5" s="313"/>
      <c r="AA5" s="313"/>
      <c r="AB5" s="313"/>
      <c r="AC5" s="313"/>
      <c r="AD5" s="313"/>
      <c r="AO5" s="317"/>
      <c r="AP5" s="317"/>
      <c r="AQ5" s="317"/>
      <c r="AR5" s="313"/>
      <c r="AS5" s="313"/>
    </row>
    <row r="6" spans="1:61" s="331" customFormat="1" ht="19.5" customHeight="1" x14ac:dyDescent="0.35">
      <c r="A6" s="334"/>
      <c r="B6" s="335" t="e">
        <f ca="1">IF(A6="",(IF(ISNUMBER(SUBSTITUTE(LEFT(RIGHT(E6,LEN(E6)-MIN(SEARCH({1,2,3,4,5,6,7,8,9,0},E6&amp;"1234567890"))+1),10),".","/"))=TRUE,AJ6-(SUBSTITUTE(LEFT(RIGHT(E6,LEN(E6)-MIN(SEARCH({1,2,3,4,5,6,7,8,9,0},E6&amp;"1234567890"))+1),10),".","/")),IF((SUBSTITUTE(LEFT(RIGHT(E6,LEN(E6)-MIN(SEARCH({1,2,3,4,5,6,7,8,9,0},E6&amp;"1234567890"))+1),10),".","/"))="","",(AJ6)-(MID(RIGHT((SUBSTITUTE(LEFT(RIGHT(E6,LEN(E6)-MIN(SEARCH({1,2,3,4,5,6,7,8,9,0},E6&amp;"1234567890"))+1),10),".","/")),10),4,2)&amp;"/"&amp;LEFT((RIGHT((SUBSTITUTE(LEFT(RIGHT(E6,LEN(E6)-MIN(SEARCH({1,2,3,4,5,6,7,8,9,0},E6&amp;"1234567890"))+1),10),".","/")),10)),2)&amp;"/"&amp;RIGHT((SUBSTITUTE(LEFT(RIGHT(E6,LEN(E6)-MIN(SEARCH({1,2,3,4,5,6,7,8,9,0},E6&amp;"1234567890"))+1),10),".","/")),4))))),(AJ6-A6))</f>
        <v>#VALUE!</v>
      </c>
      <c r="C6" s="334"/>
      <c r="D6" s="294" t="str">
        <f>"FGS"&amp;"-"&amp;H6&amp;"/"&amp;I6&amp;"-"&amp;IF(K6="",(TEXT(J6,"0.00")),(TEXT(K6,"0.00")))&amp;"X"&amp;N6&amp;"X"&amp;Q6</f>
        <v>FGS-430/2B-002X333X2440</v>
      </c>
      <c r="E6" s="294" t="s">
        <v>5342</v>
      </c>
      <c r="F6" s="294" t="s">
        <v>4157</v>
      </c>
      <c r="G6" s="294" t="s">
        <v>5343</v>
      </c>
      <c r="H6" s="294">
        <v>430</v>
      </c>
      <c r="I6" s="337" t="s">
        <v>116</v>
      </c>
      <c r="J6" s="149">
        <v>4</v>
      </c>
      <c r="K6" s="149">
        <v>1.95</v>
      </c>
      <c r="L6" s="149">
        <v>1.98</v>
      </c>
      <c r="M6" s="149">
        <v>1.99</v>
      </c>
      <c r="N6" s="335">
        <v>333</v>
      </c>
      <c r="O6" s="296">
        <v>0.19700000000000001</v>
      </c>
      <c r="P6" s="345"/>
      <c r="Q6" s="372">
        <v>2440</v>
      </c>
      <c r="R6" s="138" t="s">
        <v>3847</v>
      </c>
      <c r="S6" s="339">
        <v>16</v>
      </c>
      <c r="T6" s="299"/>
      <c r="U6" s="282" t="s">
        <v>3497</v>
      </c>
      <c r="V6" s="282"/>
      <c r="W6" s="282" t="s">
        <v>208</v>
      </c>
      <c r="X6" s="340">
        <v>43446</v>
      </c>
      <c r="Y6" s="340">
        <v>43446</v>
      </c>
      <c r="Z6" s="340">
        <v>43447</v>
      </c>
      <c r="AA6" s="340">
        <v>43601</v>
      </c>
      <c r="AB6" s="340"/>
      <c r="AC6" s="341"/>
      <c r="AD6" s="342" t="s">
        <v>64</v>
      </c>
      <c r="AE6" s="342" t="s">
        <v>209</v>
      </c>
      <c r="AF6" s="284" t="s">
        <v>210</v>
      </c>
      <c r="AG6" s="284">
        <v>43313</v>
      </c>
      <c r="AH6" s="284">
        <v>43413</v>
      </c>
      <c r="AI6" s="284"/>
      <c r="AJ6" s="334">
        <f t="shared" ref="AJ6:AJ23" ca="1" si="0">TODAY()</f>
        <v>44963</v>
      </c>
      <c r="AK6" s="342">
        <f t="shared" ref="AK6:AK20" ca="1" si="1">IF(AH6&lt;&gt;0,AJ6-AH6,0)</f>
        <v>1550</v>
      </c>
      <c r="AL6" s="342"/>
      <c r="AM6" s="284" t="s">
        <v>211</v>
      </c>
      <c r="AN6" s="284" t="s">
        <v>4157</v>
      </c>
      <c r="AO6" s="343">
        <v>9.0540000000000003</v>
      </c>
      <c r="AP6" s="343">
        <v>9.0839999999999996</v>
      </c>
      <c r="AQ6" s="343">
        <v>9.0649999999999995</v>
      </c>
      <c r="AR6" s="343">
        <v>9.07</v>
      </c>
      <c r="AW6" s="331" t="s">
        <v>136</v>
      </c>
      <c r="AY6" s="331" t="s">
        <v>699</v>
      </c>
    </row>
    <row r="7" spans="1:61" s="331" customFormat="1" ht="19.5" customHeight="1" x14ac:dyDescent="0.35">
      <c r="A7" s="334"/>
      <c r="B7" s="335" t="e">
        <f ca="1">IF(A7="",(IF(ISNUMBER(SUBSTITUTE(LEFT(RIGHT(E7,LEN(E7)-MIN(SEARCH({1,2,3,4,5,6,7,8,9,0},E7&amp;"1234567890"))+1),10),".","/"))=TRUE,AJ7-(SUBSTITUTE(LEFT(RIGHT(E7,LEN(E7)-MIN(SEARCH({1,2,3,4,5,6,7,8,9,0},E7&amp;"1234567890"))+1),10),".","/")),IF((SUBSTITUTE(LEFT(RIGHT(E7,LEN(E7)-MIN(SEARCH({1,2,3,4,5,6,7,8,9,0},E7&amp;"1234567890"))+1),10),".","/"))="","",(AJ7)-(MID(RIGHT((SUBSTITUTE(LEFT(RIGHT(E7,LEN(E7)-MIN(SEARCH({1,2,3,4,5,6,7,8,9,0},E7&amp;"1234567890"))+1),10),".","/")),10),4,2)&amp;"/"&amp;LEFT((RIGHT((SUBSTITUTE(LEFT(RIGHT(E7,LEN(E7)-MIN(SEARCH({1,2,3,4,5,6,7,8,9,0},E7&amp;"1234567890"))+1),10),".","/")),10)),2)&amp;"/"&amp;RIGHT((SUBSTITUTE(LEFT(RIGHT(E7,LEN(E7)-MIN(SEARCH({1,2,3,4,5,6,7,8,9,0},E7&amp;"1234567890"))+1),10),".","/")),4))))),(AJ7-A7))</f>
        <v>#VALUE!</v>
      </c>
      <c r="C7" s="334"/>
      <c r="D7" s="294" t="str">
        <f>"FGS"&amp;"-"&amp;H7&amp;"/"&amp;I7&amp;"-"&amp;IF(K7="",(TEXT(J7,"0.00")),(TEXT(K7,"0.00")))&amp;"X"&amp;N7&amp;"X"&amp;Q7</f>
        <v>FGS-430/2B-002X333X2440</v>
      </c>
      <c r="E7" s="294" t="s">
        <v>5342</v>
      </c>
      <c r="F7" s="294" t="s">
        <v>4157</v>
      </c>
      <c r="G7" s="294" t="s">
        <v>5344</v>
      </c>
      <c r="H7" s="294">
        <v>430</v>
      </c>
      <c r="I7" s="337" t="s">
        <v>116</v>
      </c>
      <c r="J7" s="149">
        <v>4</v>
      </c>
      <c r="K7" s="149">
        <v>1.95</v>
      </c>
      <c r="L7" s="149">
        <v>1.98</v>
      </c>
      <c r="M7" s="149">
        <v>1.99</v>
      </c>
      <c r="N7" s="335">
        <v>333</v>
      </c>
      <c r="O7" s="296">
        <v>0.222</v>
      </c>
      <c r="P7" s="345"/>
      <c r="Q7" s="372">
        <v>2440</v>
      </c>
      <c r="R7" s="138" t="s">
        <v>3847</v>
      </c>
      <c r="S7" s="339">
        <v>18</v>
      </c>
      <c r="T7" s="299"/>
      <c r="U7" s="282" t="s">
        <v>3497</v>
      </c>
      <c r="V7" s="282"/>
      <c r="W7" s="282" t="s">
        <v>208</v>
      </c>
      <c r="X7" s="340">
        <v>43446</v>
      </c>
      <c r="Y7" s="340">
        <v>43446</v>
      </c>
      <c r="Z7" s="340">
        <v>43447</v>
      </c>
      <c r="AA7" s="340">
        <v>43601</v>
      </c>
      <c r="AB7" s="340"/>
      <c r="AC7" s="341"/>
      <c r="AD7" s="342" t="s">
        <v>64</v>
      </c>
      <c r="AE7" s="342" t="s">
        <v>209</v>
      </c>
      <c r="AF7" s="284" t="s">
        <v>210</v>
      </c>
      <c r="AG7" s="284">
        <v>43313</v>
      </c>
      <c r="AH7" s="284">
        <v>43413</v>
      </c>
      <c r="AI7" s="284"/>
      <c r="AJ7" s="334">
        <f t="shared" ca="1" si="0"/>
        <v>44963</v>
      </c>
      <c r="AK7" s="342">
        <f t="shared" ca="1" si="1"/>
        <v>1550</v>
      </c>
      <c r="AL7" s="342"/>
      <c r="AM7" s="284" t="s">
        <v>211</v>
      </c>
      <c r="AN7" s="284" t="s">
        <v>4157</v>
      </c>
      <c r="AO7" s="343">
        <v>9.0540000000000003</v>
      </c>
      <c r="AP7" s="343">
        <v>9.0839999999999996</v>
      </c>
      <c r="AQ7" s="343">
        <v>9.0649999999999995</v>
      </c>
      <c r="AR7" s="343">
        <v>9.07</v>
      </c>
      <c r="AW7" s="331" t="s">
        <v>136</v>
      </c>
    </row>
    <row r="8" spans="1:61" s="331" customFormat="1" ht="19.5" customHeight="1" x14ac:dyDescent="0.35">
      <c r="A8" s="334"/>
      <c r="B8" s="335" t="e">
        <f ca="1">IF(A8="",(IF(ISNUMBER(SUBSTITUTE(LEFT(RIGHT(E8,LEN(E8)-MIN(SEARCH({1,2,3,4,5,6,7,8,9,0},E8&amp;"1234567890"))+1),10),".","/"))=TRUE,AJ8-(SUBSTITUTE(LEFT(RIGHT(E8,LEN(E8)-MIN(SEARCH({1,2,3,4,5,6,7,8,9,0},E8&amp;"1234567890"))+1),10),".","/")),IF((SUBSTITUTE(LEFT(RIGHT(E8,LEN(E8)-MIN(SEARCH({1,2,3,4,5,6,7,8,9,0},E8&amp;"1234567890"))+1),10),".","/"))="","",(AJ8)-(MID(RIGHT((SUBSTITUTE(LEFT(RIGHT(E8,LEN(E8)-MIN(SEARCH({1,2,3,4,5,6,7,8,9,0},E8&amp;"1234567890"))+1),10),".","/")),10),4,2)&amp;"/"&amp;LEFT((RIGHT((SUBSTITUTE(LEFT(RIGHT(E8,LEN(E8)-MIN(SEARCH({1,2,3,4,5,6,7,8,9,0},E8&amp;"1234567890"))+1),10),".","/")),10)),2)&amp;"/"&amp;RIGHT((SUBSTITUTE(LEFT(RIGHT(E8,LEN(E8)-MIN(SEARCH({1,2,3,4,5,6,7,8,9,0},E8&amp;"1234567890"))+1),10),".","/")),4))))),(AJ8-A8))</f>
        <v>#VALUE!</v>
      </c>
      <c r="C8" s="334"/>
      <c r="D8" s="294" t="str">
        <f>"FGS"&amp;"-"&amp;H8&amp;"/"&amp;I8&amp;"-"&amp;IF(K8="",(TEXT(J8,"0.00")),(TEXT(K8,"0.00")))&amp;"X"&amp;N8&amp;"X"&amp;Q8</f>
        <v>FGS-J1/2B-000X600X2438</v>
      </c>
      <c r="E8" s="294" t="s">
        <v>5345</v>
      </c>
      <c r="F8" s="294" t="s">
        <v>4831</v>
      </c>
      <c r="G8" s="294" t="s">
        <v>5346</v>
      </c>
      <c r="H8" s="294" t="s">
        <v>27</v>
      </c>
      <c r="I8" s="337" t="s">
        <v>116</v>
      </c>
      <c r="J8" s="149">
        <v>0.92</v>
      </c>
      <c r="K8" s="149">
        <v>0.47</v>
      </c>
      <c r="L8" s="149">
        <v>0.47</v>
      </c>
      <c r="M8" s="149">
        <v>0.46</v>
      </c>
      <c r="N8" s="335">
        <v>600</v>
      </c>
      <c r="O8" s="296">
        <v>0.9</v>
      </c>
      <c r="P8" s="345"/>
      <c r="Q8" s="372">
        <v>2438</v>
      </c>
      <c r="R8" s="138" t="s">
        <v>3847</v>
      </c>
      <c r="S8" s="339">
        <v>400</v>
      </c>
      <c r="T8" s="299"/>
      <c r="U8" s="282" t="s">
        <v>3497</v>
      </c>
      <c r="V8" s="282" t="s">
        <v>5347</v>
      </c>
      <c r="W8" s="282"/>
      <c r="X8" s="340">
        <v>44208</v>
      </c>
      <c r="Y8" s="340">
        <v>44208</v>
      </c>
      <c r="Z8" s="340">
        <v>44209</v>
      </c>
      <c r="AA8" s="340">
        <v>44207</v>
      </c>
      <c r="AB8" s="340"/>
      <c r="AC8" s="341"/>
      <c r="AD8" s="342" t="s">
        <v>116</v>
      </c>
      <c r="AE8" s="342" t="s">
        <v>261</v>
      </c>
      <c r="AF8" s="284" t="s">
        <v>278</v>
      </c>
      <c r="AG8" s="284"/>
      <c r="AH8" s="284">
        <v>44126</v>
      </c>
      <c r="AI8" s="284"/>
      <c r="AJ8" s="334">
        <f t="shared" ca="1" si="0"/>
        <v>44963</v>
      </c>
      <c r="AK8" s="342">
        <f t="shared" ca="1" si="1"/>
        <v>837</v>
      </c>
      <c r="AL8" s="342">
        <f ca="1">IF(ISNUMBER(Z8)=TRUE,AJ8-Z8,IF(Z8="","",(AJ8)-(MID(RIGHT(Z8,10),4,2)&amp;"/"&amp;LEFT((RIGHT(Z8,10)),2)&amp;"/"&amp;RIGHT(Z8,4))))</f>
        <v>754</v>
      </c>
      <c r="AM8" s="284" t="s">
        <v>4834</v>
      </c>
      <c r="AN8" s="284" t="s">
        <v>4835</v>
      </c>
      <c r="AO8" s="343">
        <v>11.269</v>
      </c>
      <c r="AP8" s="343">
        <v>11.298999999999999</v>
      </c>
      <c r="AQ8" s="343">
        <v>11.323999999999998</v>
      </c>
      <c r="AR8" s="343">
        <v>11.328999999999999</v>
      </c>
      <c r="AS8" s="331">
        <f ca="1">IF(ISNUMBER(Y8)=TRUE,AJ8-Y8,IF(Y8="","",(AJ8)-(MID(RIGHT(Y8,10),4,2)&amp;"/"&amp;LEFT((RIGHT(Y8,10)),2)&amp;"/"&amp;RIGHT(Y8,4))))</f>
        <v>755</v>
      </c>
      <c r="AV8" s="331" t="s">
        <v>136</v>
      </c>
    </row>
    <row r="9" spans="1:61" s="331" customFormat="1" ht="18" customHeight="1" x14ac:dyDescent="0.35">
      <c r="A9" s="334"/>
      <c r="B9" s="335"/>
      <c r="C9" s="334"/>
      <c r="D9" s="294" t="str">
        <f t="shared" ref="D9:D20" si="2">"FGS"&amp;"-"&amp;H9&amp;"/"&amp;I9&amp;"-"&amp;IF(K9="",(TEXT(J9,"0.00")),(TEXT(K9,"0.00")))&amp;"X"&amp;N9&amp;"X"&amp;Q9</f>
        <v>FGS-J3/2B-001X600X2438</v>
      </c>
      <c r="E9" s="294" t="s">
        <v>5348</v>
      </c>
      <c r="F9" s="294" t="s">
        <v>5349</v>
      </c>
      <c r="G9" s="294" t="s">
        <v>5350</v>
      </c>
      <c r="H9" s="294" t="s">
        <v>29</v>
      </c>
      <c r="I9" s="337" t="s">
        <v>116</v>
      </c>
      <c r="J9" s="149">
        <v>2.2000000000000002</v>
      </c>
      <c r="K9" s="149">
        <v>0.76</v>
      </c>
      <c r="L9" s="149">
        <v>0.75</v>
      </c>
      <c r="M9" s="149">
        <v>0.77</v>
      </c>
      <c r="N9" s="335">
        <v>600</v>
      </c>
      <c r="O9" s="837">
        <v>1.635</v>
      </c>
      <c r="P9" s="345"/>
      <c r="Q9" s="138">
        <v>2438</v>
      </c>
      <c r="R9" s="138" t="s">
        <v>3847</v>
      </c>
      <c r="S9" s="339">
        <v>3</v>
      </c>
      <c r="T9" s="299"/>
      <c r="U9" s="282" t="s">
        <v>3497</v>
      </c>
      <c r="V9" s="282"/>
      <c r="W9" s="138" t="s">
        <v>116</v>
      </c>
      <c r="X9" s="340">
        <v>44378</v>
      </c>
      <c r="Y9" s="340">
        <v>44378</v>
      </c>
      <c r="Z9" s="340">
        <v>44379</v>
      </c>
      <c r="AA9" s="340">
        <v>44420</v>
      </c>
      <c r="AB9" s="340"/>
      <c r="AC9" s="341"/>
      <c r="AD9" s="342" t="s">
        <v>64</v>
      </c>
      <c r="AE9" s="342" t="s">
        <v>468</v>
      </c>
      <c r="AF9" s="284"/>
      <c r="AG9" s="284"/>
      <c r="AH9" s="284">
        <v>44373</v>
      </c>
      <c r="AI9" s="284"/>
      <c r="AJ9" s="334">
        <f t="shared" ca="1" si="0"/>
        <v>44963</v>
      </c>
      <c r="AK9" s="342">
        <f t="shared" ca="1" si="1"/>
        <v>590</v>
      </c>
      <c r="AL9" s="342"/>
      <c r="AM9" s="284" t="s">
        <v>725</v>
      </c>
      <c r="AN9" s="284" t="s">
        <v>5351</v>
      </c>
      <c r="AO9" s="343">
        <v>9.859</v>
      </c>
      <c r="AP9" s="343">
        <v>9.8989999999999991</v>
      </c>
      <c r="AQ9" s="343">
        <v>9.9239999999999977</v>
      </c>
      <c r="AR9" s="343">
        <v>9.9289999999999985</v>
      </c>
      <c r="AS9" s="331">
        <f ca="1">IF(ISNUMBER(Y9)=TRUE,AJ9-Y9,IF(Y9="","",(AJ9)-(MID(RIGHT(Y9,10),4,2)&amp;"/"&amp;LEFT((RIGHT(Y9,10)),2)&amp;"/"&amp;RIGHT(Y9,4))))</f>
        <v>585</v>
      </c>
      <c r="AV9" s="331" t="s">
        <v>136</v>
      </c>
    </row>
    <row r="10" spans="1:61" s="331" customFormat="1" ht="18" customHeight="1" x14ac:dyDescent="0.35">
      <c r="A10" s="334"/>
      <c r="B10" s="335"/>
      <c r="C10" s="334"/>
      <c r="D10" s="294" t="str">
        <f t="shared" si="2"/>
        <v>FGS-J3/2B-001X600X2438</v>
      </c>
      <c r="E10" s="294" t="s">
        <v>5348</v>
      </c>
      <c r="F10" s="294" t="s">
        <v>5349</v>
      </c>
      <c r="G10" s="294" t="s">
        <v>5352</v>
      </c>
      <c r="H10" s="294" t="s">
        <v>29</v>
      </c>
      <c r="I10" s="337" t="s">
        <v>116</v>
      </c>
      <c r="J10" s="149">
        <v>2.2000000000000002</v>
      </c>
      <c r="K10" s="149">
        <v>0.76</v>
      </c>
      <c r="L10" s="149">
        <v>0.75</v>
      </c>
      <c r="M10" s="149">
        <v>0.77</v>
      </c>
      <c r="N10" s="335">
        <v>600</v>
      </c>
      <c r="O10" s="844"/>
      <c r="P10" s="345"/>
      <c r="Q10" s="138">
        <v>2438</v>
      </c>
      <c r="R10" s="138" t="s">
        <v>3847</v>
      </c>
      <c r="S10" s="339">
        <v>9</v>
      </c>
      <c r="T10" s="299"/>
      <c r="U10" s="282" t="s">
        <v>3497</v>
      </c>
      <c r="V10" s="282"/>
      <c r="W10" s="138" t="s">
        <v>116</v>
      </c>
      <c r="X10" s="340">
        <v>44378</v>
      </c>
      <c r="Y10" s="340">
        <v>44378</v>
      </c>
      <c r="Z10" s="340">
        <v>44379</v>
      </c>
      <c r="AA10" s="340">
        <v>44420</v>
      </c>
      <c r="AB10" s="340"/>
      <c r="AC10" s="341"/>
      <c r="AD10" s="342" t="s">
        <v>64</v>
      </c>
      <c r="AE10" s="342" t="s">
        <v>468</v>
      </c>
      <c r="AF10" s="284"/>
      <c r="AG10" s="284"/>
      <c r="AH10" s="284">
        <v>44373</v>
      </c>
      <c r="AI10" s="284"/>
      <c r="AJ10" s="334">
        <f t="shared" ca="1" si="0"/>
        <v>44963</v>
      </c>
      <c r="AK10" s="342">
        <f t="shared" ca="1" si="1"/>
        <v>590</v>
      </c>
      <c r="AL10" s="342"/>
      <c r="AM10" s="284" t="s">
        <v>725</v>
      </c>
      <c r="AN10" s="284" t="s">
        <v>5351</v>
      </c>
      <c r="AO10" s="343">
        <v>9.859</v>
      </c>
      <c r="AP10" s="343">
        <v>9.8989999999999991</v>
      </c>
      <c r="AQ10" s="343">
        <v>9.9239999999999977</v>
      </c>
      <c r="AR10" s="343">
        <v>9.9289999999999985</v>
      </c>
      <c r="AS10" s="331">
        <f ca="1">IF(ISNUMBER(Y10)=TRUE,AJ10-Y10,IF(Y10="","",(AJ10)-(MID(RIGHT(Y10,10),4,2)&amp;"/"&amp;LEFT((RIGHT(Y10,10)),2)&amp;"/"&amp;RIGHT(Y10,4))))</f>
        <v>585</v>
      </c>
      <c r="AV10" s="331" t="s">
        <v>136</v>
      </c>
    </row>
    <row r="11" spans="1:61" s="331" customFormat="1" ht="18" customHeight="1" x14ac:dyDescent="0.35">
      <c r="A11" s="334"/>
      <c r="B11" s="335"/>
      <c r="C11" s="334"/>
      <c r="D11" s="294" t="str">
        <f t="shared" si="2"/>
        <v>FGS-J3/2B-001X600X2438</v>
      </c>
      <c r="E11" s="294" t="s">
        <v>5348</v>
      </c>
      <c r="F11" s="294" t="s">
        <v>5353</v>
      </c>
      <c r="G11" s="294" t="s">
        <v>5354</v>
      </c>
      <c r="H11" s="294" t="s">
        <v>29</v>
      </c>
      <c r="I11" s="337" t="s">
        <v>116</v>
      </c>
      <c r="J11" s="149">
        <v>2.2000000000000002</v>
      </c>
      <c r="K11" s="149">
        <v>0.66</v>
      </c>
      <c r="L11" s="149">
        <v>0.65</v>
      </c>
      <c r="M11" s="149">
        <v>0.66</v>
      </c>
      <c r="N11" s="335">
        <v>600</v>
      </c>
      <c r="O11" s="844"/>
      <c r="P11" s="345"/>
      <c r="Q11" s="138">
        <v>2438</v>
      </c>
      <c r="R11" s="138" t="s">
        <v>3847</v>
      </c>
      <c r="S11" s="339">
        <v>8</v>
      </c>
      <c r="T11" s="299"/>
      <c r="U11" s="282" t="s">
        <v>3497</v>
      </c>
      <c r="V11" s="282"/>
      <c r="W11" s="138" t="s">
        <v>116</v>
      </c>
      <c r="X11" s="340">
        <v>44378</v>
      </c>
      <c r="Y11" s="340">
        <v>44379</v>
      </c>
      <c r="Z11" s="340">
        <v>44379</v>
      </c>
      <c r="AA11" s="340">
        <v>44420</v>
      </c>
      <c r="AB11" s="340"/>
      <c r="AC11" s="341"/>
      <c r="AD11" s="342" t="s">
        <v>64</v>
      </c>
      <c r="AE11" s="342" t="s">
        <v>468</v>
      </c>
      <c r="AF11" s="284"/>
      <c r="AG11" s="284"/>
      <c r="AH11" s="284">
        <v>44373</v>
      </c>
      <c r="AI11" s="284"/>
      <c r="AJ11" s="334">
        <f t="shared" ca="1" si="0"/>
        <v>44963</v>
      </c>
      <c r="AK11" s="342">
        <f t="shared" ca="1" si="1"/>
        <v>590</v>
      </c>
      <c r="AL11" s="342"/>
      <c r="AM11" s="284" t="s">
        <v>5355</v>
      </c>
      <c r="AN11" s="284" t="s">
        <v>5351</v>
      </c>
      <c r="AO11" s="343">
        <v>9.8510000000000009</v>
      </c>
      <c r="AP11" s="343">
        <v>9.891</v>
      </c>
      <c r="AQ11" s="343">
        <v>9.9159999999999986</v>
      </c>
      <c r="AR11" s="343">
        <v>9.9209999999999994</v>
      </c>
      <c r="AS11" s="331">
        <f ca="1">IF(ISNUMBER(Y11)=TRUE,AJ11-Y11,IF(Y11="","",(AJ11)-(MID(RIGHT(Y11,10),4,2)&amp;"/"&amp;LEFT((RIGHT(Y11,10)),2)&amp;"/"&amp;RIGHT(Y11,4))))</f>
        <v>584</v>
      </c>
      <c r="AV11" s="331" t="s">
        <v>136</v>
      </c>
    </row>
    <row r="12" spans="1:61" s="331" customFormat="1" ht="18" customHeight="1" x14ac:dyDescent="0.35">
      <c r="A12" s="334"/>
      <c r="B12" s="335"/>
      <c r="C12" s="334"/>
      <c r="D12" s="294" t="str">
        <f t="shared" si="2"/>
        <v>FGS-J3/2B-001X600X2438</v>
      </c>
      <c r="E12" s="294" t="s">
        <v>5348</v>
      </c>
      <c r="F12" s="294" t="s">
        <v>5353</v>
      </c>
      <c r="G12" s="294" t="s">
        <v>5356</v>
      </c>
      <c r="H12" s="294" t="s">
        <v>29</v>
      </c>
      <c r="I12" s="337" t="s">
        <v>116</v>
      </c>
      <c r="J12" s="149">
        <v>2.2000000000000002</v>
      </c>
      <c r="K12" s="149">
        <v>0.66</v>
      </c>
      <c r="L12" s="149">
        <v>0.65</v>
      </c>
      <c r="M12" s="149">
        <v>0.66</v>
      </c>
      <c r="N12" s="335">
        <v>600</v>
      </c>
      <c r="O12" s="844"/>
      <c r="P12" s="345"/>
      <c r="Q12" s="138">
        <v>2438</v>
      </c>
      <c r="R12" s="138" t="s">
        <v>3847</v>
      </c>
      <c r="S12" s="339">
        <v>9</v>
      </c>
      <c r="T12" s="299"/>
      <c r="U12" s="282" t="s">
        <v>3497</v>
      </c>
      <c r="V12" s="282"/>
      <c r="W12" s="138" t="s">
        <v>116</v>
      </c>
      <c r="X12" s="340">
        <v>44378</v>
      </c>
      <c r="Y12" s="340">
        <v>44379</v>
      </c>
      <c r="Z12" s="340">
        <v>44379</v>
      </c>
      <c r="AA12" s="340">
        <v>44420</v>
      </c>
      <c r="AB12" s="340"/>
      <c r="AC12" s="341"/>
      <c r="AD12" s="342" t="s">
        <v>64</v>
      </c>
      <c r="AE12" s="342" t="s">
        <v>468</v>
      </c>
      <c r="AF12" s="284"/>
      <c r="AG12" s="284"/>
      <c r="AH12" s="284">
        <v>44373</v>
      </c>
      <c r="AI12" s="284"/>
      <c r="AJ12" s="334">
        <f t="shared" ca="1" si="0"/>
        <v>44963</v>
      </c>
      <c r="AK12" s="342">
        <f t="shared" ca="1" si="1"/>
        <v>590</v>
      </c>
      <c r="AL12" s="342"/>
      <c r="AM12" s="284" t="s">
        <v>5355</v>
      </c>
      <c r="AN12" s="284" t="s">
        <v>5351</v>
      </c>
      <c r="AO12" s="343">
        <v>9.8510000000000009</v>
      </c>
      <c r="AP12" s="343">
        <v>9.891</v>
      </c>
      <c r="AQ12" s="343">
        <v>9.9159999999999986</v>
      </c>
      <c r="AR12" s="343">
        <v>9.9209999999999994</v>
      </c>
      <c r="AS12" s="331">
        <f ca="1">IF(ISNUMBER(Y12)=TRUE,AJ12-Y12,IF(Y12="","",(AJ12)-(MID(RIGHT(Y12,10),4,2)&amp;"/"&amp;LEFT((RIGHT(Y12,10)),2)&amp;"/"&amp;RIGHT(Y12,4))))</f>
        <v>584</v>
      </c>
      <c r="AV12" s="331" t="s">
        <v>136</v>
      </c>
    </row>
    <row r="13" spans="1:61" s="331" customFormat="1" ht="18" customHeight="1" x14ac:dyDescent="0.35">
      <c r="A13" s="334"/>
      <c r="B13" s="335"/>
      <c r="C13" s="334"/>
      <c r="D13" s="294" t="str">
        <f t="shared" si="2"/>
        <v>FGS-J1/2B-000X600X2438</v>
      </c>
      <c r="E13" s="294" t="s">
        <v>5348</v>
      </c>
      <c r="F13" s="294" t="s">
        <v>5357</v>
      </c>
      <c r="G13" s="294" t="s">
        <v>5358</v>
      </c>
      <c r="H13" s="294" t="s">
        <v>27</v>
      </c>
      <c r="I13" s="337" t="s">
        <v>116</v>
      </c>
      <c r="J13" s="149">
        <v>0.45</v>
      </c>
      <c r="K13" s="149">
        <v>0.45</v>
      </c>
      <c r="L13" s="149"/>
      <c r="M13" s="149"/>
      <c r="N13" s="335">
        <v>600</v>
      </c>
      <c r="O13" s="844"/>
      <c r="P13" s="345"/>
      <c r="Q13" s="138">
        <v>2438</v>
      </c>
      <c r="R13" s="138" t="s">
        <v>3847</v>
      </c>
      <c r="S13" s="339">
        <v>50</v>
      </c>
      <c r="T13" s="299"/>
      <c r="U13" s="282" t="s">
        <v>3497</v>
      </c>
      <c r="V13" s="282"/>
      <c r="W13" s="138"/>
      <c r="X13" s="340"/>
      <c r="Y13" s="340"/>
      <c r="Z13" s="340"/>
      <c r="AA13" s="340">
        <v>44434</v>
      </c>
      <c r="AB13" s="340"/>
      <c r="AC13" s="341"/>
      <c r="AD13" s="342" t="s">
        <v>116</v>
      </c>
      <c r="AE13" s="342" t="s">
        <v>903</v>
      </c>
      <c r="AF13" s="284" t="s">
        <v>1127</v>
      </c>
      <c r="AG13" s="284">
        <v>44399</v>
      </c>
      <c r="AH13" s="284">
        <v>44428</v>
      </c>
      <c r="AI13" s="284"/>
      <c r="AJ13" s="334">
        <f t="shared" ca="1" si="0"/>
        <v>44963</v>
      </c>
      <c r="AK13" s="342">
        <f t="shared" ca="1" si="1"/>
        <v>535</v>
      </c>
      <c r="AL13" s="342"/>
      <c r="AM13" s="284" t="s">
        <v>5359</v>
      </c>
      <c r="AN13" s="284" t="s">
        <v>5360</v>
      </c>
      <c r="AO13" s="343">
        <v>4.7990000000000004</v>
      </c>
      <c r="AP13" s="343">
        <v>4.8090000000000002</v>
      </c>
      <c r="AQ13" s="343">
        <v>4.7990000000000004</v>
      </c>
      <c r="AR13" s="343">
        <v>4.8090000000000002</v>
      </c>
      <c r="AV13" s="331" t="s">
        <v>136</v>
      </c>
    </row>
    <row r="14" spans="1:61" s="331" customFormat="1" ht="18" customHeight="1" x14ac:dyDescent="0.35">
      <c r="A14" s="334"/>
      <c r="B14" s="335"/>
      <c r="C14" s="334"/>
      <c r="D14" s="294" t="str">
        <f t="shared" si="2"/>
        <v>FGS-J1/2B-000X600X2438</v>
      </c>
      <c r="E14" s="294" t="s">
        <v>5348</v>
      </c>
      <c r="F14" s="294" t="s">
        <v>5361</v>
      </c>
      <c r="G14" s="294" t="s">
        <v>5362</v>
      </c>
      <c r="H14" s="294" t="s">
        <v>27</v>
      </c>
      <c r="I14" s="337" t="s">
        <v>116</v>
      </c>
      <c r="J14" s="149">
        <v>0.45</v>
      </c>
      <c r="K14" s="149">
        <v>0.45</v>
      </c>
      <c r="L14" s="149"/>
      <c r="M14" s="149"/>
      <c r="N14" s="335">
        <v>600</v>
      </c>
      <c r="O14" s="844"/>
      <c r="P14" s="345"/>
      <c r="Q14" s="138">
        <v>2438</v>
      </c>
      <c r="R14" s="138" t="s">
        <v>3847</v>
      </c>
      <c r="S14" s="339">
        <v>39</v>
      </c>
      <c r="T14" s="299"/>
      <c r="U14" s="282" t="s">
        <v>3497</v>
      </c>
      <c r="V14" s="282"/>
      <c r="W14" s="138"/>
      <c r="X14" s="340"/>
      <c r="Y14" s="340"/>
      <c r="Z14" s="340"/>
      <c r="AA14" s="340">
        <v>44435</v>
      </c>
      <c r="AB14" s="340"/>
      <c r="AC14" s="341"/>
      <c r="AD14" s="342" t="s">
        <v>116</v>
      </c>
      <c r="AE14" s="342" t="s">
        <v>903</v>
      </c>
      <c r="AF14" s="284" t="s">
        <v>1127</v>
      </c>
      <c r="AG14" s="284">
        <v>44399</v>
      </c>
      <c r="AH14" s="284">
        <v>44428</v>
      </c>
      <c r="AI14" s="284"/>
      <c r="AJ14" s="334">
        <f t="shared" ca="1" si="0"/>
        <v>44963</v>
      </c>
      <c r="AK14" s="342">
        <f t="shared" ca="1" si="1"/>
        <v>535</v>
      </c>
      <c r="AL14" s="342"/>
      <c r="AM14" s="284" t="s">
        <v>5359</v>
      </c>
      <c r="AN14" s="284" t="s">
        <v>5363</v>
      </c>
      <c r="AO14" s="343">
        <v>4.8090000000000002</v>
      </c>
      <c r="AP14" s="343">
        <v>4.819</v>
      </c>
      <c r="AQ14" s="343">
        <v>4.8090000000000002</v>
      </c>
      <c r="AR14" s="343">
        <v>4.819</v>
      </c>
      <c r="AV14" s="331" t="s">
        <v>136</v>
      </c>
    </row>
    <row r="15" spans="1:61" s="331" customFormat="1" ht="18" customHeight="1" x14ac:dyDescent="0.35">
      <c r="A15" s="334"/>
      <c r="B15" s="335"/>
      <c r="C15" s="334"/>
      <c r="D15" s="294" t="str">
        <f t="shared" si="2"/>
        <v>FGS-J1/2B-001X600X2438</v>
      </c>
      <c r="E15" s="294" t="s">
        <v>5348</v>
      </c>
      <c r="F15" s="294" t="s">
        <v>5364</v>
      </c>
      <c r="G15" s="294" t="s">
        <v>5365</v>
      </c>
      <c r="H15" s="294" t="s">
        <v>27</v>
      </c>
      <c r="I15" s="337" t="s">
        <v>116</v>
      </c>
      <c r="J15" s="149">
        <v>0.55000000000000004</v>
      </c>
      <c r="K15" s="149">
        <v>0.55000000000000004</v>
      </c>
      <c r="L15" s="149"/>
      <c r="M15" s="149"/>
      <c r="N15" s="335">
        <v>600</v>
      </c>
      <c r="O15" s="844"/>
      <c r="P15" s="345"/>
      <c r="Q15" s="138">
        <v>2438</v>
      </c>
      <c r="R15" s="138" t="s">
        <v>3847</v>
      </c>
      <c r="S15" s="339">
        <v>27</v>
      </c>
      <c r="T15" s="299"/>
      <c r="U15" s="282" t="s">
        <v>3497</v>
      </c>
      <c r="V15" s="282"/>
      <c r="W15" s="138"/>
      <c r="X15" s="340"/>
      <c r="Y15" s="340"/>
      <c r="Z15" s="340"/>
      <c r="AA15" s="340">
        <v>44434</v>
      </c>
      <c r="AB15" s="340"/>
      <c r="AC15" s="341"/>
      <c r="AD15" s="342" t="s">
        <v>116</v>
      </c>
      <c r="AE15" s="342" t="s">
        <v>903</v>
      </c>
      <c r="AF15" s="284" t="s">
        <v>1127</v>
      </c>
      <c r="AG15" s="284">
        <v>44399</v>
      </c>
      <c r="AH15" s="284">
        <v>44428</v>
      </c>
      <c r="AI15" s="284"/>
      <c r="AJ15" s="334">
        <f t="shared" ca="1" si="0"/>
        <v>44963</v>
      </c>
      <c r="AK15" s="342">
        <f t="shared" ca="1" si="1"/>
        <v>535</v>
      </c>
      <c r="AL15" s="342"/>
      <c r="AM15" s="284" t="s">
        <v>1128</v>
      </c>
      <c r="AN15" s="284" t="s">
        <v>5366</v>
      </c>
      <c r="AO15" s="343">
        <v>4.9610000000000003</v>
      </c>
      <c r="AP15" s="343">
        <v>4.9710000000000001</v>
      </c>
      <c r="AQ15" s="343">
        <v>4.9610000000000003</v>
      </c>
      <c r="AR15" s="343">
        <v>4.9710000000000001</v>
      </c>
      <c r="AV15" s="331" t="s">
        <v>136</v>
      </c>
    </row>
    <row r="16" spans="1:61" s="331" customFormat="1" ht="18" customHeight="1" x14ac:dyDescent="0.35">
      <c r="A16" s="334"/>
      <c r="B16" s="335"/>
      <c r="C16" s="334"/>
      <c r="D16" s="294" t="str">
        <f t="shared" si="2"/>
        <v>FGS-J1/2B-001X600X2438</v>
      </c>
      <c r="E16" s="294" t="s">
        <v>5348</v>
      </c>
      <c r="F16" s="294" t="s">
        <v>5367</v>
      </c>
      <c r="G16" s="294" t="s">
        <v>5368</v>
      </c>
      <c r="H16" s="294" t="s">
        <v>27</v>
      </c>
      <c r="I16" s="337" t="s">
        <v>116</v>
      </c>
      <c r="J16" s="149">
        <v>0.55000000000000004</v>
      </c>
      <c r="K16" s="149">
        <v>0.55000000000000004</v>
      </c>
      <c r="L16" s="149"/>
      <c r="M16" s="149"/>
      <c r="N16" s="335">
        <v>600</v>
      </c>
      <c r="O16" s="844"/>
      <c r="P16" s="345"/>
      <c r="Q16" s="138">
        <v>2438</v>
      </c>
      <c r="R16" s="138" t="s">
        <v>3847</v>
      </c>
      <c r="S16" s="339">
        <v>26</v>
      </c>
      <c r="T16" s="299"/>
      <c r="U16" s="282" t="s">
        <v>3497</v>
      </c>
      <c r="V16" s="282"/>
      <c r="W16" s="138"/>
      <c r="X16" s="340"/>
      <c r="Y16" s="340"/>
      <c r="Z16" s="340"/>
      <c r="AA16" s="340">
        <v>44435</v>
      </c>
      <c r="AB16" s="340"/>
      <c r="AC16" s="341"/>
      <c r="AD16" s="342" t="s">
        <v>116</v>
      </c>
      <c r="AE16" s="342" t="s">
        <v>903</v>
      </c>
      <c r="AF16" s="284" t="s">
        <v>1127</v>
      </c>
      <c r="AG16" s="284">
        <v>44399</v>
      </c>
      <c r="AH16" s="284">
        <v>44428</v>
      </c>
      <c r="AI16" s="284"/>
      <c r="AJ16" s="334">
        <f t="shared" ca="1" si="0"/>
        <v>44963</v>
      </c>
      <c r="AK16" s="342">
        <f t="shared" ca="1" si="1"/>
        <v>535</v>
      </c>
      <c r="AL16" s="342"/>
      <c r="AM16" s="284" t="s">
        <v>5359</v>
      </c>
      <c r="AN16" s="284" t="s">
        <v>5369</v>
      </c>
      <c r="AO16" s="343">
        <v>5.0730000000000004</v>
      </c>
      <c r="AP16" s="343">
        <v>5.0830000000000002</v>
      </c>
      <c r="AQ16" s="343">
        <v>5.0730000000000004</v>
      </c>
      <c r="AR16" s="343">
        <v>5.0830000000000002</v>
      </c>
      <c r="AV16" s="331" t="s">
        <v>136</v>
      </c>
    </row>
    <row r="17" spans="1:48" s="331" customFormat="1" ht="18" customHeight="1" x14ac:dyDescent="0.35">
      <c r="A17" s="334"/>
      <c r="B17" s="335"/>
      <c r="C17" s="334"/>
      <c r="D17" s="294" t="str">
        <f t="shared" si="2"/>
        <v>FGS-J1/2B-000X600X2438</v>
      </c>
      <c r="E17" s="294" t="s">
        <v>5348</v>
      </c>
      <c r="F17" s="294" t="s">
        <v>5370</v>
      </c>
      <c r="G17" s="294" t="s">
        <v>5371</v>
      </c>
      <c r="H17" s="294" t="s">
        <v>27</v>
      </c>
      <c r="I17" s="337" t="s">
        <v>116</v>
      </c>
      <c r="J17" s="149">
        <v>0.45</v>
      </c>
      <c r="K17" s="149">
        <v>0.45</v>
      </c>
      <c r="L17" s="149"/>
      <c r="M17" s="149"/>
      <c r="N17" s="335">
        <v>600</v>
      </c>
      <c r="O17" s="844"/>
      <c r="P17" s="345"/>
      <c r="Q17" s="138">
        <v>2438</v>
      </c>
      <c r="R17" s="138" t="s">
        <v>3847</v>
      </c>
      <c r="S17" s="339">
        <v>41</v>
      </c>
      <c r="T17" s="299"/>
      <c r="U17" s="282" t="s">
        <v>3497</v>
      </c>
      <c r="V17" s="282"/>
      <c r="W17" s="138"/>
      <c r="X17" s="340"/>
      <c r="Y17" s="340"/>
      <c r="Z17" s="340"/>
      <c r="AA17" s="340">
        <v>44434</v>
      </c>
      <c r="AB17" s="340"/>
      <c r="AC17" s="341"/>
      <c r="AD17" s="342" t="s">
        <v>116</v>
      </c>
      <c r="AE17" s="342" t="s">
        <v>903</v>
      </c>
      <c r="AF17" s="284" t="s">
        <v>1127</v>
      </c>
      <c r="AG17" s="284">
        <v>44399</v>
      </c>
      <c r="AH17" s="284">
        <v>44428</v>
      </c>
      <c r="AI17" s="284"/>
      <c r="AJ17" s="334">
        <f t="shared" ca="1" si="0"/>
        <v>44963</v>
      </c>
      <c r="AK17" s="342">
        <f t="shared" ca="1" si="1"/>
        <v>535</v>
      </c>
      <c r="AL17" s="342"/>
      <c r="AM17" s="284" t="s">
        <v>5359</v>
      </c>
      <c r="AN17" s="284" t="s">
        <v>5372</v>
      </c>
      <c r="AO17" s="343">
        <v>5.0110000000000001</v>
      </c>
      <c r="AP17" s="343">
        <v>5.0209999999999999</v>
      </c>
      <c r="AQ17" s="343">
        <v>5.0110000000000001</v>
      </c>
      <c r="AR17" s="343">
        <v>5.0209999999999999</v>
      </c>
      <c r="AV17" s="331" t="s">
        <v>136</v>
      </c>
    </row>
    <row r="18" spans="1:48" s="331" customFormat="1" ht="18" customHeight="1" x14ac:dyDescent="0.35">
      <c r="A18" s="334"/>
      <c r="B18" s="335"/>
      <c r="C18" s="334"/>
      <c r="D18" s="294" t="str">
        <f t="shared" si="2"/>
        <v>FGS-J1/2B-001X600X2438</v>
      </c>
      <c r="E18" s="294" t="s">
        <v>5348</v>
      </c>
      <c r="F18" s="294" t="s">
        <v>5373</v>
      </c>
      <c r="G18" s="294" t="s">
        <v>5374</v>
      </c>
      <c r="H18" s="294" t="s">
        <v>27</v>
      </c>
      <c r="I18" s="337" t="s">
        <v>116</v>
      </c>
      <c r="J18" s="149">
        <v>0.55000000000000004</v>
      </c>
      <c r="K18" s="149">
        <v>0.55000000000000004</v>
      </c>
      <c r="L18" s="149"/>
      <c r="M18" s="149"/>
      <c r="N18" s="335">
        <v>600</v>
      </c>
      <c r="O18" s="844"/>
      <c r="P18" s="345"/>
      <c r="Q18" s="138">
        <v>2438</v>
      </c>
      <c r="R18" s="138" t="s">
        <v>3847</v>
      </c>
      <c r="S18" s="339">
        <v>16</v>
      </c>
      <c r="T18" s="299"/>
      <c r="U18" s="282" t="s">
        <v>3497</v>
      </c>
      <c r="V18" s="282"/>
      <c r="W18" s="138"/>
      <c r="X18" s="340"/>
      <c r="Y18" s="340"/>
      <c r="Z18" s="340"/>
      <c r="AA18" s="340">
        <v>44431</v>
      </c>
      <c r="AB18" s="340"/>
      <c r="AC18" s="341"/>
      <c r="AD18" s="342" t="s">
        <v>116</v>
      </c>
      <c r="AE18" s="342" t="s">
        <v>903</v>
      </c>
      <c r="AF18" s="284" t="s">
        <v>1127</v>
      </c>
      <c r="AG18" s="284">
        <v>44399</v>
      </c>
      <c r="AH18" s="284">
        <v>44428</v>
      </c>
      <c r="AI18" s="284"/>
      <c r="AJ18" s="334">
        <f t="shared" ca="1" si="0"/>
        <v>44963</v>
      </c>
      <c r="AK18" s="342">
        <f t="shared" ca="1" si="1"/>
        <v>535</v>
      </c>
      <c r="AL18" s="342"/>
      <c r="AM18" s="284" t="s">
        <v>1128</v>
      </c>
      <c r="AN18" s="284" t="s">
        <v>5375</v>
      </c>
      <c r="AO18" s="343">
        <v>4.9050000000000002</v>
      </c>
      <c r="AP18" s="343">
        <v>4.915</v>
      </c>
      <c r="AQ18" s="343">
        <v>4.9050000000000002</v>
      </c>
      <c r="AR18" s="343">
        <v>4.915</v>
      </c>
      <c r="AV18" s="331" t="s">
        <v>136</v>
      </c>
    </row>
    <row r="19" spans="1:48" s="331" customFormat="1" ht="18" customHeight="1" x14ac:dyDescent="0.35">
      <c r="A19" s="334"/>
      <c r="B19" s="335"/>
      <c r="C19" s="334"/>
      <c r="D19" s="294" t="str">
        <f t="shared" si="2"/>
        <v>FGS-J1/2B-001X600X2438</v>
      </c>
      <c r="E19" s="294" t="s">
        <v>5348</v>
      </c>
      <c r="F19" s="294" t="s">
        <v>5376</v>
      </c>
      <c r="G19" s="294" t="s">
        <v>5377</v>
      </c>
      <c r="H19" s="294" t="s">
        <v>27</v>
      </c>
      <c r="I19" s="337" t="s">
        <v>116</v>
      </c>
      <c r="J19" s="149">
        <v>0.55000000000000004</v>
      </c>
      <c r="K19" s="149">
        <v>0.55000000000000004</v>
      </c>
      <c r="L19" s="149"/>
      <c r="M19" s="149"/>
      <c r="N19" s="335">
        <v>600</v>
      </c>
      <c r="O19" s="844"/>
      <c r="P19" s="345"/>
      <c r="Q19" s="138">
        <v>2438</v>
      </c>
      <c r="R19" s="138" t="s">
        <v>3847</v>
      </c>
      <c r="S19" s="339">
        <v>11</v>
      </c>
      <c r="T19" s="299"/>
      <c r="U19" s="282" t="s">
        <v>3497</v>
      </c>
      <c r="V19" s="282"/>
      <c r="W19" s="138"/>
      <c r="X19" s="340"/>
      <c r="Y19" s="340"/>
      <c r="Z19" s="340"/>
      <c r="AA19" s="340">
        <v>44431</v>
      </c>
      <c r="AB19" s="340"/>
      <c r="AC19" s="341"/>
      <c r="AD19" s="342" t="s">
        <v>116</v>
      </c>
      <c r="AE19" s="342" t="s">
        <v>903</v>
      </c>
      <c r="AF19" s="284" t="s">
        <v>1127</v>
      </c>
      <c r="AG19" s="284">
        <v>44399</v>
      </c>
      <c r="AH19" s="284">
        <v>44428</v>
      </c>
      <c r="AI19" s="284"/>
      <c r="AJ19" s="334">
        <f t="shared" ca="1" si="0"/>
        <v>44963</v>
      </c>
      <c r="AK19" s="342">
        <f t="shared" ca="1" si="1"/>
        <v>535</v>
      </c>
      <c r="AL19" s="342"/>
      <c r="AM19" s="284" t="s">
        <v>1128</v>
      </c>
      <c r="AN19" s="284" t="s">
        <v>5378</v>
      </c>
      <c r="AO19" s="343">
        <v>4.907</v>
      </c>
      <c r="AP19" s="343">
        <v>4.9169999999999998</v>
      </c>
      <c r="AQ19" s="343">
        <v>4.907</v>
      </c>
      <c r="AR19" s="343">
        <v>4.9169999999999998</v>
      </c>
      <c r="AV19" s="331" t="s">
        <v>136</v>
      </c>
    </row>
    <row r="20" spans="1:48" s="331" customFormat="1" ht="18" customHeight="1" x14ac:dyDescent="0.35">
      <c r="A20" s="334"/>
      <c r="B20" s="335"/>
      <c r="C20" s="334"/>
      <c r="D20" s="294" t="str">
        <f t="shared" si="2"/>
        <v>FGS-J1/2B-000X600X2438</v>
      </c>
      <c r="E20" s="294" t="s">
        <v>5348</v>
      </c>
      <c r="F20" s="294" t="s">
        <v>5379</v>
      </c>
      <c r="G20" s="294" t="s">
        <v>5380</v>
      </c>
      <c r="H20" s="294" t="s">
        <v>27</v>
      </c>
      <c r="I20" s="337" t="s">
        <v>116</v>
      </c>
      <c r="J20" s="149">
        <v>0.45</v>
      </c>
      <c r="K20" s="149">
        <v>0.45</v>
      </c>
      <c r="L20" s="149"/>
      <c r="M20" s="149"/>
      <c r="N20" s="335">
        <v>600</v>
      </c>
      <c r="O20" s="838"/>
      <c r="P20" s="345"/>
      <c r="Q20" s="138">
        <v>2438</v>
      </c>
      <c r="R20" s="138" t="s">
        <v>3847</v>
      </c>
      <c r="S20" s="339">
        <v>25</v>
      </c>
      <c r="T20" s="299"/>
      <c r="U20" s="282" t="s">
        <v>3497</v>
      </c>
      <c r="V20" s="282"/>
      <c r="W20" s="138"/>
      <c r="X20" s="340"/>
      <c r="Y20" s="340"/>
      <c r="Z20" s="340"/>
      <c r="AA20" s="340">
        <v>44435</v>
      </c>
      <c r="AB20" s="340"/>
      <c r="AC20" s="341"/>
      <c r="AD20" s="342" t="s">
        <v>116</v>
      </c>
      <c r="AE20" s="342" t="s">
        <v>903</v>
      </c>
      <c r="AF20" s="284" t="s">
        <v>1127</v>
      </c>
      <c r="AG20" s="284">
        <v>44399</v>
      </c>
      <c r="AH20" s="284">
        <v>44428</v>
      </c>
      <c r="AI20" s="284"/>
      <c r="AJ20" s="334">
        <f t="shared" ca="1" si="0"/>
        <v>44963</v>
      </c>
      <c r="AK20" s="342">
        <f t="shared" ca="1" si="1"/>
        <v>535</v>
      </c>
      <c r="AL20" s="342"/>
      <c r="AM20" s="284" t="s">
        <v>5359</v>
      </c>
      <c r="AN20" s="284" t="s">
        <v>5381</v>
      </c>
      <c r="AO20" s="343">
        <v>5.1349999999999998</v>
      </c>
      <c r="AP20" s="343">
        <v>5.1449999999999996</v>
      </c>
      <c r="AQ20" s="343">
        <v>5.1349999999999998</v>
      </c>
      <c r="AR20" s="343">
        <v>5.1449999999999996</v>
      </c>
      <c r="AV20" s="331" t="s">
        <v>136</v>
      </c>
    </row>
    <row r="21" spans="1:48" s="331" customFormat="1" ht="18" customHeight="1" x14ac:dyDescent="0.35">
      <c r="A21" s="334"/>
      <c r="B21" s="335"/>
      <c r="C21" s="334"/>
      <c r="D21" s="294" t="str">
        <f>"FGS"&amp;"-"&amp;G21&amp;"/"&amp;H21&amp;"-"&amp;IF(J21="",(TEXT(I21,"0.00")),(TEXT(J21,"0.00")))&amp;"X"&amp;M21&amp;"X"&amp;O21</f>
        <v>FGS-LM410611/410-000XX0,057</v>
      </c>
      <c r="E21" s="294" t="s">
        <v>3950</v>
      </c>
      <c r="F21" s="294" t="s">
        <v>5382</v>
      </c>
      <c r="G21" s="294" t="s">
        <v>5383</v>
      </c>
      <c r="H21" s="294">
        <v>410</v>
      </c>
      <c r="I21" s="337" t="s">
        <v>169</v>
      </c>
      <c r="J21" s="149">
        <v>0.36</v>
      </c>
      <c r="K21" s="149">
        <v>0.36</v>
      </c>
      <c r="L21" s="149"/>
      <c r="M21" s="149"/>
      <c r="N21" s="335">
        <v>1000</v>
      </c>
      <c r="O21" s="296">
        <v>5.7000000000000002E-2</v>
      </c>
      <c r="P21" s="345"/>
      <c r="Q21" s="138" t="s">
        <v>3847</v>
      </c>
      <c r="R21" s="366">
        <v>2000</v>
      </c>
      <c r="S21" s="339">
        <v>10</v>
      </c>
      <c r="T21" s="282"/>
      <c r="U21" s="282" t="s">
        <v>3497</v>
      </c>
      <c r="V21" s="282" t="s">
        <v>5384</v>
      </c>
      <c r="W21" s="282"/>
      <c r="X21" s="340"/>
      <c r="Y21" s="340"/>
      <c r="Z21" s="340"/>
      <c r="AA21" s="340"/>
      <c r="AB21" s="340"/>
      <c r="AC21" s="341"/>
      <c r="AD21" s="342" t="s">
        <v>169</v>
      </c>
      <c r="AE21" s="342" t="s">
        <v>903</v>
      </c>
      <c r="AF21" s="284" t="s">
        <v>3953</v>
      </c>
      <c r="AG21" s="284">
        <v>44383</v>
      </c>
      <c r="AH21" s="284">
        <v>44411</v>
      </c>
      <c r="AI21" s="284"/>
      <c r="AJ21" s="334">
        <f t="shared" ca="1" si="0"/>
        <v>44963</v>
      </c>
      <c r="AK21" s="342">
        <f ca="1">IF(AH21&lt;&gt;0,AJ21-AH21,0)</f>
        <v>552</v>
      </c>
      <c r="AL21" s="342"/>
      <c r="AM21" s="284" t="s">
        <v>3954</v>
      </c>
      <c r="AN21" s="284" t="s">
        <v>5385</v>
      </c>
      <c r="AO21" s="343">
        <v>2.0019999999999998</v>
      </c>
      <c r="AP21" s="343">
        <v>2.0339999999999998</v>
      </c>
      <c r="AQ21" s="343">
        <v>2.0019999999999998</v>
      </c>
      <c r="AR21" s="343">
        <v>2.0339999999999998</v>
      </c>
    </row>
    <row r="22" spans="1:48" s="331" customFormat="1" ht="18" customHeight="1" x14ac:dyDescent="0.35">
      <c r="A22" s="334"/>
      <c r="B22" s="335"/>
      <c r="C22" s="334"/>
      <c r="D22" s="294" t="str">
        <f>"FGS"&amp;"-"&amp;G22&amp;"/"&amp;H22&amp;"-"&amp;IF(J22="",(TEXT(I22,"0.00")),(TEXT(J22,"0.00")))&amp;"X"&amp;M22&amp;"X"&amp;O22</f>
        <v>FGS-LM410612/410-000XX0,057</v>
      </c>
      <c r="E22" s="294" t="s">
        <v>3950</v>
      </c>
      <c r="F22" s="294" t="s">
        <v>5386</v>
      </c>
      <c r="G22" s="294" t="s">
        <v>5387</v>
      </c>
      <c r="H22" s="294">
        <v>410</v>
      </c>
      <c r="I22" s="337" t="s">
        <v>169</v>
      </c>
      <c r="J22" s="149">
        <v>0.36</v>
      </c>
      <c r="K22" s="149">
        <v>0.36</v>
      </c>
      <c r="L22" s="149"/>
      <c r="M22" s="149"/>
      <c r="N22" s="335">
        <v>1000</v>
      </c>
      <c r="O22" s="296">
        <v>5.7000000000000002E-2</v>
      </c>
      <c r="P22" s="345"/>
      <c r="Q22" s="138" t="s">
        <v>3847</v>
      </c>
      <c r="R22" s="366">
        <v>2000</v>
      </c>
      <c r="S22" s="339">
        <v>10</v>
      </c>
      <c r="T22" s="282"/>
      <c r="U22" s="282" t="s">
        <v>3497</v>
      </c>
      <c r="V22" s="282" t="s">
        <v>5384</v>
      </c>
      <c r="W22" s="282"/>
      <c r="X22" s="340"/>
      <c r="Y22" s="340"/>
      <c r="Z22" s="340"/>
      <c r="AA22" s="340"/>
      <c r="AB22" s="340"/>
      <c r="AC22" s="341"/>
      <c r="AD22" s="342" t="s">
        <v>169</v>
      </c>
      <c r="AE22" s="342" t="s">
        <v>903</v>
      </c>
      <c r="AF22" s="284" t="s">
        <v>3953</v>
      </c>
      <c r="AG22" s="284">
        <v>44383</v>
      </c>
      <c r="AH22" s="284">
        <v>44411</v>
      </c>
      <c r="AI22" s="284"/>
      <c r="AJ22" s="334">
        <f t="shared" ca="1" si="0"/>
        <v>44963</v>
      </c>
      <c r="AK22" s="342">
        <f ca="1">IF(AH22&lt;&gt;0,AJ22-AH22,0)</f>
        <v>552</v>
      </c>
      <c r="AL22" s="342"/>
      <c r="AM22" s="284" t="s">
        <v>3954</v>
      </c>
      <c r="AN22" s="284" t="s">
        <v>5388</v>
      </c>
      <c r="AO22" s="343">
        <v>2.0059999999999998</v>
      </c>
      <c r="AP22" s="343">
        <v>2.0379999999999998</v>
      </c>
      <c r="AQ22" s="343">
        <v>2.0059999999999998</v>
      </c>
      <c r="AR22" s="343">
        <v>2.0379999999999998</v>
      </c>
    </row>
    <row r="23" spans="1:48" s="331" customFormat="1" ht="18" customHeight="1" x14ac:dyDescent="0.35">
      <c r="A23" s="334"/>
      <c r="B23" s="335"/>
      <c r="C23" s="334"/>
      <c r="D23" s="294" t="str">
        <f>"FGS"&amp;"-"&amp;G23&amp;"/"&amp;H23&amp;"-"&amp;IF(J23="",(TEXT(I23,"0.00")),(TEXT(J23,"0.00")))&amp;"X"&amp;M23&amp;"X"&amp;O23</f>
        <v>FGS-LM410613/410-000XX0,051</v>
      </c>
      <c r="E23" s="294" t="s">
        <v>3950</v>
      </c>
      <c r="F23" s="294" t="s">
        <v>5389</v>
      </c>
      <c r="G23" s="294" t="s">
        <v>5390</v>
      </c>
      <c r="H23" s="294">
        <v>410</v>
      </c>
      <c r="I23" s="337" t="s">
        <v>169</v>
      </c>
      <c r="J23" s="149">
        <v>0.36</v>
      </c>
      <c r="K23" s="149">
        <v>0.36</v>
      </c>
      <c r="L23" s="149"/>
      <c r="M23" s="149"/>
      <c r="N23" s="335">
        <v>1000</v>
      </c>
      <c r="O23" s="296">
        <v>5.0999999999999997E-2</v>
      </c>
      <c r="P23" s="345"/>
      <c r="Q23" s="138" t="s">
        <v>3847</v>
      </c>
      <c r="R23" s="366">
        <v>2000</v>
      </c>
      <c r="S23" s="339">
        <v>9</v>
      </c>
      <c r="T23" s="282"/>
      <c r="U23" s="282" t="s">
        <v>3497</v>
      </c>
      <c r="V23" s="282" t="s">
        <v>5384</v>
      </c>
      <c r="W23" s="282"/>
      <c r="X23" s="340"/>
      <c r="Y23" s="340"/>
      <c r="Z23" s="340"/>
      <c r="AA23" s="340"/>
      <c r="AB23" s="340"/>
      <c r="AC23" s="341"/>
      <c r="AD23" s="342" t="s">
        <v>169</v>
      </c>
      <c r="AE23" s="342" t="s">
        <v>903</v>
      </c>
      <c r="AF23" s="284" t="s">
        <v>3953</v>
      </c>
      <c r="AG23" s="284">
        <v>44383</v>
      </c>
      <c r="AH23" s="284">
        <v>44411</v>
      </c>
      <c r="AI23" s="284"/>
      <c r="AJ23" s="334">
        <f t="shared" ca="1" si="0"/>
        <v>44963</v>
      </c>
      <c r="AK23" s="342">
        <f ca="1">IF(AH23&lt;&gt;0,AJ23-AH23,0)</f>
        <v>552</v>
      </c>
      <c r="AL23" s="342"/>
      <c r="AM23" s="284" t="s">
        <v>3954</v>
      </c>
      <c r="AN23" s="284" t="s">
        <v>5391</v>
      </c>
      <c r="AO23" s="343">
        <v>1.8720000000000001</v>
      </c>
      <c r="AP23" s="343">
        <v>1.9039999999999999</v>
      </c>
      <c r="AQ23" s="343">
        <v>1.8720000000000001</v>
      </c>
      <c r="AR23" s="343">
        <v>1.9039999999999999</v>
      </c>
    </row>
    <row r="26" spans="1:48" ht="18" x14ac:dyDescent="0.35">
      <c r="G26" s="445"/>
      <c r="H26" s="445"/>
      <c r="I26" s="445"/>
      <c r="J26" s="446"/>
      <c r="K26" s="447"/>
      <c r="L26" s="447"/>
      <c r="M26" s="447"/>
      <c r="N26" s="448"/>
      <c r="O26" s="449">
        <f>SUM(O6:O23)</f>
        <v>3.1189999999999998</v>
      </c>
      <c r="P26" s="450"/>
      <c r="Q26" s="450"/>
      <c r="R26" s="450"/>
      <c r="S26" s="450"/>
      <c r="T26" s="447"/>
      <c r="U26" s="446"/>
    </row>
    <row r="27" spans="1:48" ht="18" x14ac:dyDescent="0.35">
      <c r="G27" s="445"/>
      <c r="H27" s="445"/>
      <c r="I27" s="445"/>
      <c r="J27" s="446"/>
      <c r="K27" s="447"/>
      <c r="L27" s="447"/>
      <c r="M27" s="447"/>
      <c r="N27" s="448"/>
      <c r="O27" s="450"/>
      <c r="P27" s="450"/>
      <c r="Q27" s="450"/>
      <c r="R27" s="450"/>
      <c r="S27" s="450"/>
      <c r="T27" s="447"/>
      <c r="U27" s="446"/>
    </row>
    <row r="28" spans="1:48" ht="18" x14ac:dyDescent="0.35">
      <c r="G28" s="445"/>
      <c r="H28" s="445"/>
      <c r="I28" s="445"/>
      <c r="J28" s="446"/>
      <c r="K28" s="447"/>
      <c r="L28" s="447"/>
      <c r="M28" s="447"/>
      <c r="N28" s="448"/>
      <c r="O28" s="450"/>
      <c r="P28" s="450"/>
      <c r="Q28" s="450"/>
      <c r="R28" s="450"/>
      <c r="S28" s="450"/>
      <c r="T28" s="447"/>
      <c r="U28" s="446"/>
    </row>
    <row r="32" spans="1:48" x14ac:dyDescent="0.35">
      <c r="T32" s="327"/>
    </row>
    <row r="40" spans="1:60" x14ac:dyDescent="0.35">
      <c r="T40" s="327"/>
    </row>
    <row r="43" spans="1:60" s="302" customFormat="1" ht="16.5" customHeight="1" x14ac:dyDescent="0.35">
      <c r="A43" s="393"/>
      <c r="B43" s="393"/>
      <c r="J43" s="321"/>
      <c r="K43" s="321"/>
      <c r="L43" s="321"/>
      <c r="M43" s="321"/>
      <c r="N43" s="319"/>
      <c r="O43" s="388"/>
      <c r="P43" s="323"/>
      <c r="Q43" s="327"/>
      <c r="R43" s="327"/>
      <c r="S43" s="326"/>
      <c r="T43" s="304"/>
      <c r="U43" s="154"/>
      <c r="V43" s="389"/>
      <c r="W43" s="389"/>
      <c r="X43" s="385"/>
      <c r="Y43" s="385"/>
      <c r="Z43" s="385"/>
      <c r="AA43" s="385"/>
      <c r="AB43" s="385"/>
      <c r="AC43" s="390"/>
      <c r="AG43" s="320"/>
      <c r="AH43" s="320"/>
      <c r="AI43" s="320"/>
      <c r="AJ43" s="320"/>
      <c r="AK43" s="320"/>
      <c r="AL43" s="320"/>
      <c r="AO43" s="305"/>
      <c r="AP43" s="305"/>
      <c r="AQ43" s="305"/>
      <c r="AR43" s="305"/>
      <c r="BG43" s="423"/>
      <c r="BH43" s="423"/>
    </row>
    <row r="49" spans="1:60" x14ac:dyDescent="0.35">
      <c r="O49" s="388"/>
    </row>
    <row r="51" spans="1:60" s="302" customFormat="1" ht="16.5" customHeight="1" x14ac:dyDescent="0.35">
      <c r="A51" s="393"/>
      <c r="B51" s="393"/>
      <c r="J51" s="321"/>
      <c r="K51" s="321"/>
      <c r="L51" s="321"/>
      <c r="M51" s="321"/>
      <c r="N51" s="319"/>
      <c r="O51" s="388"/>
      <c r="P51" s="323"/>
      <c r="Q51" s="327"/>
      <c r="R51" s="327"/>
      <c r="S51" s="326"/>
      <c r="T51" s="304"/>
      <c r="U51" s="154"/>
      <c r="V51" s="389"/>
      <c r="W51" s="389"/>
      <c r="X51" s="385"/>
      <c r="Y51" s="385"/>
      <c r="Z51" s="385"/>
      <c r="AA51" s="385"/>
      <c r="AB51" s="385"/>
      <c r="AC51" s="390"/>
      <c r="AG51" s="320"/>
      <c r="AH51" s="320"/>
      <c r="AI51" s="320"/>
      <c r="AJ51" s="320"/>
      <c r="AK51" s="320"/>
      <c r="AL51" s="320"/>
      <c r="AO51" s="305"/>
      <c r="AP51" s="305"/>
      <c r="AQ51" s="305"/>
      <c r="AR51" s="305"/>
      <c r="BG51" s="423"/>
      <c r="BH51" s="423"/>
    </row>
    <row r="65" spans="1:62" s="274" customFormat="1" x14ac:dyDescent="0.35">
      <c r="A65" s="260"/>
      <c r="B65" s="260"/>
      <c r="C65" s="260"/>
      <c r="D65" s="260"/>
      <c r="E65" s="260"/>
      <c r="F65" s="260"/>
      <c r="G65" s="260"/>
      <c r="H65" s="260"/>
      <c r="I65" s="260"/>
      <c r="K65" s="304"/>
      <c r="L65" s="304"/>
      <c r="M65" s="304"/>
      <c r="N65" s="275"/>
      <c r="O65" s="276"/>
      <c r="P65" s="276"/>
      <c r="Q65" s="276"/>
      <c r="R65" s="276"/>
      <c r="S65" s="276"/>
      <c r="T65" s="327"/>
      <c r="AE65" s="260"/>
      <c r="AF65" s="260"/>
      <c r="AG65" s="260"/>
      <c r="AH65" s="260"/>
      <c r="AI65" s="260"/>
      <c r="AJ65" s="260"/>
      <c r="AK65" s="260"/>
      <c r="AL65" s="260"/>
      <c r="AM65" s="260"/>
      <c r="AN65" s="260"/>
      <c r="AO65" s="305"/>
      <c r="AP65" s="305"/>
      <c r="AQ65" s="305"/>
      <c r="AT65" s="260"/>
      <c r="AU65" s="260"/>
      <c r="AV65" s="260"/>
      <c r="AW65" s="260"/>
      <c r="AX65" s="260"/>
      <c r="AY65" s="260"/>
      <c r="AZ65" s="260"/>
      <c r="BA65" s="260"/>
      <c r="BB65" s="260"/>
      <c r="BC65" s="260"/>
      <c r="BD65" s="260"/>
      <c r="BE65" s="260"/>
      <c r="BF65" s="260"/>
      <c r="BG65" s="260"/>
      <c r="BH65" s="260"/>
      <c r="BI65" s="260"/>
      <c r="BJ65" s="260"/>
    </row>
    <row r="66" spans="1:62" s="274" customFormat="1" x14ac:dyDescent="0.35">
      <c r="A66" s="260"/>
      <c r="B66" s="260"/>
      <c r="C66" s="260"/>
      <c r="D66" s="260"/>
      <c r="E66" s="260"/>
      <c r="F66" s="260"/>
      <c r="G66" s="260"/>
      <c r="H66" s="260"/>
      <c r="I66" s="260"/>
      <c r="K66" s="304"/>
      <c r="L66" s="304"/>
      <c r="M66" s="304"/>
      <c r="N66" s="275"/>
      <c r="O66" s="276"/>
      <c r="P66" s="276"/>
      <c r="Q66" s="276"/>
      <c r="R66" s="276"/>
      <c r="S66" s="276"/>
      <c r="T66" s="327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305"/>
      <c r="AP66" s="305"/>
      <c r="AQ66" s="305"/>
      <c r="AT66" s="260"/>
      <c r="AU66" s="260"/>
      <c r="AV66" s="260"/>
      <c r="AW66" s="260"/>
      <c r="AX66" s="260"/>
      <c r="AY66" s="260"/>
      <c r="AZ66" s="260"/>
      <c r="BA66" s="260"/>
      <c r="BB66" s="260"/>
      <c r="BC66" s="260"/>
      <c r="BD66" s="260"/>
      <c r="BE66" s="260"/>
      <c r="BF66" s="260"/>
      <c r="BG66" s="260"/>
      <c r="BH66" s="260"/>
      <c r="BI66" s="260"/>
      <c r="BJ66" s="260"/>
    </row>
    <row r="76" spans="1:62" s="302" customFormat="1" ht="16.5" customHeight="1" x14ac:dyDescent="0.35">
      <c r="G76" s="280"/>
      <c r="J76" s="321"/>
      <c r="K76" s="321"/>
      <c r="L76" s="321"/>
      <c r="M76" s="321"/>
      <c r="N76" s="319"/>
      <c r="O76" s="382"/>
      <c r="P76" s="323"/>
      <c r="Q76" s="327"/>
      <c r="R76" s="327"/>
      <c r="S76" s="326"/>
      <c r="T76" s="304"/>
      <c r="U76" s="389"/>
      <c r="V76" s="389"/>
      <c r="W76" s="389"/>
      <c r="X76" s="385"/>
      <c r="Y76" s="385"/>
      <c r="Z76" s="385"/>
      <c r="AA76" s="385"/>
      <c r="AB76" s="385"/>
      <c r="AC76" s="390"/>
      <c r="AG76" s="320"/>
      <c r="AH76" s="320"/>
      <c r="AI76" s="320"/>
      <c r="AJ76" s="320"/>
      <c r="AK76" s="320"/>
      <c r="AL76" s="320"/>
      <c r="AO76" s="305"/>
      <c r="AP76" s="305"/>
      <c r="AQ76" s="305"/>
      <c r="AR76" s="305"/>
    </row>
    <row r="77" spans="1:62" s="302" customFormat="1" ht="16.5" customHeight="1" x14ac:dyDescent="0.35">
      <c r="G77" s="280"/>
      <c r="J77" s="321"/>
      <c r="K77" s="321"/>
      <c r="L77" s="321"/>
      <c r="M77" s="321"/>
      <c r="N77" s="319"/>
      <c r="O77" s="382"/>
      <c r="P77" s="323"/>
      <c r="Q77" s="327"/>
      <c r="R77" s="327"/>
      <c r="S77" s="326"/>
      <c r="T77" s="304"/>
      <c r="U77" s="389"/>
      <c r="V77" s="389"/>
      <c r="W77" s="389"/>
      <c r="X77" s="385"/>
      <c r="Y77" s="385"/>
      <c r="Z77" s="385"/>
      <c r="AA77" s="385"/>
      <c r="AB77" s="385"/>
      <c r="AC77" s="390"/>
      <c r="AG77" s="320"/>
      <c r="AH77" s="320"/>
      <c r="AI77" s="320"/>
      <c r="AJ77" s="320"/>
      <c r="AK77" s="320"/>
      <c r="AL77" s="320"/>
      <c r="AO77" s="305"/>
      <c r="AP77" s="305"/>
      <c r="AQ77" s="305"/>
      <c r="AR77" s="305"/>
    </row>
    <row r="78" spans="1:62" s="274" customFormat="1" x14ac:dyDescent="0.35">
      <c r="A78" s="260"/>
      <c r="B78" s="260"/>
      <c r="C78" s="260"/>
      <c r="D78" s="260"/>
      <c r="E78" s="260"/>
      <c r="F78" s="260"/>
      <c r="G78" s="260"/>
      <c r="H78" s="260"/>
      <c r="I78" s="260"/>
      <c r="K78" s="304"/>
      <c r="L78" s="304"/>
      <c r="M78" s="304"/>
      <c r="N78" s="275"/>
      <c r="O78" s="305"/>
      <c r="P78" s="276"/>
      <c r="Q78" s="276"/>
      <c r="R78" s="276"/>
      <c r="S78" s="276"/>
      <c r="T78" s="304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305"/>
      <c r="AP78" s="305"/>
      <c r="AQ78" s="305"/>
      <c r="AT78" s="260"/>
      <c r="AU78" s="260"/>
      <c r="AV78" s="260"/>
      <c r="AW78" s="260"/>
      <c r="AX78" s="260"/>
      <c r="AY78" s="260"/>
      <c r="AZ78" s="260"/>
      <c r="BA78" s="260"/>
      <c r="BB78" s="260"/>
      <c r="BC78" s="260"/>
      <c r="BD78" s="260"/>
      <c r="BE78" s="260"/>
      <c r="BF78" s="260"/>
      <c r="BG78" s="260"/>
      <c r="BH78" s="260"/>
      <c r="BI78" s="260"/>
      <c r="BJ78" s="260"/>
    </row>
    <row r="80" spans="1:62" ht="16.5" customHeight="1" x14ac:dyDescent="0.35">
      <c r="A80" s="393"/>
      <c r="B80" s="393"/>
    </row>
    <row r="81" spans="1:47" ht="16.5" customHeight="1" x14ac:dyDescent="0.35">
      <c r="A81" s="805" t="s">
        <v>73</v>
      </c>
      <c r="B81" s="185" t="s">
        <v>74</v>
      </c>
      <c r="C81" s="842" t="s">
        <v>2528</v>
      </c>
      <c r="D81" s="842"/>
      <c r="E81" s="842"/>
      <c r="F81" s="842"/>
      <c r="G81" s="842"/>
    </row>
    <row r="82" spans="1:47" ht="14.5" x14ac:dyDescent="0.25">
      <c r="A82" s="806"/>
      <c r="B82" s="188" t="s">
        <v>5339</v>
      </c>
      <c r="C82" s="394" t="s">
        <v>2530</v>
      </c>
      <c r="D82" s="394" t="s">
        <v>2531</v>
      </c>
      <c r="E82" s="394" t="s">
        <v>2532</v>
      </c>
      <c r="F82" s="394" t="s">
        <v>2533</v>
      </c>
      <c r="G82" s="395" t="s">
        <v>34</v>
      </c>
    </row>
    <row r="83" spans="1:47" ht="14.5" x14ac:dyDescent="0.35">
      <c r="A83" s="192"/>
      <c r="B83" s="193" t="s">
        <v>65</v>
      </c>
      <c r="C83" s="194">
        <f>SUMIFS($O$5:$O5,$H$5:$H5,$A$84,$I$5:$I5,$B83,$B$5:$B5,"&lt;=30")</f>
        <v>0</v>
      </c>
      <c r="D83" s="436">
        <f>SUMIFS($O$5:$O5,$H$5:$H5,$A$84,$I$5:$I5,$B83,$B$5:$B5,"&lt;=60")-C83</f>
        <v>0</v>
      </c>
      <c r="E83" s="436">
        <f>SUMIFS($O$5:$O5,$H$5:$H5,$A$84,$I$5:$I5,$B83,$B$5:$B5,"&lt;=90")-D83-C83</f>
        <v>0</v>
      </c>
      <c r="F83" s="436">
        <f>SUMIFS($O$5:$O5,$H$5:$H5,$A$84,$I$5:$I5,$B83,$B$5:$B5,"&gt;=91")</f>
        <v>0</v>
      </c>
      <c r="G83" s="195">
        <f t="shared" ref="G83:G116" si="3">SUM(C83:F83)</f>
        <v>0</v>
      </c>
    </row>
    <row r="84" spans="1:47" ht="14.5" x14ac:dyDescent="0.35">
      <c r="A84" s="197">
        <v>201</v>
      </c>
      <c r="B84" s="30" t="s">
        <v>64</v>
      </c>
      <c r="C84" s="194">
        <f>SUMIFS($O$5:$O5,$H$5:$H5,$A$84,$I$5:$I5,$B84,$B$5:$B5,"&lt;=30")</f>
        <v>0</v>
      </c>
      <c r="D84" s="436">
        <f>SUMIFS($O$5:$O5,$H$5:$H5,$A$84,$I$5:$I5,$B84,$B$5:$B5,"&lt;=60")-C84</f>
        <v>0</v>
      </c>
      <c r="E84" s="436">
        <f>SUMIFS($O$5:$O5,$H$5:$H5,$A$84,$I$5:$I5,$B84,$B$5:$B5,"&lt;=90")-D84-C84</f>
        <v>0</v>
      </c>
      <c r="F84" s="436">
        <f>SUMIFS($O$5:$O5,$H$5:$H5,$A$84,$I$5:$I5,$B84,$B$5:$B5,"&gt;=91")</f>
        <v>0</v>
      </c>
      <c r="G84" s="195">
        <f t="shared" si="3"/>
        <v>0</v>
      </c>
    </row>
    <row r="85" spans="1:47" ht="14.5" x14ac:dyDescent="0.35">
      <c r="A85" s="199"/>
      <c r="B85" s="200" t="s">
        <v>116</v>
      </c>
      <c r="C85" s="194">
        <f>SUMIFS($O$5:$O5,$H$5:$H5,$A$84,$I$5:$I5,$B85,$B$5:$B5,"&lt;=30")</f>
        <v>0</v>
      </c>
      <c r="D85" s="436">
        <f>SUMIFS($O$5:$O5,$H$5:$H5,$A$84,$I$5:$I5,$B85,$B$5:$B5,"&lt;=60")-C85</f>
        <v>0</v>
      </c>
      <c r="E85" s="436">
        <f>SUMIFS($O$5:$O5,$H$5:$H5,$A$84,$I$5:$I5,$B85,$B$5:$B5,"&lt;=90")-D85-C85</f>
        <v>0</v>
      </c>
      <c r="F85" s="436">
        <f>SUMIFS($O$5:$O5,$H$5:$H5,$A$84,$I$5:$I5,$B85,$B$5:$B5,"&gt;=91")</f>
        <v>0</v>
      </c>
      <c r="G85" s="195">
        <f t="shared" si="3"/>
        <v>0</v>
      </c>
    </row>
    <row r="86" spans="1:47" s="274" customFormat="1" ht="16.5" customHeight="1" x14ac:dyDescent="0.35">
      <c r="A86" s="202"/>
      <c r="B86" s="193" t="s">
        <v>65</v>
      </c>
      <c r="C86" s="194">
        <f>SUMIFS($O$5:$O5,$H$5:$H5,$A$87,$I$5:$I5,$B86,$B$5:$B5,"&lt;=30")</f>
        <v>0</v>
      </c>
      <c r="D86" s="436">
        <f>SUMIFS($O$5:$O5,$H$5:$H5,$A$87,$I$5:$I5,$B86,$B$5:$B5,"&lt;=60")-C86</f>
        <v>0</v>
      </c>
      <c r="E86" s="436">
        <f>SUMIFS($O$5:$O5,$H$5:$H5,$A$87,$I$5:$I5,$B86,$B$5:$B5,"&lt;=90")-D86-C86</f>
        <v>0</v>
      </c>
      <c r="F86" s="436">
        <f>SUMIFS($O$5:$O5,$H$5:$H5,$A$87,$I$5:$I5,$B86,$B$5:$B5,"&gt;=91")</f>
        <v>0</v>
      </c>
      <c r="G86" s="195">
        <f t="shared" si="3"/>
        <v>0</v>
      </c>
      <c r="H86" s="260"/>
      <c r="I86" s="260"/>
      <c r="K86" s="304"/>
      <c r="L86" s="304"/>
      <c r="M86" s="304"/>
      <c r="N86" s="275"/>
      <c r="O86" s="276"/>
      <c r="P86" s="276"/>
      <c r="Q86" s="276"/>
      <c r="R86" s="276"/>
      <c r="S86" s="276"/>
      <c r="T86" s="304"/>
      <c r="Y86" s="401"/>
      <c r="AE86" s="260"/>
      <c r="AF86" s="260"/>
      <c r="AG86" s="260"/>
      <c r="AH86" s="260"/>
      <c r="AI86" s="260"/>
      <c r="AJ86" s="260"/>
      <c r="AK86" s="260"/>
      <c r="AL86" s="260"/>
      <c r="AM86" s="260"/>
      <c r="AN86" s="260"/>
      <c r="AO86" s="305"/>
      <c r="AP86" s="305"/>
      <c r="AQ86" s="305"/>
      <c r="AT86" s="260"/>
      <c r="AU86" s="260"/>
    </row>
    <row r="87" spans="1:47" ht="14.5" x14ac:dyDescent="0.35">
      <c r="A87" s="205" t="s">
        <v>27</v>
      </c>
      <c r="B87" s="30" t="s">
        <v>64</v>
      </c>
      <c r="C87" s="194">
        <f>SUMIFS($O$5:$O5,$H$5:$H5,$A$87,$I$5:$I5,$B87,$B$5:$B5,"&lt;=30")</f>
        <v>0</v>
      </c>
      <c r="D87" s="436">
        <f>SUMIFS($O$5:$O5,$H$5:$H5,$A$87,$I$5:$I5,$B87,$B$5:$B5,"&lt;=60")-C87</f>
        <v>0</v>
      </c>
      <c r="E87" s="436">
        <f>SUMIFS($O$5:$O5,$H$5:$H5,$A$87,$I$5:$I5,$B87,$B$5:$B5,"&lt;=90")-D87-C87</f>
        <v>0</v>
      </c>
      <c r="F87" s="436">
        <f>SUMIFS($O$5:$O5,$H$5:$H5,$A$87,$I$5:$I5,$B87,$B$5:$B5,"&gt;=91")</f>
        <v>0</v>
      </c>
      <c r="G87" s="195">
        <f t="shared" si="3"/>
        <v>0</v>
      </c>
      <c r="T87" s="327"/>
    </row>
    <row r="88" spans="1:47" ht="14.5" x14ac:dyDescent="0.35">
      <c r="A88" s="205"/>
      <c r="B88" s="200" t="s">
        <v>116</v>
      </c>
      <c r="C88" s="194">
        <f>SUMIFS($O$5:$O5,$H$5:$H5,$A$87,$I$5:$I5,$B88,$B$5:$B5,"&lt;=30")</f>
        <v>0</v>
      </c>
      <c r="D88" s="436">
        <f>SUMIFS($O$5:$O5,$H$5:$H5,$A$87,$I$5:$I5,$B88,$B$5:$B5,"&lt;=60")-C88</f>
        <v>0</v>
      </c>
      <c r="E88" s="436">
        <f>SUMIFS($O$5:$O5,$H$5:$H5,$A$87,$I$5:$I5,$B88,$B$5:$B5,"&lt;=90")-D88-C88</f>
        <v>0</v>
      </c>
      <c r="F88" s="436">
        <f>SUMIFS($O$5:$O5,$H$5:$H5,$A$87,$I$5:$I5,$B88,$B$5:$B5,"&gt;=91")</f>
        <v>0</v>
      </c>
      <c r="G88" s="195">
        <f t="shared" si="3"/>
        <v>0</v>
      </c>
      <c r="T88" s="327"/>
    </row>
    <row r="89" spans="1:47" ht="14.5" x14ac:dyDescent="0.35">
      <c r="A89" s="208"/>
      <c r="B89" s="193" t="s">
        <v>65</v>
      </c>
      <c r="C89" s="194">
        <f>SUMIFS($O$5:$O6,$H$5:$H6,$A$90,$I$5:$I6,$B89,$B$5:$B6,"&lt;=30")</f>
        <v>0</v>
      </c>
      <c r="D89" s="436">
        <f>SUMIFS($O$5:$O6,$H$5:$H6,$A$90,$I$5:$I6,$B89,$B$5:$B6,"&lt;=60")-C89</f>
        <v>0</v>
      </c>
      <c r="E89" s="436">
        <f>SUMIFS($O$5:$O6,$H$5:$H6,$A$90,$I$5:$I6,$B89,$B$5:$B6,"&lt;=90")-D89-C89</f>
        <v>0</v>
      </c>
      <c r="F89" s="436">
        <f>SUMIFS($O$5:$O6,$H$5:$H6,$A$90,$I$5:$I6,$B89,$B$5:$B6,"&gt;=91")</f>
        <v>0</v>
      </c>
      <c r="G89" s="195">
        <f t="shared" si="3"/>
        <v>0</v>
      </c>
    </row>
    <row r="90" spans="1:47" ht="14.5" x14ac:dyDescent="0.35">
      <c r="A90" s="212" t="s">
        <v>28</v>
      </c>
      <c r="B90" s="30" t="s">
        <v>64</v>
      </c>
      <c r="C90" s="194">
        <f>SUMIFS($O$5:$O7,$H$5:$H7,$A$90,$I$5:$I7,$B90,$B$5:$B7,"&lt;=30")</f>
        <v>0</v>
      </c>
      <c r="D90" s="436">
        <f>SUMIFS($O$5:$O7,$H$5:$H7,$A$90,$I$5:$I7,$B90,$B$5:$B7,"&lt;=60")-C90</f>
        <v>0</v>
      </c>
      <c r="E90" s="436">
        <f>SUMIFS($O$5:$O7,$H$5:$H7,$A$90,$I$5:$I7,$B90,$B$5:$B7,"&lt;=90")-D90-C90</f>
        <v>0</v>
      </c>
      <c r="F90" s="436">
        <f>SUMIFS($O$5:$O7,$H$5:$H7,$A$90,$I$5:$I7,$B90,$B$5:$B7,"&gt;=91")</f>
        <v>0</v>
      </c>
      <c r="G90" s="195">
        <f t="shared" si="3"/>
        <v>0</v>
      </c>
    </row>
    <row r="91" spans="1:47" ht="14.5" x14ac:dyDescent="0.35">
      <c r="A91" s="212"/>
      <c r="B91" s="200" t="s">
        <v>116</v>
      </c>
      <c r="C91" s="194">
        <f>SUMIFS($O$5:$O24,$H$5:$H24,$A$90,$I$5:$I24,$B91,$B$5:$B24,"&lt;=30")</f>
        <v>0</v>
      </c>
      <c r="D91" s="436">
        <f>SUMIFS($O$5:$O24,$H$5:$H24,$A$90,$I$5:$I24,$B91,$B$5:$B24,"&lt;=60")-C91</f>
        <v>0</v>
      </c>
      <c r="E91" s="436">
        <f>SUMIFS($O$5:$O24,$H$5:$H24,$A$90,$I$5:$I24,$B91,$B$5:$B24,"&lt;=90")-D91-C91</f>
        <v>0</v>
      </c>
      <c r="F91" s="436">
        <f>SUMIFS($O$5:$O24,$H$5:$H24,$A$90,$I$5:$I24,$B91,$B$5:$B24,"&gt;=91")</f>
        <v>0</v>
      </c>
      <c r="G91" s="195">
        <f t="shared" si="3"/>
        <v>0</v>
      </c>
    </row>
    <row r="92" spans="1:47" ht="14.5" x14ac:dyDescent="0.35">
      <c r="A92" s="217"/>
      <c r="B92" s="193" t="s">
        <v>65</v>
      </c>
      <c r="C92" s="194">
        <f>SUMIFS($O$5:$O24,$H$5:$H24,$A$93,$I$5:$I24,$B92,$B$5:$B24,"&lt;=30")</f>
        <v>0</v>
      </c>
      <c r="D92" s="436">
        <f>SUMIFS($O$5:$O24,$H$5:$H24,$A$93,$I$5:$I24,$B92,$B$5:$B24,"&lt;=60")-C92</f>
        <v>0</v>
      </c>
      <c r="E92" s="436">
        <f>SUMIFS($O$5:$O24,$H$5:$H24,$A$93,$I$5:$I24,$B92,$B$5:$B24,"&lt;=90")-D92-C92</f>
        <v>0</v>
      </c>
      <c r="F92" s="436">
        <f>SUMIFS($O$5:$O24,$H$5:$H24,$A$93,$I$5:$I24,$B92,$B$5:$B24,"&gt;=91")</f>
        <v>0</v>
      </c>
      <c r="G92" s="195">
        <f t="shared" si="3"/>
        <v>0</v>
      </c>
    </row>
    <row r="93" spans="1:47" ht="16.5" customHeight="1" x14ac:dyDescent="0.35">
      <c r="A93" s="219" t="s">
        <v>29</v>
      </c>
      <c r="B93" s="30" t="s">
        <v>64</v>
      </c>
      <c r="C93" s="194">
        <f>SUMIFS($O$5:$O25,$H$5:$H25,$A$93,$I$5:$I25,$B93,$B$5:$B25,"&lt;=30")</f>
        <v>0</v>
      </c>
      <c r="D93" s="436">
        <f>SUMIFS($O$5:$O25,$H$5:$H25,$A$93,$I$5:$I25,$B93,$B$5:$B25,"&lt;=60")-C93</f>
        <v>0</v>
      </c>
      <c r="E93" s="436">
        <f>SUMIFS($O$5:$O25,$H$5:$H25,$A$93,$I$5:$I25,$B93,$B$5:$B25,"&lt;=90")-D93-C93</f>
        <v>0</v>
      </c>
      <c r="F93" s="436">
        <f>SUMIFS($O$5:$O25,$H$5:$H25,$A$93,$I$5:$I25,$B93,$B$5:$B25,"&gt;=91")</f>
        <v>0</v>
      </c>
      <c r="G93" s="195">
        <f t="shared" si="3"/>
        <v>0</v>
      </c>
      <c r="O93" s="388"/>
      <c r="T93" s="327"/>
    </row>
    <row r="94" spans="1:47" ht="16.5" customHeight="1" x14ac:dyDescent="0.35">
      <c r="A94" s="219"/>
      <c r="B94" s="200" t="s">
        <v>116</v>
      </c>
      <c r="C94" s="194">
        <f>SUMIFS($O$5:$O26,$H$5:$H26,$A$93,$I$5:$I26,$B94,$B$5:$B26,"&lt;=30")</f>
        <v>0</v>
      </c>
      <c r="D94" s="436">
        <f>SUMIFS($O$5:$O26,$H$5:$H26,$A$93,$I$5:$I26,$B94,$B$5:$B26,"&lt;=60")-C94</f>
        <v>0</v>
      </c>
      <c r="E94" s="436">
        <f>SUMIFS($O$5:$O26,$H$5:$H26,$A$93,$I$5:$I26,$B94,$B$5:$B26,"&lt;=90")-D94-C94</f>
        <v>0</v>
      </c>
      <c r="F94" s="436">
        <f>SUMIFS($O$5:$O26,$H$5:$H26,$A$93,$I$5:$I26,$B94,$B$5:$B26,"&gt;=91")</f>
        <v>0</v>
      </c>
      <c r="G94" s="195">
        <f t="shared" si="3"/>
        <v>0</v>
      </c>
    </row>
    <row r="95" spans="1:47" s="274" customFormat="1" ht="16.5" customHeight="1" x14ac:dyDescent="0.35">
      <c r="A95" s="222"/>
      <c r="B95" s="193" t="s">
        <v>65</v>
      </c>
      <c r="C95" s="194">
        <f>SUMIFS($O$5:$O27,$H$5:$H27,$A$96,$I$5:$I27,$B95,$B$5:$B27,"&lt;=30")</f>
        <v>0</v>
      </c>
      <c r="D95" s="436">
        <f>SUMIFS($O$5:$O27,$H$5:$H27,$A$96,$I$5:$I27,$B95,$B$5:$B27,"&lt;=60")-C95</f>
        <v>0</v>
      </c>
      <c r="E95" s="436">
        <f>SUMIFS($O$5:$O27,$H$5:$H27,$A$96,$I$5:$I27,$B95,$B$5:$B27,"&lt;=90")-D95-C95</f>
        <v>0</v>
      </c>
      <c r="F95" s="436">
        <f>SUMIFS($O$5:$O27,$H$5:$H27,$A$96,$I$5:$I27,$B95,$B$5:$B27,"&gt;=91")</f>
        <v>0</v>
      </c>
      <c r="G95" s="195">
        <f t="shared" si="3"/>
        <v>0</v>
      </c>
      <c r="H95" s="260"/>
      <c r="I95" s="260"/>
      <c r="K95" s="304"/>
      <c r="L95" s="304"/>
      <c r="M95" s="304"/>
      <c r="N95" s="275"/>
      <c r="O95" s="276"/>
      <c r="P95" s="276"/>
      <c r="Q95" s="276"/>
      <c r="R95" s="276"/>
      <c r="S95" s="276"/>
      <c r="T95" s="304"/>
      <c r="Y95" s="401"/>
      <c r="AE95" s="260"/>
      <c r="AF95" s="260"/>
      <c r="AG95" s="260"/>
      <c r="AH95" s="260"/>
      <c r="AI95" s="260"/>
      <c r="AJ95" s="260"/>
      <c r="AK95" s="260"/>
      <c r="AL95" s="260"/>
      <c r="AM95" s="260"/>
      <c r="AN95" s="260"/>
      <c r="AO95" s="305"/>
      <c r="AP95" s="305"/>
      <c r="AQ95" s="305"/>
      <c r="AT95" s="260"/>
      <c r="AU95" s="260"/>
    </row>
    <row r="96" spans="1:47" ht="14.5" x14ac:dyDescent="0.35">
      <c r="A96" s="228" t="s">
        <v>30</v>
      </c>
      <c r="B96" s="30" t="s">
        <v>64</v>
      </c>
      <c r="C96" s="194">
        <f>SUMIFS($O$5:$O28,$H$5:$H28,$A$96,$I$5:$I28,$B96,$B$5:$B28,"&lt;=30")</f>
        <v>0</v>
      </c>
      <c r="D96" s="436">
        <f>SUMIFS($O$5:$O28,$H$5:$H28,$A$96,$I$5:$I28,$B96,$B$5:$B28,"&lt;=60")-C96</f>
        <v>0</v>
      </c>
      <c r="E96" s="436">
        <f>SUMIFS($O$5:$O28,$H$5:$H28,$A$96,$I$5:$I28,$B96,$B$5:$B28,"&lt;=90")-D96-C96</f>
        <v>0</v>
      </c>
      <c r="F96" s="436">
        <f>SUMIFS($O$5:$O28,$H$5:$H28,$A$96,$I$5:$I28,$B96,$B$5:$B28,"&gt;=91")</f>
        <v>0</v>
      </c>
      <c r="G96" s="195">
        <f t="shared" si="3"/>
        <v>0</v>
      </c>
      <c r="T96" s="327"/>
    </row>
    <row r="97" spans="1:48" ht="14.5" x14ac:dyDescent="0.35">
      <c r="A97" s="228"/>
      <c r="B97" s="200" t="s">
        <v>116</v>
      </c>
      <c r="C97" s="194">
        <f>SUMIFS($O$5:$O28,$H$5:$H28,$A$96,$I$5:$I28,$B97,$B$5:$B28,"&lt;=30")</f>
        <v>0</v>
      </c>
      <c r="D97" s="436">
        <f>SUMIFS($O$5:$O28,$H$5:$H28,$A$96,$I$5:$I28,$B97,$B$5:$B28,"&lt;=60")-C97</f>
        <v>0</v>
      </c>
      <c r="E97" s="436">
        <f>SUMIFS($O$5:$O28,$H$5:$H28,$A$96,$I$5:$I28,$B97,$B$5:$B28,"&lt;=90")-D97-C97</f>
        <v>0</v>
      </c>
      <c r="F97" s="436">
        <f>SUMIFS($O$5:$O28,$H$5:$H28,$A$96,$I$5:$I28,$B97,$B$5:$B28,"&gt;=91")</f>
        <v>0</v>
      </c>
      <c r="G97" s="195">
        <f t="shared" si="3"/>
        <v>0</v>
      </c>
    </row>
    <row r="98" spans="1:48" s="302" customFormat="1" ht="16.5" customHeight="1" x14ac:dyDescent="0.35">
      <c r="A98" s="233"/>
      <c r="B98" s="193" t="s">
        <v>65</v>
      </c>
      <c r="C98" s="194">
        <f>SUMIFS($O$5:$O29,$H$5:$H29,$A$99,$I$5:$I29,$B98,$B$5:$B29,"&lt;=30")</f>
        <v>0</v>
      </c>
      <c r="D98" s="436">
        <f>SUMIFS($O$5:$O29,$H$5:$H29,$A$99,$I$5:$I29,$B98,$B$5:$B29,"&lt;=60")-C98</f>
        <v>0</v>
      </c>
      <c r="E98" s="436">
        <f>SUMIFS($O$5:$O29,$H$5:$H29,$A$99,$I$5:$I29,$B98,$B$5:$B29,"&lt;=90")-D98-C98</f>
        <v>0</v>
      </c>
      <c r="F98" s="436">
        <f>SUMIFS($O$5:$O29,$H$5:$H29,$A$99,$I$5:$I29,$B98,$B$5:$B29,"&gt;=91")</f>
        <v>0</v>
      </c>
      <c r="G98" s="195">
        <f t="shared" si="3"/>
        <v>0</v>
      </c>
      <c r="J98" s="321"/>
      <c r="K98" s="321"/>
      <c r="L98" s="321"/>
      <c r="M98" s="321"/>
      <c r="N98" s="319"/>
      <c r="O98" s="388"/>
      <c r="P98" s="323"/>
      <c r="Q98" s="327"/>
      <c r="R98" s="327"/>
      <c r="S98" s="326"/>
      <c r="T98" s="304"/>
      <c r="U98" s="389"/>
      <c r="V98" s="389"/>
      <c r="W98" s="389"/>
      <c r="X98" s="385"/>
      <c r="Y98" s="385"/>
      <c r="Z98" s="385"/>
      <c r="AA98" s="385"/>
      <c r="AB98" s="385"/>
      <c r="AC98" s="390"/>
      <c r="AG98" s="320"/>
      <c r="AH98" s="320"/>
      <c r="AI98" s="320"/>
      <c r="AJ98" s="320"/>
      <c r="AK98" s="320"/>
      <c r="AL98" s="320"/>
      <c r="AO98" s="305"/>
      <c r="AP98" s="305"/>
      <c r="AQ98" s="305"/>
      <c r="AR98" s="305"/>
    </row>
    <row r="99" spans="1:48" s="302" customFormat="1" ht="18" customHeight="1" x14ac:dyDescent="0.35">
      <c r="A99" s="234">
        <v>304</v>
      </c>
      <c r="B99" s="30" t="s">
        <v>64</v>
      </c>
      <c r="C99" s="194">
        <f>SUMIFS($O$5:$O30,$H$5:$H30,$A$99,$I$5:$I30,$B99,$B$5:$B30,"&lt;=30")</f>
        <v>0</v>
      </c>
      <c r="D99" s="436">
        <f>SUMIFS($O$5:$O30,$H$5:$H30,$A$99,$I$5:$I30,$B99,$B$5:$B30,"&lt;=60")-C99</f>
        <v>0</v>
      </c>
      <c r="E99" s="436">
        <f>SUMIFS($O$5:$O30,$H$5:$H30,$A$99,$I$5:$I30,$B99,$B$5:$B30,"&lt;=90")-D99-C99</f>
        <v>0</v>
      </c>
      <c r="F99" s="436">
        <f>SUMIFS($O$5:$O30,$H$5:$H30,$A$99,$I$5:$I30,$B99,$B$5:$B30,"&gt;=91")</f>
        <v>0</v>
      </c>
      <c r="G99" s="195">
        <f t="shared" si="3"/>
        <v>0</v>
      </c>
      <c r="J99" s="321"/>
      <c r="K99" s="321"/>
      <c r="L99" s="321"/>
      <c r="M99" s="321"/>
      <c r="N99" s="319"/>
      <c r="O99" s="382"/>
      <c r="P99" s="305"/>
      <c r="Q99" s="323"/>
      <c r="R99" s="323"/>
      <c r="S99" s="323"/>
      <c r="T99" s="304"/>
      <c r="U99" s="154"/>
      <c r="V99" s="383"/>
      <c r="W99" s="384"/>
      <c r="X99" s="385"/>
      <c r="Y99" s="385"/>
      <c r="Z99" s="385"/>
      <c r="AA99" s="385"/>
      <c r="AB99" s="385"/>
      <c r="AD99" s="386"/>
      <c r="AG99" s="320"/>
      <c r="AH99" s="320"/>
      <c r="AI99" s="380"/>
      <c r="AJ99" s="387"/>
      <c r="AK99" s="387"/>
      <c r="AL99" s="387"/>
      <c r="AO99" s="305"/>
      <c r="AP99" s="305"/>
      <c r="AQ99" s="305"/>
      <c r="AR99" s="321"/>
      <c r="AS99" s="319"/>
      <c r="AT99" s="319"/>
      <c r="AU99" s="319"/>
      <c r="AV99" s="321"/>
    </row>
    <row r="100" spans="1:48" ht="14.5" x14ac:dyDescent="0.35">
      <c r="A100" s="234"/>
      <c r="B100" s="200" t="s">
        <v>116</v>
      </c>
      <c r="C100" s="194">
        <f>SUMIFS($O$5:$O31,$H$5:$H31,$A$99,$I$5:$I31,$B100,$B$5:$B31,"&lt;=30")</f>
        <v>0</v>
      </c>
      <c r="D100" s="436">
        <f>SUMIFS($O$5:$O31,$H$5:$H31,$A$99,$I$5:$I31,$B100,$B$5:$B31,"&lt;=60")-C100</f>
        <v>0</v>
      </c>
      <c r="E100" s="436">
        <f>SUMIFS($O$5:$O31,$H$5:$H31,$A$99,$I$5:$I31,$B100,$B$5:$B31,"&lt;=90")-D100-C100</f>
        <v>0</v>
      </c>
      <c r="F100" s="436">
        <f>SUMIFS($O$5:$O31,$H$5:$H31,$A$99,$I$5:$I31,$B100,$B$5:$B31,"&gt;=91")</f>
        <v>0</v>
      </c>
      <c r="G100" s="195">
        <f t="shared" si="3"/>
        <v>0</v>
      </c>
    </row>
    <row r="101" spans="1:48" s="302" customFormat="1" ht="16.5" customHeight="1" x14ac:dyDescent="0.35">
      <c r="A101" s="403"/>
      <c r="B101" s="193" t="s">
        <v>65</v>
      </c>
      <c r="C101" s="194">
        <f>SUMIFS($O$5:$O32,$H$5:$H32,$A$102,$I$5:$I32,$B101,$B$5:$B32,"&lt;=30")</f>
        <v>0</v>
      </c>
      <c r="D101" s="436">
        <f>SUMIFS($O$5:$O32,$H$5:$H32,$A$102,$I$5:$I32,$B101,$B$5:$B32,"&lt;=60")-C101</f>
        <v>0</v>
      </c>
      <c r="E101" s="436">
        <f>SUMIFS($O$5:$O32,$H$5:$H32,$A$102,$I$5:$I32,$B101,$B$5:$B32,"&lt;=90")-D101-C101</f>
        <v>0</v>
      </c>
      <c r="F101" s="436">
        <f>SUMIFS($O$5:$O32,$H$5:$H32,$A$102,$I$5:$I32,$B101,$B$5:$B32,"&gt;=91")</f>
        <v>0</v>
      </c>
      <c r="G101" s="195">
        <f t="shared" si="3"/>
        <v>0</v>
      </c>
      <c r="J101" s="321"/>
      <c r="K101" s="321"/>
      <c r="L101" s="321"/>
      <c r="M101" s="321"/>
      <c r="N101" s="319"/>
      <c r="O101" s="388"/>
      <c r="P101" s="323"/>
      <c r="Q101" s="327"/>
      <c r="R101" s="327"/>
      <c r="S101" s="326"/>
      <c r="T101" s="304"/>
      <c r="U101" s="389"/>
      <c r="V101" s="389"/>
      <c r="W101" s="389"/>
      <c r="X101" s="385"/>
      <c r="Y101" s="385"/>
      <c r="Z101" s="385"/>
      <c r="AA101" s="385"/>
      <c r="AB101" s="385"/>
      <c r="AC101" s="390"/>
      <c r="AG101" s="320"/>
      <c r="AH101" s="320"/>
      <c r="AI101" s="320"/>
      <c r="AJ101" s="320"/>
      <c r="AK101" s="320"/>
      <c r="AL101" s="320"/>
      <c r="AO101" s="305"/>
      <c r="AP101" s="305"/>
      <c r="AQ101" s="305"/>
      <c r="AR101" s="305"/>
    </row>
    <row r="102" spans="1:48" s="302" customFormat="1" ht="18" customHeight="1" x14ac:dyDescent="0.35">
      <c r="A102" s="404" t="s">
        <v>377</v>
      </c>
      <c r="B102" s="30" t="s">
        <v>64</v>
      </c>
      <c r="C102" s="194">
        <f>SUMIFS($O$5:$O33,$H$5:$H33,$A$102,$I$5:$I33,$B102,$B$5:$B33,"&lt;=30")</f>
        <v>0</v>
      </c>
      <c r="D102" s="436">
        <f>SUMIFS($O$5:$O33,$H$5:$H33,$A$102,$I$5:$I33,$B102,$B$5:$B33,"&lt;=60")-C102</f>
        <v>0</v>
      </c>
      <c r="E102" s="436">
        <f>SUMIFS($O$5:$O33,$H$5:$H33,$A$102,$I$5:$I33,$B102,$B$5:$B33,"&lt;=90")-D102-C102</f>
        <v>0</v>
      </c>
      <c r="F102" s="436">
        <f>SUMIFS($O$5:$O33,$H$5:$H33,$A$102,$I$5:$I33,$B102,$B$5:$B33,"&gt;=91")</f>
        <v>0</v>
      </c>
      <c r="G102" s="195">
        <f t="shared" si="3"/>
        <v>0</v>
      </c>
      <c r="J102" s="321"/>
      <c r="K102" s="321"/>
      <c r="L102" s="321"/>
      <c r="M102" s="321"/>
      <c r="N102" s="319"/>
      <c r="O102" s="382"/>
      <c r="P102" s="305"/>
      <c r="Q102" s="323"/>
      <c r="R102" s="323"/>
      <c r="S102" s="323"/>
      <c r="T102" s="304"/>
      <c r="U102" s="154"/>
      <c r="V102" s="383"/>
      <c r="W102" s="384"/>
      <c r="X102" s="385"/>
      <c r="Y102" s="385"/>
      <c r="Z102" s="385"/>
      <c r="AA102" s="385"/>
      <c r="AB102" s="385"/>
      <c r="AD102" s="386"/>
      <c r="AG102" s="320"/>
      <c r="AH102" s="320"/>
      <c r="AI102" s="380"/>
      <c r="AJ102" s="387"/>
      <c r="AK102" s="387"/>
      <c r="AL102" s="387"/>
      <c r="AO102" s="305"/>
      <c r="AP102" s="305"/>
      <c r="AQ102" s="305"/>
      <c r="AR102" s="321"/>
      <c r="AS102" s="319"/>
      <c r="AT102" s="319"/>
      <c r="AU102" s="319"/>
      <c r="AV102" s="321"/>
    </row>
    <row r="103" spans="1:48" ht="14.5" x14ac:dyDescent="0.35">
      <c r="A103" s="404"/>
      <c r="B103" s="200" t="s">
        <v>116</v>
      </c>
      <c r="C103" s="194">
        <f>SUMIFS($O$5:$O34,$H$5:$H34,$A$102,$I$5:$I34,$B103,$B$5:$B34,"&lt;=30")</f>
        <v>0</v>
      </c>
      <c r="D103" s="436">
        <f>SUMIFS($O$5:$O34,$H$5:$H34,$A$102,$I$5:$I34,$B103,$B$5:$B34,"&lt;=60")-C103</f>
        <v>0</v>
      </c>
      <c r="E103" s="436">
        <f>SUMIFS($O$5:$O34,$H$5:$H34,$A$102,$I$5:$I34,$B103,$B$5:$B34,"&lt;=90")-D103-C103</f>
        <v>0</v>
      </c>
      <c r="F103" s="436">
        <f>SUMIFS($O$5:$O34,$H$5:$H34,$A$102,$I$5:$I34,$B103,$B$5:$B34,"&gt;=91")</f>
        <v>0</v>
      </c>
      <c r="G103" s="195">
        <f t="shared" si="3"/>
        <v>0</v>
      </c>
    </row>
    <row r="104" spans="1:48" ht="14.5" x14ac:dyDescent="0.35">
      <c r="A104" s="235"/>
      <c r="B104" s="193" t="s">
        <v>65</v>
      </c>
      <c r="C104" s="194">
        <f>SUMIFS($O$5:$O32,$H$5:$H32,$A$105,$I$5:$I32,$B104,$B$5:$B32,"&lt;=30")</f>
        <v>0</v>
      </c>
      <c r="D104" s="436">
        <f>SUMIFS($O$5:$O32,$H$5:$H32,$A$105,$I$5:$I32,$B104,$B$5:$B32,"&lt;=60")-C104</f>
        <v>0</v>
      </c>
      <c r="E104" s="436">
        <f>SUMIFS($O$5:$O32,$H$5:$H32,$A$105,$I$5:$I32,$B104,$B$5:$B32,"&lt;=90")-D104-C104</f>
        <v>0</v>
      </c>
      <c r="F104" s="436">
        <f>SUMIFS($O$5:$O32,$H$5:$H32,$A$105,$I$5:$I32,$B104,$B$5:$B32,"&gt;=91")</f>
        <v>0</v>
      </c>
      <c r="G104" s="195">
        <f t="shared" si="3"/>
        <v>0</v>
      </c>
    </row>
    <row r="105" spans="1:48" ht="14.5" x14ac:dyDescent="0.35">
      <c r="A105" s="238" t="s">
        <v>230</v>
      </c>
      <c r="B105" s="30" t="s">
        <v>64</v>
      </c>
      <c r="C105" s="194">
        <f>SUMIFS($O$5:$O33,$H$5:$H33,$A$105,$I$5:$I33,$B105,$B$5:$B33,"&lt;=30")</f>
        <v>0</v>
      </c>
      <c r="D105" s="436">
        <f>SUMIFS($O$5:$O33,$H$5:$H33,$A$105,$I$5:$I33,$B105,$B$5:$B33,"&lt;=60")-C105</f>
        <v>0</v>
      </c>
      <c r="E105" s="436">
        <f>SUMIFS($O$5:$O33,$H$5:$H33,$A$105,$I$5:$I33,$B105,$B$5:$B33,"&lt;=90")-D105-C105</f>
        <v>0</v>
      </c>
      <c r="F105" s="436">
        <f>SUMIFS($O$5:$O33,$H$5:$H33,$A$105,$I$5:$I33,$B105,$B$5:$B33,"&gt;=91")</f>
        <v>0</v>
      </c>
      <c r="G105" s="195">
        <f t="shared" si="3"/>
        <v>0</v>
      </c>
    </row>
    <row r="106" spans="1:48" ht="14.5" x14ac:dyDescent="0.35">
      <c r="A106" s="238"/>
      <c r="B106" s="200" t="s">
        <v>116</v>
      </c>
      <c r="C106" s="194">
        <f>SUMIFS($O$5:$O34,$H$5:$H34,$A$105,$I$5:$I34,$B106,$B$5:$B34,"&lt;=30")</f>
        <v>0</v>
      </c>
      <c r="D106" s="436">
        <f>SUMIFS($O$5:$O34,$H$5:$H34,$A$105,$I$5:$I34,$B106,$B$5:$B34,"&lt;=60")-C106</f>
        <v>0</v>
      </c>
      <c r="E106" s="436">
        <f>SUMIFS($O$5:$O34,$H$5:$H34,$A$105,$I$5:$I34,$B106,$B$5:$B34,"&lt;=90")-D106-C106</f>
        <v>0</v>
      </c>
      <c r="F106" s="436">
        <f>SUMIFS($O$5:$O34,$H$5:$H34,$A$105,$I$5:$I34,$B106,$B$5:$B34,"&gt;=91")</f>
        <v>0</v>
      </c>
      <c r="G106" s="195">
        <f t="shared" si="3"/>
        <v>0</v>
      </c>
    </row>
    <row r="107" spans="1:48" s="302" customFormat="1" ht="16.5" customHeight="1" x14ac:dyDescent="0.35">
      <c r="A107" s="239"/>
      <c r="B107" s="193" t="s">
        <v>65</v>
      </c>
      <c r="C107" s="194">
        <f>SUMIFS($O$5:$O35,$H$5:$H35,$A$108,$I$5:$I35,$B107,$B$5:$B35,"&lt;=30")</f>
        <v>0</v>
      </c>
      <c r="D107" s="436">
        <f>SUMIFS($O$5:$O35,$H$5:$H35,$A$108,$I$5:$I35,$B107,$B$5:$B35,"&lt;=60")-C107</f>
        <v>0</v>
      </c>
      <c r="E107" s="436">
        <f>SUMIFS($O$5:$O35,$H$5:$H35,$A$108,$I$5:$I35,$B107,$B$5:$B35,"&lt;=90")-D107-C107</f>
        <v>0</v>
      </c>
      <c r="F107" s="436">
        <f>SUMIFS($O$5:$O35,$H$5:$H35,$A$108,$I$5:$I35,$B107,$B$5:$B35,"&gt;=91")</f>
        <v>0</v>
      </c>
      <c r="G107" s="195">
        <f t="shared" si="3"/>
        <v>0</v>
      </c>
      <c r="J107" s="321"/>
      <c r="K107" s="321"/>
      <c r="L107" s="321"/>
      <c r="M107" s="321"/>
      <c r="N107" s="319"/>
      <c r="O107" s="388"/>
      <c r="P107" s="323"/>
      <c r="Q107" s="327"/>
      <c r="R107" s="327"/>
      <c r="S107" s="326"/>
      <c r="T107" s="304"/>
      <c r="U107" s="389"/>
      <c r="V107" s="389"/>
      <c r="W107" s="389"/>
      <c r="X107" s="385"/>
      <c r="Y107" s="385"/>
      <c r="Z107" s="385"/>
      <c r="AA107" s="385"/>
      <c r="AB107" s="385"/>
      <c r="AC107" s="390"/>
      <c r="AG107" s="320"/>
      <c r="AH107" s="320"/>
      <c r="AI107" s="320"/>
      <c r="AJ107" s="320"/>
      <c r="AK107" s="320"/>
      <c r="AL107" s="320"/>
      <c r="AO107" s="305"/>
      <c r="AP107" s="305"/>
      <c r="AQ107" s="305"/>
      <c r="AR107" s="305"/>
    </row>
    <row r="108" spans="1:48" ht="14.5" x14ac:dyDescent="0.35">
      <c r="A108" s="240" t="s">
        <v>148</v>
      </c>
      <c r="B108" s="30" t="s">
        <v>64</v>
      </c>
      <c r="C108" s="194">
        <f>SUMIFS($O$5:$O36,$H$5:$H36,$A$108,$I$5:$I36,$B108,$B$5:$B36,"&lt;=30")</f>
        <v>0</v>
      </c>
      <c r="D108" s="436">
        <f>SUMIFS($O$5:$O36,$H$5:$H36,$A$108,$I$5:$I36,$B108,$B$5:$B36,"&lt;=60")-C108</f>
        <v>0</v>
      </c>
      <c r="E108" s="436">
        <f>SUMIFS($O$5:$O36,$H$5:$H36,$A$108,$I$5:$I36,$B108,$B$5:$B36,"&lt;=90")-D108-C108</f>
        <v>0</v>
      </c>
      <c r="F108" s="436">
        <f>SUMIFS($O$5:$O36,$H$5:$H36,$A$108,$I$5:$I36,$B108,$B$5:$B36,"&gt;=91")</f>
        <v>0</v>
      </c>
      <c r="G108" s="195">
        <f t="shared" si="3"/>
        <v>0</v>
      </c>
    </row>
    <row r="109" spans="1:48" ht="14.5" x14ac:dyDescent="0.35">
      <c r="A109" s="240"/>
      <c r="B109" s="200" t="s">
        <v>116</v>
      </c>
      <c r="C109" s="194">
        <f>SUMIFS($O$5:$O37,$H$5:$H37,$A$108,$I$5:$I37,$B109,$B$5:$B37,"&lt;=30")</f>
        <v>0</v>
      </c>
      <c r="D109" s="436">
        <f>SUMIFS($O$5:$O37,$H$5:$H37,$A$108,$I$5:$I37,$B109,$B$5:$B37,"&lt;=60")-C109</f>
        <v>0</v>
      </c>
      <c r="E109" s="436">
        <f>SUMIFS($O$5:$O37,$H$5:$H37,$A$108,$I$5:$I37,$B109,$B$5:$B37,"&lt;=90")-D109-C109</f>
        <v>0</v>
      </c>
      <c r="F109" s="436">
        <f>SUMIFS($O$5:$O37,$H$5:$H37,$A$108,$I$5:$I37,$B109,$B$5:$B37,"&gt;=91")</f>
        <v>0</v>
      </c>
      <c r="G109" s="195">
        <f t="shared" si="3"/>
        <v>0</v>
      </c>
      <c r="O109" s="305"/>
    </row>
    <row r="110" spans="1:48" s="302" customFormat="1" ht="16.5" customHeight="1" x14ac:dyDescent="0.35">
      <c r="A110" s="242"/>
      <c r="B110" s="193" t="s">
        <v>65</v>
      </c>
      <c r="C110" s="194">
        <f>SUMIFS($O$5:$O38,$H$5:$H38,$A$111,$I$5:$I38,$B110,$B$5:$B38,"&lt;=30")</f>
        <v>0</v>
      </c>
      <c r="D110" s="436">
        <f>SUMIFS($O$5:$O38,$H$5:$H38,$A$111,$I$5:$I38,$B110,$B$5:$B38,"&lt;=60")-C110</f>
        <v>0</v>
      </c>
      <c r="E110" s="436">
        <f>SUMIFS($O$5:$O38,$H$5:$H38,$A$111,$I$5:$I38,$B110,$B$5:$B38,"&lt;=90")-D110-C110</f>
        <v>0</v>
      </c>
      <c r="F110" s="436">
        <f>SUMIFS($O$5:$O38,$H$5:$H38,$A$111,$I$5:$I38,$B110,$B$5:$B38,"&gt;=91")</f>
        <v>0</v>
      </c>
      <c r="G110" s="195">
        <f t="shared" si="3"/>
        <v>0</v>
      </c>
      <c r="J110" s="321"/>
      <c r="K110" s="321"/>
      <c r="L110" s="321"/>
      <c r="M110" s="321"/>
      <c r="N110" s="319"/>
      <c r="O110" s="382"/>
      <c r="P110" s="323"/>
      <c r="Q110" s="327"/>
      <c r="R110" s="327"/>
      <c r="S110" s="326"/>
      <c r="T110" s="304"/>
      <c r="U110" s="389"/>
      <c r="V110" s="389"/>
      <c r="W110" s="389"/>
      <c r="X110" s="385"/>
      <c r="Y110" s="385"/>
      <c r="Z110" s="385"/>
      <c r="AA110" s="385"/>
      <c r="AB110" s="385"/>
      <c r="AC110" s="390"/>
      <c r="AG110" s="320"/>
      <c r="AH110" s="320"/>
      <c r="AI110" s="320"/>
      <c r="AJ110" s="320"/>
      <c r="AK110" s="320"/>
      <c r="AL110" s="320"/>
      <c r="AO110" s="305"/>
      <c r="AP110" s="305"/>
      <c r="AQ110" s="305"/>
      <c r="AR110" s="305"/>
    </row>
    <row r="111" spans="1:48" ht="14.5" x14ac:dyDescent="0.35">
      <c r="A111" s="243">
        <v>430</v>
      </c>
      <c r="B111" s="30" t="s">
        <v>64</v>
      </c>
      <c r="C111" s="194">
        <f>SUMIFS($O$5:$O39,$H$5:$H39,$A$111,$I$5:$I39,$B111,$B$5:$B39,"&lt;=30")</f>
        <v>0</v>
      </c>
      <c r="D111" s="436">
        <f>SUMIFS($O$5:$O39,$H$5:$H39,$A$111,$I$5:$I39,$B111,$B$5:$B39,"&lt;=60")-C111</f>
        <v>0</v>
      </c>
      <c r="E111" s="436">
        <f>SUMIFS($O$5:$O39,$H$5:$H39,$A$111,$I$5:$I39,$B111,$B$5:$B39,"&lt;=90")-D111-C111</f>
        <v>0</v>
      </c>
      <c r="F111" s="436">
        <f>SUMIFS($O$5:$O39,$H$5:$H39,$A$111,$I$5:$I39,$B111,$B$5:$B39,"&gt;=91")</f>
        <v>0</v>
      </c>
      <c r="G111" s="195">
        <f t="shared" si="3"/>
        <v>0</v>
      </c>
    </row>
    <row r="112" spans="1:48" ht="14.5" x14ac:dyDescent="0.35">
      <c r="A112" s="243"/>
      <c r="B112" s="200" t="s">
        <v>116</v>
      </c>
      <c r="C112" s="194">
        <f ca="1">SUMIFS($O$5:$O40,$H$5:$H40,$A$111,$I$5:$I40,$B112,$B$5:$B40,"&lt;=30")</f>
        <v>0</v>
      </c>
      <c r="D112" s="436">
        <f ca="1">SUMIFS($O$5:$O40,$H$5:$H40,$A$111,$I$5:$I40,$B112,$B$5:$B40,"&lt;=60")-C112</f>
        <v>0</v>
      </c>
      <c r="E112" s="436">
        <f ca="1">SUMIFS($O$5:$O40,$H$5:$H40,$A$111,$I$5:$I40,$B112,$B$5:$B40,"&lt;=90")-D112-C112</f>
        <v>0</v>
      </c>
      <c r="F112" s="436">
        <f ca="1">SUMIFS($O$5:$O40,$H$5:$H40,$A$111,$I$5:$I40,$B112,$B$5:$B40,"&gt;=91")</f>
        <v>0</v>
      </c>
      <c r="G112" s="195">
        <f t="shared" ca="1" si="3"/>
        <v>0</v>
      </c>
    </row>
    <row r="113" spans="1:62" ht="16.5" customHeight="1" x14ac:dyDescent="0.35">
      <c r="A113" s="244"/>
      <c r="B113" s="193" t="s">
        <v>65</v>
      </c>
      <c r="C113" s="194">
        <f>SUMIFS($O$5:$O41,$H$5:$H41,$A$114,$I$5:$I41,$B113,$B$5:$B41,"&lt;=30")</f>
        <v>0</v>
      </c>
      <c r="D113" s="436">
        <f>SUMIFS($O$5:$O41,$H$5:$H41,$A$114,$I$5:$I41,$B113,$B$5:$B41,"&lt;=60")-C113</f>
        <v>0</v>
      </c>
      <c r="E113" s="436">
        <f>SUMIFS($O$5:$O41,$H$5:$H41,$A$114,$I$5:$I41,$B113,$B$5:$B41,"&lt;=90")-D113-C113</f>
        <v>0</v>
      </c>
      <c r="F113" s="436">
        <f>SUMIFS($O$5:$O41,$H$5:$H41,$A$114,$I$5:$I41,$B113,$B$5:$B41,"&gt;=91")</f>
        <v>0</v>
      </c>
      <c r="G113" s="195">
        <f t="shared" si="3"/>
        <v>0</v>
      </c>
    </row>
    <row r="114" spans="1:62" s="274" customFormat="1" ht="16.5" customHeight="1" x14ac:dyDescent="0.35">
      <c r="A114" s="245" t="s">
        <v>2538</v>
      </c>
      <c r="B114" s="30" t="s">
        <v>64</v>
      </c>
      <c r="C114" s="194">
        <f>SUMIFS($O$5:$O42,$H$5:$H42,$A$114,$I$5:$I42,$B114,$B$5:$B42,"&lt;=30")</f>
        <v>0</v>
      </c>
      <c r="D114" s="436">
        <f>SUMIFS($O$5:$O42,$H$5:$H42,$A$114,$I$5:$I42,$B114,$B$5:$B42,"&lt;=60")-C114</f>
        <v>0</v>
      </c>
      <c r="E114" s="436">
        <f>SUMIFS($O$5:$O42,$H$5:$H42,$A$114,$I$5:$I42,$B114,$B$5:$B42,"&lt;=90")-D114-C114</f>
        <v>0</v>
      </c>
      <c r="F114" s="436">
        <f>SUMIFS($O$5:$O42,$H$5:$H42,$A$114,$I$5:$I42,$B114,$B$5:$B42,"&gt;=91")</f>
        <v>0</v>
      </c>
      <c r="G114" s="195">
        <f t="shared" si="3"/>
        <v>0</v>
      </c>
      <c r="H114" s="260"/>
      <c r="I114" s="260"/>
      <c r="K114" s="304"/>
      <c r="L114" s="304"/>
      <c r="M114" s="304"/>
      <c r="N114" s="275"/>
      <c r="O114" s="276"/>
      <c r="P114" s="276"/>
      <c r="Q114" s="276"/>
      <c r="R114" s="276"/>
      <c r="S114" s="276"/>
      <c r="T114" s="304"/>
      <c r="Y114" s="401"/>
      <c r="AE114" s="260"/>
      <c r="AF114" s="260"/>
      <c r="AG114" s="260"/>
      <c r="AH114" s="260"/>
      <c r="AI114" s="260"/>
      <c r="AJ114" s="260"/>
      <c r="AK114" s="260"/>
      <c r="AL114" s="260"/>
      <c r="AM114" s="260"/>
      <c r="AN114" s="260"/>
      <c r="AO114" s="305"/>
      <c r="AP114" s="305"/>
      <c r="AQ114" s="305"/>
      <c r="AT114" s="260"/>
      <c r="AU114" s="260"/>
    </row>
    <row r="115" spans="1:62" ht="14.5" x14ac:dyDescent="0.35">
      <c r="A115" s="246"/>
      <c r="B115" s="200" t="s">
        <v>116</v>
      </c>
      <c r="C115" s="194">
        <f>SUMIFS($O$5:$O43,$H$5:$H43,$A$114,$I$5:$I43,$B115,$B$5:$B43,"&lt;=30")</f>
        <v>0</v>
      </c>
      <c r="D115" s="436">
        <f>SUMIFS($O$5:$O43,$H$5:$H43,$A$114,$I$5:$I43,$B115,$B$5:$B43,"&lt;=60")-C115</f>
        <v>0</v>
      </c>
      <c r="E115" s="436">
        <f>SUMIFS($O$5:$O43,$H$5:$H43,$A$114,$I$5:$I43,$B115,$B$5:$B43,"&lt;=90")-D115-C115</f>
        <v>0</v>
      </c>
      <c r="F115" s="436">
        <f>SUMIFS($O$5:$O43,$H$5:$H43,$A$114,$I$5:$I43,$B115,$B$5:$B43,"&gt;=91")</f>
        <v>0</v>
      </c>
      <c r="G115" s="195">
        <f t="shared" si="3"/>
        <v>0</v>
      </c>
    </row>
    <row r="116" spans="1:62" ht="14.5" x14ac:dyDescent="0.35">
      <c r="A116" s="812" t="s">
        <v>34</v>
      </c>
      <c r="B116" s="813"/>
      <c r="C116" s="257">
        <f ca="1">SUM(C83:C115)</f>
        <v>0</v>
      </c>
      <c r="D116" s="257">
        <f ca="1">SUM(D83:D115)</f>
        <v>0</v>
      </c>
      <c r="E116" s="257">
        <f ca="1">SUM(E83:E115)</f>
        <v>0</v>
      </c>
      <c r="F116" s="257">
        <f ca="1">SUM(F83:F115)</f>
        <v>0</v>
      </c>
      <c r="G116" s="195">
        <f t="shared" ca="1" si="3"/>
        <v>0</v>
      </c>
    </row>
    <row r="117" spans="1:62" x14ac:dyDescent="0.35">
      <c r="O117" s="388"/>
    </row>
    <row r="118" spans="1:62" s="274" customFormat="1" ht="16.5" customHeight="1" x14ac:dyDescent="0.35">
      <c r="A118" s="260"/>
      <c r="B118" s="260"/>
      <c r="C118" s="260"/>
      <c r="D118" s="260"/>
      <c r="E118" s="260"/>
      <c r="F118" s="260"/>
      <c r="G118" s="260"/>
      <c r="H118" s="260"/>
      <c r="I118" s="260"/>
      <c r="K118" s="304"/>
      <c r="L118" s="304"/>
      <c r="M118" s="304"/>
      <c r="N118" s="275"/>
      <c r="O118" s="276"/>
      <c r="P118" s="276"/>
      <c r="Q118" s="276"/>
      <c r="R118" s="276"/>
      <c r="S118" s="276"/>
      <c r="T118" s="304"/>
      <c r="Y118" s="401"/>
      <c r="AE118" s="260"/>
      <c r="AF118" s="260"/>
      <c r="AG118" s="260"/>
      <c r="AH118" s="260"/>
      <c r="AI118" s="260"/>
      <c r="AJ118" s="260"/>
      <c r="AK118" s="260"/>
      <c r="AL118" s="260"/>
      <c r="AM118" s="260"/>
      <c r="AN118" s="260"/>
      <c r="AO118" s="305"/>
      <c r="AP118" s="305"/>
      <c r="AQ118" s="305"/>
      <c r="AT118" s="260"/>
      <c r="AU118" s="260"/>
    </row>
    <row r="119" spans="1:62" s="274" customFormat="1" ht="16.5" customHeight="1" x14ac:dyDescent="0.35">
      <c r="A119" s="393"/>
      <c r="B119" s="393"/>
      <c r="C119" s="260"/>
      <c r="D119" s="260"/>
      <c r="E119" s="260"/>
      <c r="F119" s="260"/>
      <c r="G119" s="260"/>
      <c r="H119" s="260"/>
      <c r="I119" s="260"/>
      <c r="K119" s="304"/>
      <c r="L119" s="304"/>
      <c r="M119" s="304"/>
      <c r="N119" s="275"/>
      <c r="O119" s="276"/>
      <c r="P119" s="276"/>
      <c r="Q119" s="276"/>
      <c r="R119" s="276"/>
      <c r="S119" s="276"/>
      <c r="T119" s="304"/>
      <c r="Y119" s="401"/>
      <c r="AE119" s="260"/>
      <c r="AF119" s="260"/>
      <c r="AG119" s="260"/>
      <c r="AH119" s="260"/>
      <c r="AI119" s="260"/>
      <c r="AJ119" s="260"/>
      <c r="AK119" s="260"/>
      <c r="AL119" s="260"/>
      <c r="AM119" s="260"/>
      <c r="AN119" s="260"/>
      <c r="AO119" s="305"/>
      <c r="AP119" s="305"/>
      <c r="AQ119" s="305"/>
      <c r="AT119" s="260"/>
      <c r="AU119" s="260"/>
    </row>
    <row r="120" spans="1:62" s="276" customFormat="1" ht="16.5" customHeight="1" x14ac:dyDescent="0.35">
      <c r="A120" s="260"/>
      <c r="B120" s="260"/>
      <c r="C120" s="260"/>
      <c r="D120" s="260"/>
      <c r="E120" s="260"/>
      <c r="F120" s="260"/>
      <c r="G120" s="260"/>
      <c r="H120" s="260"/>
      <c r="I120" s="260"/>
      <c r="J120" s="274"/>
      <c r="K120" s="304"/>
      <c r="L120" s="304"/>
      <c r="M120" s="304"/>
      <c r="N120" s="275"/>
      <c r="O120" s="388"/>
      <c r="T120" s="304"/>
      <c r="U120" s="274"/>
      <c r="V120" s="274"/>
      <c r="W120" s="274"/>
      <c r="X120" s="274"/>
      <c r="Y120" s="274"/>
      <c r="Z120" s="274"/>
      <c r="AA120" s="274"/>
      <c r="AB120" s="274"/>
      <c r="AC120" s="274"/>
      <c r="AD120" s="274"/>
      <c r="AE120" s="260"/>
      <c r="AF120" s="260"/>
      <c r="AG120" s="260"/>
      <c r="AH120" s="260"/>
      <c r="AI120" s="260"/>
      <c r="AJ120" s="260"/>
      <c r="AK120" s="260"/>
      <c r="AL120" s="260"/>
      <c r="AM120" s="260"/>
      <c r="AN120" s="260"/>
      <c r="AO120" s="305"/>
      <c r="AP120" s="305"/>
      <c r="AQ120" s="305"/>
      <c r="AR120" s="274"/>
      <c r="AS120" s="274"/>
      <c r="AT120" s="260"/>
      <c r="AU120" s="260"/>
      <c r="AV120" s="260"/>
      <c r="AW120" s="260"/>
      <c r="AX120" s="260"/>
      <c r="AY120" s="260"/>
      <c r="AZ120" s="260"/>
      <c r="BA120" s="260"/>
      <c r="BB120" s="260"/>
      <c r="BC120" s="260"/>
      <c r="BD120" s="260"/>
      <c r="BE120" s="260"/>
      <c r="BF120" s="260"/>
      <c r="BG120" s="260"/>
      <c r="BH120" s="260"/>
      <c r="BI120" s="260"/>
      <c r="BJ120" s="260"/>
    </row>
    <row r="121" spans="1:62" x14ac:dyDescent="0.35">
      <c r="D121" s="413" t="s">
        <v>4594</v>
      </c>
      <c r="E121" s="413">
        <f ca="1">SUMIFS(O:O,B:B,"&gt;=60")</f>
        <v>0</v>
      </c>
    </row>
    <row r="153" spans="1:62" s="274" customFormat="1" x14ac:dyDescent="0.35">
      <c r="A153" s="260"/>
      <c r="B153" s="260"/>
      <c r="C153" s="260"/>
      <c r="D153" s="260"/>
      <c r="E153" s="260"/>
      <c r="F153" s="260"/>
      <c r="G153" s="260"/>
      <c r="H153" s="260"/>
      <c r="I153" s="260"/>
      <c r="K153" s="304"/>
      <c r="L153" s="304"/>
      <c r="M153" s="304"/>
      <c r="N153" s="275"/>
      <c r="O153" s="276"/>
      <c r="P153" s="276"/>
      <c r="Q153" s="276"/>
      <c r="R153" s="276"/>
      <c r="S153" s="276"/>
      <c r="T153" s="327"/>
      <c r="AE153" s="260"/>
      <c r="AF153" s="260"/>
      <c r="AG153" s="260"/>
      <c r="AH153" s="260"/>
      <c r="AI153" s="260"/>
      <c r="AJ153" s="260"/>
      <c r="AK153" s="260"/>
      <c r="AL153" s="260"/>
      <c r="AM153" s="260"/>
      <c r="AN153" s="260"/>
      <c r="AO153" s="305"/>
      <c r="AP153" s="305"/>
      <c r="AQ153" s="305"/>
      <c r="AT153" s="260"/>
      <c r="AU153" s="260"/>
      <c r="AV153" s="260"/>
      <c r="AW153" s="260"/>
      <c r="AX153" s="260"/>
      <c r="AY153" s="260"/>
      <c r="AZ153" s="260"/>
      <c r="BA153" s="260"/>
      <c r="BB153" s="260"/>
      <c r="BC153" s="260"/>
      <c r="BD153" s="260"/>
      <c r="BE153" s="260"/>
      <c r="BF153" s="260"/>
      <c r="BG153" s="260"/>
      <c r="BH153" s="260"/>
      <c r="BI153" s="260"/>
      <c r="BJ153" s="260"/>
    </row>
    <row r="156" spans="1:62" s="274" customFormat="1" x14ac:dyDescent="0.35">
      <c r="A156" s="260"/>
      <c r="B156" s="260"/>
      <c r="C156" s="260"/>
      <c r="D156" s="260"/>
      <c r="E156" s="260"/>
      <c r="F156" s="260"/>
      <c r="G156" s="260"/>
      <c r="H156" s="260"/>
      <c r="I156" s="260"/>
      <c r="K156" s="304"/>
      <c r="L156" s="304"/>
      <c r="M156" s="304"/>
      <c r="N156" s="275"/>
      <c r="O156" s="276"/>
      <c r="P156" s="276"/>
      <c r="Q156" s="276"/>
      <c r="R156" s="276"/>
      <c r="S156" s="276"/>
      <c r="T156" s="327"/>
      <c r="AE156" s="260"/>
      <c r="AF156" s="260"/>
      <c r="AG156" s="260"/>
      <c r="AH156" s="260"/>
      <c r="AI156" s="260"/>
      <c r="AJ156" s="260"/>
      <c r="AK156" s="260"/>
      <c r="AL156" s="260"/>
      <c r="AM156" s="260"/>
      <c r="AN156" s="260"/>
      <c r="AO156" s="305"/>
      <c r="AP156" s="305"/>
      <c r="AQ156" s="305"/>
      <c r="AT156" s="260"/>
      <c r="AU156" s="260"/>
      <c r="AV156" s="260"/>
      <c r="AW156" s="260"/>
      <c r="AX156" s="260"/>
      <c r="AY156" s="260"/>
      <c r="AZ156" s="260"/>
      <c r="BA156" s="260"/>
      <c r="BB156" s="260"/>
      <c r="BC156" s="260"/>
      <c r="BD156" s="260"/>
      <c r="BE156" s="260"/>
      <c r="BF156" s="260"/>
      <c r="BG156" s="260"/>
      <c r="BH156" s="260"/>
      <c r="BI156" s="260"/>
      <c r="BJ156" s="260"/>
    </row>
    <row r="157" spans="1:62" s="274" customFormat="1" x14ac:dyDescent="0.35">
      <c r="A157" s="260"/>
      <c r="B157" s="260"/>
      <c r="C157" s="260"/>
      <c r="D157" s="260"/>
      <c r="E157" s="260"/>
      <c r="F157" s="260"/>
      <c r="G157" s="260"/>
      <c r="H157" s="260"/>
      <c r="I157" s="260"/>
      <c r="K157" s="304"/>
      <c r="L157" s="304"/>
      <c r="M157" s="304"/>
      <c r="N157" s="275"/>
      <c r="O157" s="276"/>
      <c r="P157" s="276"/>
      <c r="Q157" s="276"/>
      <c r="R157" s="276"/>
      <c r="S157" s="276"/>
      <c r="T157" s="327"/>
      <c r="AE157" s="260"/>
      <c r="AF157" s="260"/>
      <c r="AG157" s="260"/>
      <c r="AH157" s="260"/>
      <c r="AI157" s="260"/>
      <c r="AJ157" s="260"/>
      <c r="AK157" s="260"/>
      <c r="AL157" s="260"/>
      <c r="AM157" s="260"/>
      <c r="AN157" s="260"/>
      <c r="AO157" s="305"/>
      <c r="AP157" s="305"/>
      <c r="AQ157" s="305"/>
      <c r="AT157" s="260"/>
      <c r="AU157" s="260"/>
      <c r="AV157" s="260"/>
      <c r="AW157" s="260"/>
      <c r="AX157" s="260"/>
      <c r="AY157" s="260"/>
      <c r="AZ157" s="260"/>
      <c r="BA157" s="260"/>
      <c r="BB157" s="260"/>
      <c r="BC157" s="260"/>
      <c r="BD157" s="260"/>
      <c r="BE157" s="260"/>
      <c r="BF157" s="260"/>
      <c r="BG157" s="260"/>
      <c r="BH157" s="260"/>
      <c r="BI157" s="260"/>
      <c r="BJ157" s="260"/>
    </row>
    <row r="158" spans="1:62" s="274" customFormat="1" x14ac:dyDescent="0.35">
      <c r="A158" s="260"/>
      <c r="B158" s="260"/>
      <c r="C158" s="260"/>
      <c r="D158" s="260"/>
      <c r="E158" s="260"/>
      <c r="F158" s="260"/>
      <c r="G158" s="260"/>
      <c r="H158" s="260"/>
      <c r="I158" s="260"/>
      <c r="K158" s="304"/>
      <c r="L158" s="304"/>
      <c r="M158" s="304"/>
      <c r="N158" s="275"/>
      <c r="O158" s="276"/>
      <c r="P158" s="276"/>
      <c r="Q158" s="276"/>
      <c r="R158" s="276"/>
      <c r="S158" s="276"/>
      <c r="T158" s="327"/>
      <c r="AE158" s="260"/>
      <c r="AF158" s="260"/>
      <c r="AG158" s="260"/>
      <c r="AH158" s="260"/>
      <c r="AI158" s="260"/>
      <c r="AJ158" s="260"/>
      <c r="AK158" s="260"/>
      <c r="AL158" s="260"/>
      <c r="AM158" s="260"/>
      <c r="AN158" s="260"/>
      <c r="AO158" s="305"/>
      <c r="AP158" s="305"/>
      <c r="AQ158" s="305"/>
      <c r="AT158" s="260"/>
      <c r="AU158" s="260"/>
      <c r="AV158" s="260"/>
      <c r="AW158" s="260"/>
      <c r="AX158" s="260"/>
      <c r="AY158" s="260"/>
      <c r="AZ158" s="260"/>
      <c r="BA158" s="260"/>
      <c r="BB158" s="260"/>
      <c r="BC158" s="260"/>
      <c r="BD158" s="260"/>
      <c r="BE158" s="260"/>
      <c r="BF158" s="260"/>
      <c r="BG158" s="260"/>
      <c r="BH158" s="260"/>
      <c r="BI158" s="260"/>
      <c r="BJ158" s="260"/>
    </row>
    <row r="159" spans="1:62" s="274" customFormat="1" x14ac:dyDescent="0.35">
      <c r="A159" s="260"/>
      <c r="B159" s="260"/>
      <c r="C159" s="260"/>
      <c r="D159" s="260"/>
      <c r="E159" s="260"/>
      <c r="F159" s="260"/>
      <c r="G159" s="260"/>
      <c r="H159" s="260"/>
      <c r="I159" s="260"/>
      <c r="K159" s="304"/>
      <c r="L159" s="304"/>
      <c r="M159" s="304"/>
      <c r="N159" s="275"/>
      <c r="O159" s="276"/>
      <c r="P159" s="276"/>
      <c r="Q159" s="276"/>
      <c r="R159" s="276"/>
      <c r="S159" s="276"/>
      <c r="T159" s="327"/>
      <c r="AE159" s="260"/>
      <c r="AF159" s="260"/>
      <c r="AG159" s="260"/>
      <c r="AH159" s="260"/>
      <c r="AI159" s="260"/>
      <c r="AJ159" s="260"/>
      <c r="AK159" s="260"/>
      <c r="AL159" s="260"/>
      <c r="AM159" s="260"/>
      <c r="AN159" s="260"/>
      <c r="AO159" s="305"/>
      <c r="AP159" s="305"/>
      <c r="AQ159" s="305"/>
      <c r="AT159" s="260"/>
      <c r="AU159" s="260"/>
      <c r="AV159" s="260"/>
      <c r="AW159" s="260"/>
      <c r="AX159" s="260"/>
      <c r="AY159" s="260"/>
      <c r="AZ159" s="260"/>
      <c r="BA159" s="260"/>
      <c r="BB159" s="260"/>
      <c r="BC159" s="260"/>
      <c r="BD159" s="260"/>
      <c r="BE159" s="260"/>
      <c r="BF159" s="260"/>
      <c r="BG159" s="260"/>
      <c r="BH159" s="260"/>
      <c r="BI159" s="260"/>
      <c r="BJ159" s="260"/>
    </row>
    <row r="160" spans="1:62" s="274" customFormat="1" x14ac:dyDescent="0.35">
      <c r="A160" s="260"/>
      <c r="B160" s="260"/>
      <c r="C160" s="260"/>
      <c r="D160" s="260"/>
      <c r="E160" s="260"/>
      <c r="F160" s="260"/>
      <c r="G160" s="260"/>
      <c r="H160" s="260"/>
      <c r="I160" s="260"/>
      <c r="K160" s="304"/>
      <c r="L160" s="304"/>
      <c r="M160" s="304"/>
      <c r="N160" s="275"/>
      <c r="O160" s="276"/>
      <c r="P160" s="276"/>
      <c r="Q160" s="276"/>
      <c r="R160" s="276"/>
      <c r="S160" s="276"/>
      <c r="T160" s="327"/>
      <c r="AE160" s="260"/>
      <c r="AF160" s="260"/>
      <c r="AG160" s="260"/>
      <c r="AH160" s="260"/>
      <c r="AI160" s="260"/>
      <c r="AJ160" s="260"/>
      <c r="AK160" s="260"/>
      <c r="AL160" s="260"/>
      <c r="AM160" s="260"/>
      <c r="AN160" s="260"/>
      <c r="AO160" s="305"/>
      <c r="AP160" s="305"/>
      <c r="AQ160" s="305"/>
      <c r="AT160" s="260"/>
      <c r="AU160" s="260"/>
      <c r="AV160" s="260"/>
      <c r="AW160" s="260"/>
      <c r="AX160" s="260"/>
      <c r="AY160" s="260"/>
      <c r="AZ160" s="260"/>
      <c r="BA160" s="260"/>
      <c r="BB160" s="260"/>
      <c r="BC160" s="260"/>
      <c r="BD160" s="260"/>
      <c r="BE160" s="260"/>
      <c r="BF160" s="260"/>
      <c r="BG160" s="260"/>
      <c r="BH160" s="260"/>
      <c r="BI160" s="260"/>
      <c r="BJ160" s="260"/>
    </row>
    <row r="164" spans="1:62" s="302" customFormat="1" ht="16.5" customHeight="1" x14ac:dyDescent="0.35">
      <c r="G164" s="280"/>
      <c r="J164" s="321"/>
      <c r="K164" s="321"/>
      <c r="L164" s="321"/>
      <c r="M164" s="321"/>
      <c r="N164" s="319"/>
      <c r="O164" s="382"/>
      <c r="P164" s="323"/>
      <c r="Q164" s="327"/>
      <c r="R164" s="327"/>
      <c r="S164" s="326"/>
      <c r="T164" s="304"/>
      <c r="U164" s="389"/>
      <c r="V164" s="389"/>
      <c r="W164" s="389"/>
      <c r="X164" s="385"/>
      <c r="Y164" s="385"/>
      <c r="Z164" s="385"/>
      <c r="AA164" s="385"/>
      <c r="AB164" s="385"/>
      <c r="AC164" s="390"/>
      <c r="AG164" s="320"/>
      <c r="AH164" s="320"/>
      <c r="AI164" s="320"/>
      <c r="AJ164" s="320"/>
      <c r="AK164" s="320"/>
      <c r="AL164" s="320"/>
      <c r="AO164" s="305"/>
      <c r="AP164" s="305"/>
      <c r="AQ164" s="305"/>
      <c r="AR164" s="305"/>
    </row>
    <row r="167" spans="1:62" s="302" customFormat="1" ht="16.5" customHeight="1" x14ac:dyDescent="0.35">
      <c r="G167" s="280"/>
      <c r="J167" s="321"/>
      <c r="K167" s="321"/>
      <c r="L167" s="321"/>
      <c r="M167" s="321"/>
      <c r="N167" s="319"/>
      <c r="O167" s="382"/>
      <c r="P167" s="323"/>
      <c r="Q167" s="327"/>
      <c r="R167" s="327"/>
      <c r="S167" s="326"/>
      <c r="T167" s="327"/>
      <c r="U167" s="389"/>
      <c r="V167" s="389"/>
      <c r="W167" s="389"/>
      <c r="X167" s="385"/>
      <c r="Y167" s="385"/>
      <c r="Z167" s="385"/>
      <c r="AA167" s="385"/>
      <c r="AB167" s="385"/>
      <c r="AC167" s="390"/>
      <c r="AG167" s="320"/>
      <c r="AH167" s="320"/>
      <c r="AI167" s="320"/>
      <c r="AJ167" s="320"/>
      <c r="AK167" s="320"/>
      <c r="AL167" s="320"/>
      <c r="AO167" s="305"/>
      <c r="AP167" s="305"/>
      <c r="AQ167" s="305"/>
      <c r="AR167" s="305"/>
    </row>
    <row r="168" spans="1:62" s="302" customFormat="1" ht="16.5" customHeight="1" x14ac:dyDescent="0.35">
      <c r="G168" s="280"/>
      <c r="J168" s="321"/>
      <c r="K168" s="321"/>
      <c r="L168" s="321"/>
      <c r="M168" s="321"/>
      <c r="N168" s="319"/>
      <c r="O168" s="382"/>
      <c r="P168" s="323"/>
      <c r="Q168" s="327"/>
      <c r="R168" s="327"/>
      <c r="S168" s="326"/>
      <c r="T168" s="327"/>
      <c r="U168" s="389"/>
      <c r="V168" s="389"/>
      <c r="W168" s="389"/>
      <c r="X168" s="385"/>
      <c r="Y168" s="385"/>
      <c r="Z168" s="385"/>
      <c r="AA168" s="385"/>
      <c r="AB168" s="385"/>
      <c r="AC168" s="390"/>
      <c r="AG168" s="320"/>
      <c r="AH168" s="320"/>
      <c r="AI168" s="320"/>
      <c r="AJ168" s="320"/>
      <c r="AK168" s="320"/>
      <c r="AL168" s="320"/>
      <c r="AO168" s="305"/>
      <c r="AP168" s="305"/>
      <c r="AQ168" s="305"/>
      <c r="AR168" s="305"/>
    </row>
    <row r="169" spans="1:62" s="302" customFormat="1" ht="16.5" customHeight="1" x14ac:dyDescent="0.35">
      <c r="J169" s="321"/>
      <c r="K169" s="321"/>
      <c r="L169" s="321"/>
      <c r="M169" s="321"/>
      <c r="N169" s="319"/>
      <c r="O169" s="305"/>
      <c r="P169" s="323"/>
      <c r="Q169" s="327"/>
      <c r="R169" s="327"/>
      <c r="S169" s="326"/>
      <c r="T169" s="327"/>
      <c r="U169" s="389"/>
      <c r="V169" s="389"/>
      <c r="W169" s="389"/>
      <c r="X169" s="385"/>
      <c r="Y169" s="385"/>
      <c r="Z169" s="385"/>
      <c r="AA169" s="385"/>
      <c r="AB169" s="385"/>
      <c r="AC169" s="390"/>
      <c r="AG169" s="320"/>
      <c r="AH169" s="320"/>
      <c r="AI169" s="320"/>
      <c r="AJ169" s="320"/>
      <c r="AK169" s="320"/>
      <c r="AL169" s="320"/>
      <c r="AO169" s="305"/>
      <c r="AP169" s="305"/>
      <c r="AQ169" s="305"/>
      <c r="AR169" s="305"/>
    </row>
    <row r="170" spans="1:62" s="302" customFormat="1" ht="16.5" customHeight="1" x14ac:dyDescent="0.35">
      <c r="J170" s="321"/>
      <c r="K170" s="321"/>
      <c r="L170" s="321"/>
      <c r="M170" s="321"/>
      <c r="N170" s="319"/>
      <c r="O170" s="305"/>
      <c r="P170" s="323"/>
      <c r="Q170" s="327"/>
      <c r="R170" s="327"/>
      <c r="S170" s="326"/>
      <c r="T170" s="327"/>
      <c r="U170" s="389"/>
      <c r="V170" s="389"/>
      <c r="W170" s="389"/>
      <c r="X170" s="385"/>
      <c r="Y170" s="385"/>
      <c r="Z170" s="385"/>
      <c r="AA170" s="385"/>
      <c r="AB170" s="385"/>
      <c r="AC170" s="390"/>
      <c r="AG170" s="320"/>
      <c r="AH170" s="320"/>
      <c r="AI170" s="320"/>
      <c r="AJ170" s="320"/>
      <c r="AK170" s="320"/>
      <c r="AL170" s="320"/>
      <c r="AO170" s="305"/>
      <c r="AP170" s="305"/>
      <c r="AQ170" s="305"/>
      <c r="AR170" s="305"/>
    </row>
    <row r="171" spans="1:62" s="302" customFormat="1" ht="16.5" customHeight="1" x14ac:dyDescent="0.35">
      <c r="J171" s="321"/>
      <c r="K171" s="321"/>
      <c r="L171" s="321"/>
      <c r="M171" s="321"/>
      <c r="N171" s="319"/>
      <c r="O171" s="305"/>
      <c r="P171" s="323"/>
      <c r="Q171" s="327"/>
      <c r="R171" s="327"/>
      <c r="S171" s="326"/>
      <c r="T171" s="327"/>
      <c r="U171" s="389"/>
      <c r="V171" s="389"/>
      <c r="W171" s="389"/>
      <c r="X171" s="385"/>
      <c r="Y171" s="385"/>
      <c r="Z171" s="385"/>
      <c r="AA171" s="385"/>
      <c r="AB171" s="385"/>
      <c r="AC171" s="390"/>
      <c r="AG171" s="320"/>
      <c r="AH171" s="320"/>
      <c r="AI171" s="320"/>
      <c r="AJ171" s="320"/>
      <c r="AK171" s="320"/>
      <c r="AL171" s="320"/>
      <c r="AO171" s="305"/>
      <c r="AP171" s="305"/>
      <c r="AQ171" s="305"/>
      <c r="AR171" s="305"/>
    </row>
    <row r="172" spans="1:62" x14ac:dyDescent="0.35">
      <c r="T172" s="327"/>
    </row>
    <row r="175" spans="1:62" s="274" customFormat="1" ht="30" customHeight="1" x14ac:dyDescent="0.35">
      <c r="A175" s="414" t="s">
        <v>4595</v>
      </c>
      <c r="B175" s="414"/>
      <c r="C175" s="415"/>
      <c r="D175" s="415"/>
      <c r="E175" s="415"/>
      <c r="F175" s="260"/>
      <c r="G175" s="260"/>
      <c r="H175" s="260"/>
      <c r="I175" s="260"/>
      <c r="K175" s="304"/>
      <c r="L175" s="304"/>
      <c r="M175" s="304"/>
      <c r="N175" s="275"/>
      <c r="O175" s="276"/>
      <c r="P175" s="276"/>
      <c r="Q175" s="276"/>
      <c r="R175" s="276"/>
      <c r="S175" s="276"/>
      <c r="T175" s="304"/>
      <c r="AE175" s="260"/>
      <c r="AF175" s="260"/>
      <c r="AG175" s="260"/>
      <c r="AH175" s="260"/>
      <c r="AI175" s="260"/>
      <c r="AJ175" s="260"/>
      <c r="AK175" s="260"/>
      <c r="AL175" s="260"/>
      <c r="AM175" s="260"/>
      <c r="AN175" s="260"/>
      <c r="AO175" s="305"/>
      <c r="AP175" s="305"/>
      <c r="AQ175" s="305"/>
      <c r="AT175" s="260"/>
      <c r="AU175" s="260"/>
      <c r="AV175" s="260"/>
      <c r="AW175" s="260"/>
      <c r="AX175" s="260"/>
      <c r="AY175" s="260"/>
      <c r="AZ175" s="260"/>
      <c r="BA175" s="260"/>
      <c r="BB175" s="260"/>
      <c r="BC175" s="260"/>
      <c r="BD175" s="260"/>
      <c r="BE175" s="260"/>
      <c r="BF175" s="260"/>
      <c r="BG175" s="260"/>
      <c r="BH175" s="260"/>
      <c r="BI175" s="260"/>
      <c r="BJ175" s="260"/>
    </row>
    <row r="178" spans="1:62" s="302" customFormat="1" ht="16.5" customHeight="1" x14ac:dyDescent="0.35">
      <c r="J178" s="321"/>
      <c r="K178" s="321"/>
      <c r="L178" s="321"/>
      <c r="M178" s="321"/>
      <c r="N178" s="319"/>
      <c r="O178" s="305"/>
      <c r="P178" s="323"/>
      <c r="Q178" s="327"/>
      <c r="R178" s="327"/>
      <c r="S178" s="326"/>
      <c r="T178" s="304"/>
      <c r="U178" s="389"/>
      <c r="V178" s="389"/>
      <c r="W178" s="389"/>
      <c r="X178" s="385"/>
      <c r="Y178" s="385"/>
      <c r="Z178" s="385"/>
      <c r="AA178" s="385"/>
      <c r="AB178" s="385"/>
      <c r="AC178" s="390"/>
      <c r="AG178" s="320"/>
      <c r="AH178" s="320"/>
      <c r="AI178" s="320"/>
      <c r="AJ178" s="320"/>
      <c r="AK178" s="320"/>
      <c r="AL178" s="320"/>
      <c r="AO178" s="305"/>
      <c r="AP178" s="305"/>
      <c r="AQ178" s="305"/>
      <c r="AR178" s="305"/>
    </row>
    <row r="179" spans="1:62" s="302" customFormat="1" ht="16.5" customHeight="1" x14ac:dyDescent="0.35">
      <c r="J179" s="321"/>
      <c r="K179" s="321"/>
      <c r="L179" s="321"/>
      <c r="M179" s="321"/>
      <c r="N179" s="319"/>
      <c r="O179" s="305"/>
      <c r="P179" s="323"/>
      <c r="Q179" s="327"/>
      <c r="R179" s="327"/>
      <c r="S179" s="326"/>
      <c r="T179" s="304"/>
      <c r="U179" s="389"/>
      <c r="V179" s="389"/>
      <c r="W179" s="389"/>
      <c r="X179" s="385"/>
      <c r="Y179" s="385"/>
      <c r="Z179" s="385"/>
      <c r="AA179" s="385"/>
      <c r="AB179" s="385"/>
      <c r="AC179" s="390"/>
      <c r="AG179" s="320"/>
      <c r="AH179" s="320"/>
      <c r="AI179" s="320"/>
      <c r="AJ179" s="320"/>
      <c r="AK179" s="320"/>
      <c r="AL179" s="320"/>
      <c r="AO179" s="305"/>
      <c r="AP179" s="305"/>
      <c r="AQ179" s="305"/>
      <c r="AR179" s="305"/>
    </row>
    <row r="180" spans="1:62" s="302" customFormat="1" ht="16.5" customHeight="1" x14ac:dyDescent="0.35">
      <c r="J180" s="321"/>
      <c r="K180" s="321"/>
      <c r="L180" s="321"/>
      <c r="M180" s="321"/>
      <c r="N180" s="319"/>
      <c r="O180" s="305"/>
      <c r="P180" s="323"/>
      <c r="Q180" s="327"/>
      <c r="R180" s="327"/>
      <c r="S180" s="326"/>
      <c r="T180" s="304"/>
      <c r="U180" s="389"/>
      <c r="V180" s="389"/>
      <c r="W180" s="389"/>
      <c r="X180" s="385"/>
      <c r="Y180" s="385"/>
      <c r="Z180" s="385"/>
      <c r="AA180" s="385"/>
      <c r="AB180" s="385"/>
      <c r="AC180" s="390"/>
      <c r="AG180" s="320"/>
      <c r="AH180" s="320"/>
      <c r="AI180" s="320"/>
      <c r="AJ180" s="320"/>
      <c r="AK180" s="320"/>
      <c r="AL180" s="320"/>
      <c r="AO180" s="305"/>
      <c r="AP180" s="305"/>
      <c r="AQ180" s="305"/>
      <c r="AR180" s="305"/>
    </row>
    <row r="181" spans="1:62" s="302" customFormat="1" ht="16.5" customHeight="1" x14ac:dyDescent="0.35">
      <c r="J181" s="321"/>
      <c r="K181" s="321"/>
      <c r="L181" s="321"/>
      <c r="M181" s="321"/>
      <c r="N181" s="319"/>
      <c r="O181" s="305"/>
      <c r="P181" s="323"/>
      <c r="Q181" s="327"/>
      <c r="R181" s="327"/>
      <c r="S181" s="326"/>
      <c r="T181" s="304"/>
      <c r="U181" s="389"/>
      <c r="V181" s="389"/>
      <c r="W181" s="389"/>
      <c r="X181" s="385"/>
      <c r="Y181" s="385"/>
      <c r="Z181" s="385"/>
      <c r="AA181" s="385"/>
      <c r="AB181" s="385"/>
      <c r="AC181" s="390"/>
      <c r="AG181" s="320"/>
      <c r="AH181" s="320"/>
      <c r="AI181" s="320"/>
      <c r="AJ181" s="320"/>
      <c r="AK181" s="320"/>
      <c r="AL181" s="320"/>
      <c r="AO181" s="305"/>
      <c r="AP181" s="305"/>
      <c r="AQ181" s="305"/>
      <c r="AR181" s="305"/>
    </row>
    <row r="182" spans="1:62" s="302" customFormat="1" ht="16.5" customHeight="1" x14ac:dyDescent="0.35">
      <c r="J182" s="321"/>
      <c r="K182" s="321"/>
      <c r="L182" s="321"/>
      <c r="M182" s="321"/>
      <c r="N182" s="319"/>
      <c r="O182" s="305"/>
      <c r="P182" s="323"/>
      <c r="Q182" s="327"/>
      <c r="R182" s="327"/>
      <c r="S182" s="326"/>
      <c r="T182" s="304"/>
      <c r="U182" s="389"/>
      <c r="V182" s="389"/>
      <c r="W182" s="389"/>
      <c r="X182" s="385"/>
      <c r="Y182" s="385"/>
      <c r="Z182" s="385"/>
      <c r="AA182" s="385"/>
      <c r="AB182" s="385"/>
      <c r="AC182" s="390"/>
      <c r="AG182" s="320"/>
      <c r="AH182" s="320"/>
      <c r="AI182" s="320"/>
      <c r="AJ182" s="320"/>
      <c r="AK182" s="320"/>
      <c r="AL182" s="320"/>
      <c r="AO182" s="305"/>
      <c r="AP182" s="305"/>
      <c r="AQ182" s="305"/>
      <c r="AR182" s="305"/>
    </row>
    <row r="183" spans="1:62" s="302" customFormat="1" ht="16.5" customHeight="1" x14ac:dyDescent="0.35">
      <c r="J183" s="321"/>
      <c r="K183" s="321"/>
      <c r="L183" s="321"/>
      <c r="M183" s="321"/>
      <c r="N183" s="319"/>
      <c r="O183" s="305"/>
      <c r="P183" s="323"/>
      <c r="Q183" s="323"/>
      <c r="R183" s="323"/>
      <c r="S183" s="326"/>
      <c r="T183" s="304"/>
      <c r="U183" s="389"/>
      <c r="V183" s="389"/>
      <c r="W183" s="385"/>
      <c r="X183" s="385"/>
      <c r="Y183" s="385"/>
      <c r="Z183" s="385"/>
      <c r="AA183" s="385"/>
      <c r="AB183" s="390"/>
      <c r="AF183" s="320"/>
      <c r="AG183" s="320"/>
      <c r="AH183" s="320"/>
      <c r="AI183" s="320"/>
      <c r="AJ183" s="320"/>
      <c r="AK183" s="320"/>
      <c r="AL183" s="320"/>
      <c r="AN183" s="305"/>
      <c r="AO183" s="305"/>
      <c r="AP183" s="305"/>
      <c r="AQ183" s="305"/>
      <c r="AR183" s="305"/>
    </row>
    <row r="188" spans="1:62" x14ac:dyDescent="0.35">
      <c r="T188" s="327"/>
    </row>
    <row r="189" spans="1:62" s="274" customFormat="1" x14ac:dyDescent="0.35">
      <c r="A189" s="260"/>
      <c r="B189" s="260"/>
      <c r="C189" s="260"/>
      <c r="D189" s="260"/>
      <c r="E189" s="260"/>
      <c r="F189" s="260"/>
      <c r="G189" s="260"/>
      <c r="H189" s="260"/>
      <c r="I189" s="260"/>
      <c r="K189" s="304"/>
      <c r="L189" s="304"/>
      <c r="M189" s="304"/>
      <c r="N189" s="275"/>
      <c r="O189" s="388"/>
      <c r="P189" s="276"/>
      <c r="Q189" s="276"/>
      <c r="R189" s="276"/>
      <c r="S189" s="276"/>
      <c r="T189" s="327"/>
      <c r="AE189" s="260"/>
      <c r="AF189" s="260"/>
      <c r="AG189" s="260"/>
      <c r="AH189" s="260"/>
      <c r="AI189" s="260"/>
      <c r="AJ189" s="260"/>
      <c r="AK189" s="260"/>
      <c r="AL189" s="260"/>
      <c r="AM189" s="260"/>
      <c r="AN189" s="260"/>
      <c r="AO189" s="305"/>
      <c r="AP189" s="305"/>
      <c r="AQ189" s="305"/>
      <c r="AT189" s="260"/>
      <c r="AU189" s="260"/>
      <c r="AV189" s="260"/>
      <c r="AW189" s="260"/>
      <c r="AX189" s="260"/>
      <c r="AY189" s="260"/>
      <c r="AZ189" s="260"/>
      <c r="BA189" s="260"/>
      <c r="BB189" s="260"/>
      <c r="BC189" s="260"/>
      <c r="BD189" s="260"/>
      <c r="BE189" s="260"/>
      <c r="BF189" s="260"/>
      <c r="BG189" s="260"/>
      <c r="BH189" s="260"/>
      <c r="BI189" s="260"/>
      <c r="BJ189" s="260"/>
    </row>
    <row r="190" spans="1:62" x14ac:dyDescent="0.35">
      <c r="T190" s="327"/>
    </row>
    <row r="191" spans="1:62" x14ac:dyDescent="0.35">
      <c r="T191" s="327"/>
    </row>
    <row r="192" spans="1:62" x14ac:dyDescent="0.35">
      <c r="T192" s="327"/>
    </row>
    <row r="193" spans="1:62" s="274" customFormat="1" x14ac:dyDescent="0.35">
      <c r="A193" s="260"/>
      <c r="B193" s="260"/>
      <c r="C193" s="260"/>
      <c r="D193" s="260"/>
      <c r="E193" s="260"/>
      <c r="F193" s="260"/>
      <c r="G193" s="260"/>
      <c r="H193" s="260"/>
      <c r="I193" s="260"/>
      <c r="K193" s="304"/>
      <c r="L193" s="304"/>
      <c r="M193" s="304"/>
      <c r="N193" s="275"/>
      <c r="O193" s="276"/>
      <c r="P193" s="276"/>
      <c r="Q193" s="276"/>
      <c r="R193" s="276"/>
      <c r="S193" s="276"/>
      <c r="T193" s="327"/>
      <c r="AE193" s="260"/>
      <c r="AF193" s="260"/>
      <c r="AG193" s="260"/>
      <c r="AH193" s="260"/>
      <c r="AI193" s="260"/>
      <c r="AJ193" s="260"/>
      <c r="AK193" s="260"/>
      <c r="AL193" s="260"/>
      <c r="AM193" s="260"/>
      <c r="AN193" s="260"/>
      <c r="AO193" s="305"/>
      <c r="AP193" s="305"/>
      <c r="AQ193" s="305"/>
      <c r="AT193" s="260"/>
      <c r="AU193" s="260"/>
      <c r="AV193" s="260"/>
      <c r="AW193" s="260"/>
      <c r="AX193" s="260"/>
      <c r="AY193" s="260"/>
      <c r="AZ193" s="260"/>
      <c r="BA193" s="260"/>
      <c r="BB193" s="260"/>
      <c r="BC193" s="260"/>
      <c r="BD193" s="260"/>
      <c r="BE193" s="260"/>
      <c r="BF193" s="260"/>
      <c r="BG193" s="260"/>
      <c r="BH193" s="260"/>
      <c r="BI193" s="260"/>
      <c r="BJ193" s="260"/>
    </row>
    <row r="194" spans="1:62" s="274" customFormat="1" x14ac:dyDescent="0.35">
      <c r="A194" s="260"/>
      <c r="B194" s="260"/>
      <c r="C194" s="260"/>
      <c r="D194" s="260"/>
      <c r="E194" s="260"/>
      <c r="F194" s="260"/>
      <c r="G194" s="260"/>
      <c r="H194" s="260"/>
      <c r="I194" s="260"/>
      <c r="K194" s="304"/>
      <c r="L194" s="304"/>
      <c r="M194" s="304"/>
      <c r="N194" s="275"/>
      <c r="O194" s="276"/>
      <c r="P194" s="276"/>
      <c r="Q194" s="276"/>
      <c r="R194" s="276"/>
      <c r="S194" s="276"/>
      <c r="T194" s="327"/>
      <c r="AE194" s="260"/>
      <c r="AF194" s="260"/>
      <c r="AG194" s="260"/>
      <c r="AH194" s="260"/>
      <c r="AI194" s="260"/>
      <c r="AJ194" s="260"/>
      <c r="AK194" s="260"/>
      <c r="AL194" s="260"/>
      <c r="AM194" s="260"/>
      <c r="AN194" s="260"/>
      <c r="AO194" s="305"/>
      <c r="AP194" s="305"/>
      <c r="AQ194" s="305"/>
      <c r="AT194" s="260"/>
      <c r="AU194" s="260"/>
      <c r="AV194" s="260"/>
      <c r="AW194" s="260"/>
      <c r="AX194" s="260"/>
      <c r="AY194" s="260"/>
      <c r="AZ194" s="260"/>
      <c r="BA194" s="260"/>
      <c r="BB194" s="260"/>
      <c r="BC194" s="260"/>
      <c r="BD194" s="260"/>
      <c r="BE194" s="260"/>
      <c r="BF194" s="260"/>
      <c r="BG194" s="260"/>
      <c r="BH194" s="260"/>
      <c r="BI194" s="260"/>
      <c r="BJ194" s="260"/>
    </row>
    <row r="195" spans="1:62" s="274" customFormat="1" x14ac:dyDescent="0.35">
      <c r="A195" s="260"/>
      <c r="B195" s="260"/>
      <c r="C195" s="260"/>
      <c r="D195" s="260"/>
      <c r="E195" s="260"/>
      <c r="F195" s="260"/>
      <c r="G195" s="260"/>
      <c r="H195" s="260"/>
      <c r="I195" s="260"/>
      <c r="K195" s="304"/>
      <c r="L195" s="304"/>
      <c r="M195" s="304"/>
      <c r="N195" s="275"/>
      <c r="O195" s="276"/>
      <c r="P195" s="276"/>
      <c r="Q195" s="276"/>
      <c r="R195" s="276"/>
      <c r="S195" s="276"/>
      <c r="T195" s="327"/>
      <c r="AE195" s="260"/>
      <c r="AF195" s="260"/>
      <c r="AG195" s="260"/>
      <c r="AH195" s="260"/>
      <c r="AI195" s="260"/>
      <c r="AJ195" s="260"/>
      <c r="AK195" s="260"/>
      <c r="AL195" s="260"/>
      <c r="AM195" s="260"/>
      <c r="AN195" s="260"/>
      <c r="AO195" s="305"/>
      <c r="AP195" s="305"/>
      <c r="AQ195" s="305"/>
      <c r="AT195" s="260"/>
      <c r="AU195" s="260"/>
      <c r="AV195" s="260"/>
      <c r="AW195" s="260"/>
      <c r="AX195" s="260"/>
      <c r="AY195" s="260"/>
      <c r="AZ195" s="260"/>
      <c r="BA195" s="260"/>
      <c r="BB195" s="260"/>
      <c r="BC195" s="260"/>
      <c r="BD195" s="260"/>
      <c r="BE195" s="260"/>
      <c r="BF195" s="260"/>
      <c r="BG195" s="260"/>
      <c r="BH195" s="260"/>
      <c r="BI195" s="260"/>
      <c r="BJ195" s="260"/>
    </row>
    <row r="196" spans="1:62" s="274" customFormat="1" x14ac:dyDescent="0.35">
      <c r="A196" s="260"/>
      <c r="B196" s="260"/>
      <c r="C196" s="260"/>
      <c r="D196" s="260"/>
      <c r="E196" s="260"/>
      <c r="F196" s="260"/>
      <c r="G196" s="260"/>
      <c r="H196" s="260"/>
      <c r="I196" s="260"/>
      <c r="K196" s="304"/>
      <c r="L196" s="304"/>
      <c r="M196" s="304"/>
      <c r="N196" s="275"/>
      <c r="O196" s="276"/>
      <c r="P196" s="276"/>
      <c r="Q196" s="276"/>
      <c r="R196" s="276"/>
      <c r="S196" s="276"/>
      <c r="T196" s="327"/>
      <c r="AE196" s="260"/>
      <c r="AF196" s="260"/>
      <c r="AG196" s="260"/>
      <c r="AH196" s="260"/>
      <c r="AI196" s="260"/>
      <c r="AJ196" s="260"/>
      <c r="AK196" s="260"/>
      <c r="AL196" s="260"/>
      <c r="AM196" s="260"/>
      <c r="AN196" s="260"/>
      <c r="AO196" s="305"/>
      <c r="AP196" s="305"/>
      <c r="AQ196" s="305"/>
      <c r="AT196" s="260"/>
      <c r="AU196" s="260"/>
      <c r="AV196" s="260"/>
      <c r="AW196" s="260"/>
      <c r="AX196" s="260"/>
      <c r="AY196" s="260"/>
      <c r="AZ196" s="260"/>
      <c r="BA196" s="260"/>
      <c r="BB196" s="260"/>
      <c r="BC196" s="260"/>
      <c r="BD196" s="260"/>
      <c r="BE196" s="260"/>
      <c r="BF196" s="260"/>
      <c r="BG196" s="260"/>
      <c r="BH196" s="260"/>
      <c r="BI196" s="260"/>
      <c r="BJ196" s="260"/>
    </row>
    <row r="197" spans="1:62" s="274" customFormat="1" x14ac:dyDescent="0.35">
      <c r="A197" s="260"/>
      <c r="B197" s="260"/>
      <c r="C197" s="260"/>
      <c r="D197" s="260"/>
      <c r="E197" s="260"/>
      <c r="F197" s="260"/>
      <c r="G197" s="260"/>
      <c r="H197" s="260"/>
      <c r="I197" s="260"/>
      <c r="K197" s="304"/>
      <c r="L197" s="304"/>
      <c r="M197" s="304"/>
      <c r="N197" s="275"/>
      <c r="O197" s="276"/>
      <c r="P197" s="276"/>
      <c r="Q197" s="276"/>
      <c r="R197" s="276"/>
      <c r="S197" s="276"/>
      <c r="T197" s="327"/>
      <c r="AE197" s="260"/>
      <c r="AF197" s="260"/>
      <c r="AG197" s="260"/>
      <c r="AH197" s="260"/>
      <c r="AI197" s="260"/>
      <c r="AJ197" s="260"/>
      <c r="AK197" s="260"/>
      <c r="AL197" s="260"/>
      <c r="AM197" s="260"/>
      <c r="AN197" s="260"/>
      <c r="AO197" s="305"/>
      <c r="AP197" s="305"/>
      <c r="AQ197" s="305"/>
      <c r="AT197" s="260"/>
      <c r="AU197" s="260"/>
      <c r="AV197" s="260"/>
      <c r="AW197" s="260"/>
      <c r="AX197" s="260"/>
      <c r="AY197" s="260"/>
      <c r="AZ197" s="260"/>
      <c r="BA197" s="260"/>
      <c r="BB197" s="260"/>
      <c r="BC197" s="260"/>
      <c r="BD197" s="260"/>
      <c r="BE197" s="260"/>
      <c r="BF197" s="260"/>
      <c r="BG197" s="260"/>
      <c r="BH197" s="260"/>
      <c r="BI197" s="260"/>
      <c r="BJ197" s="260"/>
    </row>
    <row r="198" spans="1:62" s="274" customFormat="1" x14ac:dyDescent="0.35">
      <c r="A198" s="260"/>
      <c r="B198" s="260"/>
      <c r="C198" s="260"/>
      <c r="D198" s="260"/>
      <c r="E198" s="260"/>
      <c r="F198" s="260"/>
      <c r="G198" s="260"/>
      <c r="H198" s="260"/>
      <c r="I198" s="260"/>
      <c r="K198" s="304"/>
      <c r="L198" s="304"/>
      <c r="M198" s="304"/>
      <c r="N198" s="275"/>
      <c r="O198" s="276"/>
      <c r="P198" s="276"/>
      <c r="Q198" s="276"/>
      <c r="R198" s="276"/>
      <c r="S198" s="276"/>
      <c r="T198" s="327"/>
      <c r="AE198" s="260"/>
      <c r="AF198" s="260"/>
      <c r="AG198" s="260"/>
      <c r="AH198" s="260"/>
      <c r="AI198" s="260"/>
      <c r="AJ198" s="260"/>
      <c r="AK198" s="260"/>
      <c r="AL198" s="260"/>
      <c r="AM198" s="260"/>
      <c r="AN198" s="260"/>
      <c r="AO198" s="305"/>
      <c r="AP198" s="305"/>
      <c r="AQ198" s="305"/>
      <c r="AT198" s="260"/>
      <c r="AU198" s="260"/>
      <c r="AV198" s="260"/>
      <c r="AW198" s="260"/>
      <c r="AX198" s="260"/>
      <c r="AY198" s="260"/>
      <c r="AZ198" s="260"/>
      <c r="BA198" s="260"/>
      <c r="BB198" s="260"/>
      <c r="BC198" s="260"/>
      <c r="BD198" s="260"/>
      <c r="BE198" s="260"/>
      <c r="BF198" s="260"/>
      <c r="BG198" s="260"/>
      <c r="BH198" s="260"/>
      <c r="BI198" s="260"/>
      <c r="BJ198" s="260"/>
    </row>
    <row r="199" spans="1:62" s="302" customFormat="1" ht="16.5" customHeight="1" x14ac:dyDescent="0.35">
      <c r="J199" s="321"/>
      <c r="K199" s="321"/>
      <c r="L199" s="321"/>
      <c r="M199" s="321"/>
      <c r="N199" s="319"/>
      <c r="O199" s="305"/>
      <c r="P199" s="323"/>
      <c r="Q199" s="327"/>
      <c r="R199" s="327"/>
      <c r="S199" s="326"/>
      <c r="T199" s="327"/>
      <c r="U199" s="389"/>
      <c r="V199" s="389"/>
      <c r="W199" s="389"/>
      <c r="X199" s="385"/>
      <c r="Y199" s="385"/>
      <c r="Z199" s="385"/>
      <c r="AA199" s="385"/>
      <c r="AB199" s="385"/>
      <c r="AC199" s="390"/>
      <c r="AG199" s="320"/>
      <c r="AH199" s="320"/>
      <c r="AI199" s="320"/>
      <c r="AJ199" s="320"/>
      <c r="AK199" s="320"/>
      <c r="AL199" s="320"/>
      <c r="AO199" s="305"/>
      <c r="AP199" s="305"/>
      <c r="AQ199" s="305"/>
      <c r="AR199" s="305"/>
    </row>
    <row r="200" spans="1:62" s="302" customFormat="1" ht="16.5" customHeight="1" x14ac:dyDescent="0.35">
      <c r="J200" s="321"/>
      <c r="K200" s="321"/>
      <c r="L200" s="321"/>
      <c r="M200" s="321"/>
      <c r="N200" s="319"/>
      <c r="O200" s="305"/>
      <c r="P200" s="323"/>
      <c r="Q200" s="327"/>
      <c r="R200" s="327"/>
      <c r="S200" s="326"/>
      <c r="T200" s="327"/>
      <c r="U200" s="389"/>
      <c r="V200" s="389"/>
      <c r="W200" s="389"/>
      <c r="X200" s="385"/>
      <c r="Y200" s="385"/>
      <c r="Z200" s="385"/>
      <c r="AA200" s="385"/>
      <c r="AB200" s="385"/>
      <c r="AC200" s="390"/>
      <c r="AG200" s="320"/>
      <c r="AH200" s="320"/>
      <c r="AI200" s="320"/>
      <c r="AJ200" s="320"/>
      <c r="AK200" s="320"/>
      <c r="AL200" s="320"/>
      <c r="AO200" s="305"/>
      <c r="AP200" s="305"/>
      <c r="AQ200" s="305"/>
      <c r="AR200" s="305"/>
    </row>
    <row r="201" spans="1:62" s="302" customFormat="1" ht="16.5" customHeight="1" x14ac:dyDescent="0.35">
      <c r="J201" s="321"/>
      <c r="K201" s="321"/>
      <c r="L201" s="321"/>
      <c r="M201" s="321"/>
      <c r="N201" s="319"/>
      <c r="O201" s="305"/>
      <c r="P201" s="323"/>
      <c r="Q201" s="327"/>
      <c r="R201" s="327"/>
      <c r="S201" s="326"/>
      <c r="T201" s="327"/>
      <c r="U201" s="389"/>
      <c r="V201" s="389"/>
      <c r="W201" s="389"/>
      <c r="X201" s="385"/>
      <c r="Y201" s="385"/>
      <c r="Z201" s="385"/>
      <c r="AA201" s="385"/>
      <c r="AB201" s="385"/>
      <c r="AC201" s="390"/>
      <c r="AG201" s="320"/>
      <c r="AH201" s="320"/>
      <c r="AI201" s="320"/>
      <c r="AJ201" s="320"/>
      <c r="AK201" s="320"/>
      <c r="AL201" s="320"/>
      <c r="AO201" s="305"/>
      <c r="AP201" s="305"/>
      <c r="AQ201" s="305"/>
      <c r="AR201" s="305"/>
    </row>
    <row r="202" spans="1:62" s="302" customFormat="1" ht="16.5" customHeight="1" x14ac:dyDescent="0.35">
      <c r="J202" s="321"/>
      <c r="K202" s="321"/>
      <c r="L202" s="321"/>
      <c r="M202" s="321"/>
      <c r="N202" s="319"/>
      <c r="O202" s="305"/>
      <c r="P202" s="323"/>
      <c r="Q202" s="327"/>
      <c r="R202" s="327"/>
      <c r="S202" s="326"/>
      <c r="T202" s="327"/>
      <c r="U202" s="389"/>
      <c r="V202" s="389"/>
      <c r="W202" s="389"/>
      <c r="X202" s="385"/>
      <c r="Y202" s="385"/>
      <c r="Z202" s="385"/>
      <c r="AA202" s="385"/>
      <c r="AB202" s="385"/>
      <c r="AC202" s="390"/>
      <c r="AG202" s="320"/>
      <c r="AH202" s="320"/>
      <c r="AI202" s="320"/>
      <c r="AJ202" s="320"/>
      <c r="AK202" s="320"/>
      <c r="AL202" s="320"/>
      <c r="AO202" s="305"/>
      <c r="AP202" s="305"/>
      <c r="AQ202" s="305"/>
      <c r="AR202" s="305"/>
    </row>
    <row r="203" spans="1:62" s="302" customFormat="1" ht="16.5" customHeight="1" x14ac:dyDescent="0.35">
      <c r="J203" s="321"/>
      <c r="K203" s="321"/>
      <c r="L203" s="321"/>
      <c r="M203" s="321"/>
      <c r="N203" s="319"/>
      <c r="O203" s="305"/>
      <c r="P203" s="323"/>
      <c r="Q203" s="327"/>
      <c r="R203" s="327"/>
      <c r="S203" s="326"/>
      <c r="T203" s="327"/>
      <c r="U203" s="389"/>
      <c r="V203" s="389"/>
      <c r="W203" s="389"/>
      <c r="X203" s="385"/>
      <c r="Y203" s="385"/>
      <c r="Z203" s="385"/>
      <c r="AA203" s="385"/>
      <c r="AB203" s="385"/>
      <c r="AC203" s="390"/>
      <c r="AG203" s="320"/>
      <c r="AH203" s="320"/>
      <c r="AI203" s="320"/>
      <c r="AJ203" s="320"/>
      <c r="AK203" s="320"/>
      <c r="AL203" s="320"/>
      <c r="AO203" s="305"/>
      <c r="AP203" s="305"/>
      <c r="AQ203" s="305"/>
      <c r="AR203" s="305"/>
    </row>
    <row r="204" spans="1:62" s="302" customFormat="1" ht="16.5" customHeight="1" x14ac:dyDescent="0.35">
      <c r="J204" s="321"/>
      <c r="K204" s="321"/>
      <c r="L204" s="321"/>
      <c r="M204" s="321"/>
      <c r="N204" s="319"/>
      <c r="O204" s="305"/>
      <c r="P204" s="323"/>
      <c r="Q204" s="327"/>
      <c r="R204" s="327"/>
      <c r="S204" s="326"/>
      <c r="T204" s="327"/>
      <c r="U204" s="389"/>
      <c r="V204" s="389"/>
      <c r="W204" s="389"/>
      <c r="X204" s="385"/>
      <c r="Y204" s="385"/>
      <c r="Z204" s="385"/>
      <c r="AA204" s="385"/>
      <c r="AB204" s="385"/>
      <c r="AC204" s="390"/>
      <c r="AG204" s="320"/>
      <c r="AH204" s="320"/>
      <c r="AI204" s="320"/>
      <c r="AJ204" s="320"/>
      <c r="AK204" s="320"/>
      <c r="AL204" s="320"/>
      <c r="AO204" s="305"/>
      <c r="AP204" s="305"/>
      <c r="AQ204" s="305"/>
      <c r="AR204" s="305"/>
    </row>
    <row r="205" spans="1:62" s="302" customFormat="1" ht="16.5" customHeight="1" x14ac:dyDescent="0.35">
      <c r="J205" s="321"/>
      <c r="K205" s="321"/>
      <c r="L205" s="321"/>
      <c r="M205" s="321"/>
      <c r="N205" s="319"/>
      <c r="O205" s="305"/>
      <c r="P205" s="323"/>
      <c r="Q205" s="327"/>
      <c r="R205" s="327"/>
      <c r="S205" s="326"/>
      <c r="T205" s="327"/>
      <c r="U205" s="389"/>
      <c r="V205" s="389"/>
      <c r="W205" s="389"/>
      <c r="X205" s="385"/>
      <c r="Y205" s="385"/>
      <c r="Z205" s="385"/>
      <c r="AA205" s="385"/>
      <c r="AB205" s="385"/>
      <c r="AC205" s="390"/>
      <c r="AG205" s="320"/>
      <c r="AH205" s="320"/>
      <c r="AI205" s="320"/>
      <c r="AJ205" s="320"/>
      <c r="AK205" s="320"/>
      <c r="AL205" s="320"/>
      <c r="AO205" s="305"/>
      <c r="AP205" s="305"/>
      <c r="AQ205" s="305"/>
      <c r="AR205" s="305"/>
    </row>
    <row r="206" spans="1:62" s="302" customFormat="1" ht="16.5" customHeight="1" x14ac:dyDescent="0.35">
      <c r="J206" s="321"/>
      <c r="K206" s="321"/>
      <c r="L206" s="321"/>
      <c r="M206" s="321"/>
      <c r="N206" s="319"/>
      <c r="O206" s="305"/>
      <c r="P206" s="323"/>
      <c r="Q206" s="327"/>
      <c r="R206" s="327"/>
      <c r="S206" s="326"/>
      <c r="T206" s="327"/>
      <c r="U206" s="389"/>
      <c r="V206" s="389"/>
      <c r="W206" s="389"/>
      <c r="X206" s="385"/>
      <c r="Y206" s="385"/>
      <c r="Z206" s="385"/>
      <c r="AA206" s="385"/>
      <c r="AB206" s="385"/>
      <c r="AC206" s="390"/>
      <c r="AG206" s="320"/>
      <c r="AH206" s="320"/>
      <c r="AI206" s="320"/>
      <c r="AJ206" s="320"/>
      <c r="AK206" s="320"/>
      <c r="AL206" s="320"/>
      <c r="AO206" s="305"/>
      <c r="AP206" s="305"/>
      <c r="AQ206" s="305"/>
      <c r="AR206" s="305"/>
    </row>
    <row r="207" spans="1:62" s="302" customFormat="1" ht="16.5" customHeight="1" x14ac:dyDescent="0.35">
      <c r="J207" s="321"/>
      <c r="K207" s="321"/>
      <c r="L207" s="321"/>
      <c r="M207" s="321"/>
      <c r="N207" s="319"/>
      <c r="O207" s="305"/>
      <c r="P207" s="323"/>
      <c r="Q207" s="327"/>
      <c r="R207" s="327"/>
      <c r="S207" s="326"/>
      <c r="T207" s="327"/>
      <c r="U207" s="389"/>
      <c r="V207" s="389"/>
      <c r="W207" s="389"/>
      <c r="X207" s="385"/>
      <c r="Y207" s="385"/>
      <c r="Z207" s="385"/>
      <c r="AA207" s="385"/>
      <c r="AB207" s="385"/>
      <c r="AC207" s="390"/>
      <c r="AG207" s="320"/>
      <c r="AH207" s="320"/>
      <c r="AI207" s="320"/>
      <c r="AJ207" s="320"/>
      <c r="AK207" s="320"/>
      <c r="AL207" s="320"/>
      <c r="AO207" s="305"/>
      <c r="AP207" s="305"/>
      <c r="AQ207" s="305"/>
      <c r="AR207" s="305"/>
    </row>
    <row r="208" spans="1:62" s="302" customFormat="1" ht="16.5" customHeight="1" x14ac:dyDescent="0.35">
      <c r="J208" s="321"/>
      <c r="K208" s="321"/>
      <c r="L208" s="321"/>
      <c r="M208" s="321"/>
      <c r="N208" s="319"/>
      <c r="O208" s="305"/>
      <c r="P208" s="323"/>
      <c r="Q208" s="327"/>
      <c r="R208" s="327"/>
      <c r="S208" s="326"/>
      <c r="T208" s="327"/>
      <c r="U208" s="389"/>
      <c r="V208" s="389"/>
      <c r="W208" s="389"/>
      <c r="X208" s="385"/>
      <c r="Y208" s="385"/>
      <c r="Z208" s="385"/>
      <c r="AA208" s="385"/>
      <c r="AB208" s="385"/>
      <c r="AC208" s="390"/>
      <c r="AG208" s="320"/>
      <c r="AH208" s="320"/>
      <c r="AI208" s="320"/>
      <c r="AJ208" s="320"/>
      <c r="AK208" s="320"/>
      <c r="AL208" s="320"/>
      <c r="AO208" s="305"/>
      <c r="AP208" s="305"/>
      <c r="AQ208" s="305"/>
      <c r="AR208" s="305"/>
    </row>
    <row r="209" spans="7:44" s="302" customFormat="1" ht="16.5" customHeight="1" x14ac:dyDescent="0.35">
      <c r="J209" s="321"/>
      <c r="K209" s="321"/>
      <c r="L209" s="321"/>
      <c r="M209" s="321"/>
      <c r="N209" s="319"/>
      <c r="O209" s="305"/>
      <c r="P209" s="323"/>
      <c r="Q209" s="327"/>
      <c r="R209" s="327"/>
      <c r="S209" s="326"/>
      <c r="T209" s="327"/>
      <c r="U209" s="389"/>
      <c r="V209" s="389"/>
      <c r="W209" s="389"/>
      <c r="X209" s="385"/>
      <c r="Y209" s="385"/>
      <c r="Z209" s="385"/>
      <c r="AA209" s="385"/>
      <c r="AB209" s="385"/>
      <c r="AC209" s="390"/>
      <c r="AG209" s="320"/>
      <c r="AH209" s="320"/>
      <c r="AI209" s="320"/>
      <c r="AJ209" s="320"/>
      <c r="AK209" s="320"/>
      <c r="AL209" s="320"/>
      <c r="AO209" s="305"/>
      <c r="AP209" s="305"/>
      <c r="AQ209" s="305"/>
      <c r="AR209" s="305"/>
    </row>
    <row r="210" spans="7:44" s="302" customFormat="1" ht="16.5" customHeight="1" x14ac:dyDescent="0.35">
      <c r="J210" s="321"/>
      <c r="K210" s="321"/>
      <c r="L210" s="321"/>
      <c r="M210" s="321"/>
      <c r="N210" s="319"/>
      <c r="O210" s="305"/>
      <c r="P210" s="323"/>
      <c r="Q210" s="327"/>
      <c r="R210" s="327"/>
      <c r="S210" s="326"/>
      <c r="T210" s="327"/>
      <c r="U210" s="389"/>
      <c r="V210" s="389"/>
      <c r="W210" s="389"/>
      <c r="X210" s="385"/>
      <c r="Y210" s="385"/>
      <c r="Z210" s="385"/>
      <c r="AA210" s="385"/>
      <c r="AB210" s="385"/>
      <c r="AC210" s="390"/>
      <c r="AG210" s="320"/>
      <c r="AH210" s="320"/>
      <c r="AI210" s="320"/>
      <c r="AJ210" s="320"/>
      <c r="AK210" s="320"/>
      <c r="AL210" s="320"/>
      <c r="AO210" s="305"/>
      <c r="AP210" s="305"/>
      <c r="AQ210" s="305"/>
      <c r="AR210" s="305"/>
    </row>
    <row r="211" spans="7:44" s="302" customFormat="1" ht="16.5" customHeight="1" x14ac:dyDescent="0.35">
      <c r="J211" s="321"/>
      <c r="K211" s="321"/>
      <c r="L211" s="321"/>
      <c r="M211" s="321"/>
      <c r="N211" s="319"/>
      <c r="O211" s="305"/>
      <c r="P211" s="323"/>
      <c r="Q211" s="327"/>
      <c r="R211" s="327"/>
      <c r="S211" s="326"/>
      <c r="T211" s="327"/>
      <c r="U211" s="389"/>
      <c r="V211" s="389"/>
      <c r="W211" s="389"/>
      <c r="X211" s="385"/>
      <c r="Y211" s="385"/>
      <c r="Z211" s="385"/>
      <c r="AA211" s="385"/>
      <c r="AB211" s="385"/>
      <c r="AC211" s="390"/>
      <c r="AG211" s="320"/>
      <c r="AH211" s="320"/>
      <c r="AI211" s="320"/>
      <c r="AJ211" s="320"/>
      <c r="AK211" s="320"/>
      <c r="AL211" s="320"/>
      <c r="AO211" s="305"/>
      <c r="AP211" s="305"/>
      <c r="AQ211" s="305"/>
      <c r="AR211" s="305"/>
    </row>
    <row r="212" spans="7:44" s="302" customFormat="1" ht="16.5" customHeight="1" x14ac:dyDescent="0.35">
      <c r="J212" s="321"/>
      <c r="K212" s="321"/>
      <c r="L212" s="321"/>
      <c r="M212" s="321"/>
      <c r="N212" s="319"/>
      <c r="O212" s="305"/>
      <c r="P212" s="323"/>
      <c r="Q212" s="327"/>
      <c r="R212" s="327"/>
      <c r="S212" s="326"/>
      <c r="T212" s="327"/>
      <c r="U212" s="389"/>
      <c r="V212" s="389"/>
      <c r="W212" s="389"/>
      <c r="X212" s="385"/>
      <c r="Y212" s="385"/>
      <c r="Z212" s="385"/>
      <c r="AA212" s="385"/>
      <c r="AB212" s="385"/>
      <c r="AC212" s="390"/>
      <c r="AG212" s="320"/>
      <c r="AH212" s="320"/>
      <c r="AI212" s="320"/>
      <c r="AJ212" s="320"/>
      <c r="AK212" s="320"/>
      <c r="AL212" s="320"/>
      <c r="AO212" s="305"/>
      <c r="AP212" s="305"/>
      <c r="AQ212" s="305"/>
      <c r="AR212" s="305"/>
    </row>
    <row r="213" spans="7:44" s="302" customFormat="1" ht="16.5" customHeight="1" x14ac:dyDescent="0.35">
      <c r="J213" s="321"/>
      <c r="K213" s="321"/>
      <c r="L213" s="321"/>
      <c r="M213" s="321"/>
      <c r="N213" s="319"/>
      <c r="O213" s="305"/>
      <c r="P213" s="323"/>
      <c r="Q213" s="327"/>
      <c r="R213" s="327"/>
      <c r="S213" s="326"/>
      <c r="T213" s="327"/>
      <c r="U213" s="389"/>
      <c r="V213" s="389"/>
      <c r="W213" s="389"/>
      <c r="X213" s="385"/>
      <c r="Y213" s="385"/>
      <c r="Z213" s="385"/>
      <c r="AA213" s="385"/>
      <c r="AB213" s="385"/>
      <c r="AC213" s="390"/>
      <c r="AG213" s="320"/>
      <c r="AH213" s="320"/>
      <c r="AI213" s="320"/>
      <c r="AJ213" s="320"/>
      <c r="AK213" s="320"/>
      <c r="AL213" s="320"/>
      <c r="AO213" s="305"/>
      <c r="AP213" s="305"/>
      <c r="AQ213" s="305"/>
      <c r="AR213" s="305"/>
    </row>
    <row r="214" spans="7:44" s="302" customFormat="1" ht="16.5" customHeight="1" x14ac:dyDescent="0.35">
      <c r="J214" s="321"/>
      <c r="K214" s="321"/>
      <c r="L214" s="321"/>
      <c r="M214" s="321"/>
      <c r="N214" s="319"/>
      <c r="O214" s="305"/>
      <c r="P214" s="323"/>
      <c r="Q214" s="327"/>
      <c r="R214" s="327"/>
      <c r="S214" s="326"/>
      <c r="T214" s="327"/>
      <c r="U214" s="389"/>
      <c r="V214" s="389"/>
      <c r="W214" s="389"/>
      <c r="X214" s="385"/>
      <c r="Y214" s="385"/>
      <c r="Z214" s="385"/>
      <c r="AA214" s="385"/>
      <c r="AB214" s="385"/>
      <c r="AC214" s="390"/>
      <c r="AG214" s="320"/>
      <c r="AH214" s="320"/>
      <c r="AI214" s="320"/>
      <c r="AJ214" s="320"/>
      <c r="AK214" s="320"/>
      <c r="AL214" s="320"/>
      <c r="AO214" s="305"/>
      <c r="AP214" s="305"/>
      <c r="AQ214" s="305"/>
      <c r="AR214" s="305"/>
    </row>
    <row r="215" spans="7:44" s="302" customFormat="1" ht="16.5" customHeight="1" x14ac:dyDescent="0.35">
      <c r="J215" s="321"/>
      <c r="K215" s="321"/>
      <c r="L215" s="321"/>
      <c r="M215" s="321"/>
      <c r="N215" s="319"/>
      <c r="O215" s="305"/>
      <c r="P215" s="323"/>
      <c r="Q215" s="327"/>
      <c r="R215" s="327"/>
      <c r="S215" s="326"/>
      <c r="T215" s="327"/>
      <c r="U215" s="389"/>
      <c r="V215" s="389"/>
      <c r="W215" s="389"/>
      <c r="X215" s="385"/>
      <c r="Y215" s="385"/>
      <c r="Z215" s="385"/>
      <c r="AA215" s="385"/>
      <c r="AB215" s="385"/>
      <c r="AC215" s="390"/>
      <c r="AG215" s="320"/>
      <c r="AH215" s="320"/>
      <c r="AI215" s="320"/>
      <c r="AJ215" s="320"/>
      <c r="AK215" s="320"/>
      <c r="AL215" s="320"/>
      <c r="AO215" s="305"/>
      <c r="AP215" s="305"/>
      <c r="AQ215" s="305"/>
      <c r="AR215" s="305"/>
    </row>
    <row r="216" spans="7:44" s="302" customFormat="1" ht="16.5" customHeight="1" x14ac:dyDescent="0.35">
      <c r="J216" s="321"/>
      <c r="K216" s="321"/>
      <c r="L216" s="321"/>
      <c r="M216" s="321"/>
      <c r="N216" s="319"/>
      <c r="O216" s="305"/>
      <c r="P216" s="323"/>
      <c r="Q216" s="327"/>
      <c r="R216" s="327"/>
      <c r="S216" s="326"/>
      <c r="T216" s="327"/>
      <c r="U216" s="389"/>
      <c r="V216" s="389"/>
      <c r="W216" s="389"/>
      <c r="X216" s="385"/>
      <c r="Y216" s="385"/>
      <c r="Z216" s="385"/>
      <c r="AA216" s="385"/>
      <c r="AB216" s="385"/>
      <c r="AC216" s="390"/>
      <c r="AG216" s="320"/>
      <c r="AH216" s="320"/>
      <c r="AI216" s="320"/>
      <c r="AJ216" s="320"/>
      <c r="AK216" s="320"/>
      <c r="AL216" s="320"/>
      <c r="AO216" s="305"/>
      <c r="AP216" s="305"/>
      <c r="AQ216" s="305"/>
      <c r="AR216" s="305"/>
    </row>
    <row r="217" spans="7:44" s="302" customFormat="1" ht="16.5" customHeight="1" x14ac:dyDescent="0.35">
      <c r="J217" s="321"/>
      <c r="K217" s="321"/>
      <c r="L217" s="321"/>
      <c r="M217" s="321"/>
      <c r="N217" s="319"/>
      <c r="O217" s="305"/>
      <c r="P217" s="323"/>
      <c r="Q217" s="327"/>
      <c r="R217" s="327"/>
      <c r="S217" s="326"/>
      <c r="T217" s="327"/>
      <c r="U217" s="389"/>
      <c r="V217" s="389"/>
      <c r="W217" s="389"/>
      <c r="X217" s="385"/>
      <c r="Y217" s="385"/>
      <c r="Z217" s="385"/>
      <c r="AA217" s="385"/>
      <c r="AB217" s="385"/>
      <c r="AC217" s="390"/>
      <c r="AG217" s="320"/>
      <c r="AH217" s="320"/>
      <c r="AI217" s="320"/>
      <c r="AJ217" s="320"/>
      <c r="AK217" s="320"/>
      <c r="AL217" s="320"/>
      <c r="AO217" s="305"/>
      <c r="AP217" s="305"/>
      <c r="AQ217" s="305"/>
      <c r="AR217" s="305"/>
    </row>
    <row r="218" spans="7:44" s="302" customFormat="1" ht="16.5" customHeight="1" x14ac:dyDescent="0.35">
      <c r="J218" s="321"/>
      <c r="K218" s="321"/>
      <c r="L218" s="321"/>
      <c r="M218" s="321"/>
      <c r="N218" s="319"/>
      <c r="O218" s="305"/>
      <c r="P218" s="323"/>
      <c r="Q218" s="327"/>
      <c r="R218" s="327"/>
      <c r="S218" s="326"/>
      <c r="T218" s="327"/>
      <c r="U218" s="389"/>
      <c r="V218" s="389"/>
      <c r="W218" s="389"/>
      <c r="X218" s="385"/>
      <c r="Y218" s="385"/>
      <c r="Z218" s="385"/>
      <c r="AA218" s="385"/>
      <c r="AB218" s="385"/>
      <c r="AC218" s="390"/>
      <c r="AG218" s="320"/>
      <c r="AH218" s="320"/>
      <c r="AI218" s="320"/>
      <c r="AJ218" s="320"/>
      <c r="AK218" s="320"/>
      <c r="AL218" s="320"/>
      <c r="AO218" s="305"/>
      <c r="AP218" s="305"/>
      <c r="AQ218" s="305"/>
      <c r="AR218" s="305"/>
    </row>
    <row r="219" spans="7:44" s="302" customFormat="1" ht="16.5" customHeight="1" x14ac:dyDescent="0.35">
      <c r="G219" s="416"/>
      <c r="J219" s="321"/>
      <c r="K219" s="321"/>
      <c r="L219" s="321"/>
      <c r="M219" s="321"/>
      <c r="N219" s="319"/>
      <c r="O219" s="305"/>
      <c r="P219" s="323"/>
      <c r="Q219" s="327"/>
      <c r="R219" s="327"/>
      <c r="S219" s="326"/>
      <c r="T219" s="327"/>
      <c r="U219" s="389"/>
      <c r="V219" s="389"/>
      <c r="W219" s="389"/>
      <c r="X219" s="385"/>
      <c r="Y219" s="385"/>
      <c r="Z219" s="385"/>
      <c r="AA219" s="385"/>
      <c r="AB219" s="385"/>
      <c r="AC219" s="390"/>
      <c r="AG219" s="320"/>
      <c r="AH219" s="320"/>
      <c r="AI219" s="320"/>
      <c r="AJ219" s="320"/>
      <c r="AK219" s="320"/>
      <c r="AL219" s="320"/>
      <c r="AO219" s="305"/>
      <c r="AP219" s="305"/>
      <c r="AQ219" s="305"/>
      <c r="AR219" s="305"/>
    </row>
    <row r="220" spans="7:44" s="302" customFormat="1" ht="16.5" customHeight="1" x14ac:dyDescent="0.35">
      <c r="G220" s="416"/>
      <c r="J220" s="321"/>
      <c r="K220" s="321"/>
      <c r="L220" s="321"/>
      <c r="M220" s="321"/>
      <c r="N220" s="319"/>
      <c r="O220" s="305"/>
      <c r="P220" s="323"/>
      <c r="Q220" s="327"/>
      <c r="R220" s="327"/>
      <c r="S220" s="326"/>
      <c r="T220" s="327"/>
      <c r="U220" s="389"/>
      <c r="V220" s="389"/>
      <c r="W220" s="389"/>
      <c r="X220" s="385"/>
      <c r="Y220" s="385"/>
      <c r="Z220" s="385"/>
      <c r="AA220" s="385"/>
      <c r="AB220" s="385"/>
      <c r="AC220" s="390"/>
      <c r="AG220" s="320"/>
      <c r="AH220" s="320"/>
      <c r="AI220" s="320"/>
      <c r="AJ220" s="320"/>
      <c r="AK220" s="320"/>
      <c r="AL220" s="320"/>
      <c r="AO220" s="305"/>
      <c r="AP220" s="305"/>
      <c r="AQ220" s="305"/>
      <c r="AR220" s="305"/>
    </row>
    <row r="221" spans="7:44" s="302" customFormat="1" ht="16.5" customHeight="1" x14ac:dyDescent="0.35">
      <c r="G221" s="416"/>
      <c r="J221" s="321"/>
      <c r="K221" s="321"/>
      <c r="L221" s="321"/>
      <c r="M221" s="321"/>
      <c r="N221" s="319"/>
      <c r="O221" s="305"/>
      <c r="P221" s="323"/>
      <c r="Q221" s="327"/>
      <c r="R221" s="327"/>
      <c r="S221" s="326"/>
      <c r="T221" s="327"/>
      <c r="U221" s="389"/>
      <c r="V221" s="389"/>
      <c r="W221" s="389"/>
      <c r="X221" s="385"/>
      <c r="Y221" s="385"/>
      <c r="Z221" s="385"/>
      <c r="AA221" s="385"/>
      <c r="AB221" s="385"/>
      <c r="AC221" s="390"/>
      <c r="AG221" s="320"/>
      <c r="AH221" s="320"/>
      <c r="AI221" s="320"/>
      <c r="AJ221" s="320"/>
      <c r="AK221" s="320"/>
      <c r="AL221" s="320"/>
      <c r="AO221" s="305"/>
      <c r="AP221" s="305"/>
      <c r="AQ221" s="305"/>
      <c r="AR221" s="305"/>
    </row>
    <row r="222" spans="7:44" s="302" customFormat="1" ht="16.5" customHeight="1" x14ac:dyDescent="0.35">
      <c r="G222" s="416"/>
      <c r="J222" s="321"/>
      <c r="K222" s="321"/>
      <c r="L222" s="321"/>
      <c r="M222" s="321"/>
      <c r="N222" s="319"/>
      <c r="O222" s="305"/>
      <c r="P222" s="323"/>
      <c r="Q222" s="327"/>
      <c r="R222" s="327"/>
      <c r="S222" s="326"/>
      <c r="T222" s="327"/>
      <c r="U222" s="389"/>
      <c r="V222" s="389"/>
      <c r="W222" s="389"/>
      <c r="X222" s="385"/>
      <c r="Y222" s="385"/>
      <c r="Z222" s="385"/>
      <c r="AA222" s="385"/>
      <c r="AB222" s="385"/>
      <c r="AC222" s="390"/>
      <c r="AG222" s="320"/>
      <c r="AH222" s="320"/>
      <c r="AI222" s="320"/>
      <c r="AJ222" s="320"/>
      <c r="AK222" s="320"/>
      <c r="AL222" s="320"/>
      <c r="AO222" s="305"/>
      <c r="AP222" s="305"/>
      <c r="AQ222" s="305"/>
      <c r="AR222" s="305"/>
    </row>
    <row r="223" spans="7:44" s="302" customFormat="1" ht="16.5" customHeight="1" x14ac:dyDescent="0.35">
      <c r="J223" s="321"/>
      <c r="K223" s="321"/>
      <c r="L223" s="321"/>
      <c r="M223" s="321"/>
      <c r="N223" s="319"/>
      <c r="O223" s="305"/>
      <c r="P223" s="323"/>
      <c r="Q223" s="327"/>
      <c r="R223" s="327"/>
      <c r="S223" s="326"/>
      <c r="T223" s="327"/>
      <c r="U223" s="389"/>
      <c r="V223" s="389"/>
      <c r="W223" s="389"/>
      <c r="X223" s="385"/>
      <c r="Y223" s="385"/>
      <c r="Z223" s="385"/>
      <c r="AA223" s="385"/>
      <c r="AB223" s="385"/>
      <c r="AC223" s="390"/>
      <c r="AG223" s="320"/>
      <c r="AH223" s="320"/>
      <c r="AI223" s="320"/>
      <c r="AJ223" s="320"/>
      <c r="AK223" s="320"/>
      <c r="AL223" s="320"/>
      <c r="AO223" s="305"/>
      <c r="AP223" s="305"/>
      <c r="AQ223" s="305"/>
      <c r="AR223" s="305"/>
    </row>
    <row r="224" spans="7:44" s="302" customFormat="1" ht="16.5" customHeight="1" x14ac:dyDescent="0.35">
      <c r="J224" s="321"/>
      <c r="K224" s="321"/>
      <c r="L224" s="321"/>
      <c r="M224" s="321"/>
      <c r="N224" s="319"/>
      <c r="O224" s="305"/>
      <c r="P224" s="323"/>
      <c r="Q224" s="327"/>
      <c r="R224" s="327"/>
      <c r="S224" s="326"/>
      <c r="T224" s="304"/>
      <c r="U224" s="389"/>
      <c r="V224" s="389"/>
      <c r="W224" s="389"/>
      <c r="X224" s="385"/>
      <c r="Y224" s="385"/>
      <c r="Z224" s="385"/>
      <c r="AA224" s="385"/>
      <c r="AB224" s="385"/>
      <c r="AC224" s="390"/>
      <c r="AG224" s="320"/>
      <c r="AH224" s="320"/>
      <c r="AI224" s="320"/>
      <c r="AJ224" s="320"/>
      <c r="AK224" s="320"/>
      <c r="AL224" s="320"/>
      <c r="AO224" s="305"/>
      <c r="AP224" s="305"/>
      <c r="AQ224" s="305"/>
      <c r="AR224" s="305"/>
    </row>
    <row r="225" spans="10:44" s="302" customFormat="1" ht="16.5" customHeight="1" x14ac:dyDescent="0.35">
      <c r="J225" s="321"/>
      <c r="K225" s="321"/>
      <c r="L225" s="321"/>
      <c r="M225" s="321"/>
      <c r="N225" s="319"/>
      <c r="O225" s="305"/>
      <c r="P225" s="323"/>
      <c r="Q225" s="327"/>
      <c r="R225" s="327"/>
      <c r="S225" s="326"/>
      <c r="T225" s="304"/>
      <c r="U225" s="389"/>
      <c r="V225" s="389"/>
      <c r="W225" s="389"/>
      <c r="X225" s="385"/>
      <c r="Y225" s="385"/>
      <c r="Z225" s="385"/>
      <c r="AA225" s="385"/>
      <c r="AB225" s="385"/>
      <c r="AC225" s="390"/>
      <c r="AG225" s="320"/>
      <c r="AH225" s="320"/>
      <c r="AI225" s="320"/>
      <c r="AJ225" s="320"/>
      <c r="AK225" s="320"/>
      <c r="AL225" s="320"/>
      <c r="AO225" s="305"/>
      <c r="AP225" s="305"/>
      <c r="AQ225" s="305"/>
      <c r="AR225" s="305"/>
    </row>
    <row r="226" spans="10:44" s="302" customFormat="1" ht="16.5" customHeight="1" x14ac:dyDescent="0.35">
      <c r="J226" s="321"/>
      <c r="K226" s="321"/>
      <c r="L226" s="321"/>
      <c r="M226" s="321"/>
      <c r="N226" s="319"/>
      <c r="O226" s="305"/>
      <c r="P226" s="323"/>
      <c r="Q226" s="327"/>
      <c r="R226" s="327"/>
      <c r="S226" s="326"/>
      <c r="T226" s="304"/>
      <c r="U226" s="389"/>
      <c r="V226" s="389"/>
      <c r="W226" s="389"/>
      <c r="X226" s="385"/>
      <c r="Y226" s="385"/>
      <c r="Z226" s="385"/>
      <c r="AA226" s="385"/>
      <c r="AB226" s="385"/>
      <c r="AC226" s="390"/>
      <c r="AG226" s="320"/>
      <c r="AH226" s="320"/>
      <c r="AI226" s="320"/>
      <c r="AJ226" s="320"/>
      <c r="AK226" s="320"/>
      <c r="AL226" s="320"/>
      <c r="AO226" s="305"/>
      <c r="AP226" s="305"/>
      <c r="AQ226" s="305"/>
      <c r="AR226" s="305"/>
    </row>
    <row r="227" spans="10:44" s="302" customFormat="1" ht="16.5" customHeight="1" x14ac:dyDescent="0.35">
      <c r="J227" s="321"/>
      <c r="K227" s="321"/>
      <c r="L227" s="321"/>
      <c r="M227" s="321"/>
      <c r="N227" s="319"/>
      <c r="O227" s="305"/>
      <c r="P227" s="323"/>
      <c r="Q227" s="327"/>
      <c r="R227" s="327"/>
      <c r="S227" s="326"/>
      <c r="T227" s="304"/>
      <c r="U227" s="389"/>
      <c r="V227" s="389"/>
      <c r="W227" s="389"/>
      <c r="X227" s="385"/>
      <c r="Y227" s="385"/>
      <c r="Z227" s="385"/>
      <c r="AA227" s="385"/>
      <c r="AB227" s="385"/>
      <c r="AC227" s="390"/>
      <c r="AG227" s="320"/>
      <c r="AH227" s="320"/>
      <c r="AI227" s="320"/>
      <c r="AJ227" s="320"/>
      <c r="AK227" s="320"/>
      <c r="AL227" s="320"/>
      <c r="AO227" s="305"/>
      <c r="AP227" s="305"/>
      <c r="AQ227" s="305"/>
      <c r="AR227" s="305"/>
    </row>
    <row r="228" spans="10:44" s="302" customFormat="1" ht="16.5" customHeight="1" x14ac:dyDescent="0.35">
      <c r="J228" s="321"/>
      <c r="K228" s="321"/>
      <c r="L228" s="321"/>
      <c r="M228" s="321"/>
      <c r="N228" s="319"/>
      <c r="O228" s="305"/>
      <c r="P228" s="323"/>
      <c r="Q228" s="327"/>
      <c r="R228" s="327"/>
      <c r="S228" s="326"/>
      <c r="T228" s="304"/>
      <c r="U228" s="389"/>
      <c r="V228" s="389"/>
      <c r="W228" s="389"/>
      <c r="X228" s="385"/>
      <c r="Y228" s="385"/>
      <c r="Z228" s="385"/>
      <c r="AA228" s="385"/>
      <c r="AB228" s="385"/>
      <c r="AC228" s="390"/>
      <c r="AG228" s="320"/>
      <c r="AH228" s="320"/>
      <c r="AI228" s="320"/>
      <c r="AJ228" s="320"/>
      <c r="AK228" s="320"/>
      <c r="AL228" s="320"/>
      <c r="AO228" s="305"/>
      <c r="AP228" s="305"/>
      <c r="AQ228" s="305"/>
      <c r="AR228" s="305"/>
    </row>
    <row r="229" spans="10:44" s="302" customFormat="1" ht="16.5" customHeight="1" x14ac:dyDescent="0.35">
      <c r="J229" s="321"/>
      <c r="K229" s="321"/>
      <c r="L229" s="321"/>
      <c r="M229" s="321"/>
      <c r="N229" s="319"/>
      <c r="O229" s="305"/>
      <c r="P229" s="323"/>
      <c r="Q229" s="327"/>
      <c r="R229" s="327"/>
      <c r="S229" s="326"/>
      <c r="T229" s="304"/>
      <c r="U229" s="389"/>
      <c r="V229" s="389"/>
      <c r="W229" s="389"/>
      <c r="X229" s="385"/>
      <c r="Y229" s="385"/>
      <c r="Z229" s="385"/>
      <c r="AA229" s="385"/>
      <c r="AB229" s="385"/>
      <c r="AC229" s="390"/>
      <c r="AG229" s="320"/>
      <c r="AH229" s="320"/>
      <c r="AI229" s="320"/>
      <c r="AJ229" s="320"/>
      <c r="AK229" s="320"/>
      <c r="AL229" s="320"/>
      <c r="AO229" s="305"/>
      <c r="AP229" s="305"/>
      <c r="AQ229" s="305"/>
      <c r="AR229" s="305"/>
    </row>
    <row r="230" spans="10:44" s="302" customFormat="1" ht="16.5" customHeight="1" x14ac:dyDescent="0.35">
      <c r="J230" s="321"/>
      <c r="K230" s="321"/>
      <c r="L230" s="321"/>
      <c r="M230" s="321"/>
      <c r="N230" s="319"/>
      <c r="O230" s="305"/>
      <c r="P230" s="323"/>
      <c r="Q230" s="327"/>
      <c r="R230" s="327"/>
      <c r="S230" s="326"/>
      <c r="T230" s="304"/>
      <c r="U230" s="389"/>
      <c r="V230" s="389"/>
      <c r="W230" s="389"/>
      <c r="X230" s="385"/>
      <c r="Y230" s="385"/>
      <c r="Z230" s="385"/>
      <c r="AA230" s="385"/>
      <c r="AB230" s="385"/>
      <c r="AC230" s="390"/>
      <c r="AG230" s="320"/>
      <c r="AH230" s="320"/>
      <c r="AI230" s="320"/>
      <c r="AJ230" s="320"/>
      <c r="AK230" s="320"/>
      <c r="AL230" s="320"/>
      <c r="AO230" s="305"/>
      <c r="AP230" s="305"/>
      <c r="AQ230" s="305"/>
      <c r="AR230" s="305"/>
    </row>
    <row r="231" spans="10:44" s="302" customFormat="1" ht="16.5" customHeight="1" x14ac:dyDescent="0.35">
      <c r="J231" s="321"/>
      <c r="K231" s="321"/>
      <c r="L231" s="321"/>
      <c r="M231" s="321"/>
      <c r="N231" s="319"/>
      <c r="O231" s="305"/>
      <c r="P231" s="323"/>
      <c r="Q231" s="327"/>
      <c r="R231" s="327"/>
      <c r="S231" s="326"/>
      <c r="T231" s="304"/>
      <c r="U231" s="389"/>
      <c r="V231" s="389"/>
      <c r="W231" s="389"/>
      <c r="X231" s="385"/>
      <c r="Y231" s="385"/>
      <c r="Z231" s="385"/>
      <c r="AA231" s="385"/>
      <c r="AB231" s="385"/>
      <c r="AC231" s="390"/>
      <c r="AG231" s="320"/>
      <c r="AH231" s="320"/>
      <c r="AI231" s="320"/>
      <c r="AJ231" s="320"/>
      <c r="AK231" s="320"/>
      <c r="AL231" s="320"/>
      <c r="AO231" s="305"/>
      <c r="AP231" s="305"/>
      <c r="AQ231" s="305"/>
      <c r="AR231" s="305"/>
    </row>
    <row r="232" spans="10:44" s="302" customFormat="1" ht="16.5" customHeight="1" x14ac:dyDescent="0.35">
      <c r="J232" s="321"/>
      <c r="K232" s="321"/>
      <c r="L232" s="321"/>
      <c r="M232" s="321"/>
      <c r="N232" s="319"/>
      <c r="O232" s="305"/>
      <c r="P232" s="323"/>
      <c r="Q232" s="327"/>
      <c r="R232" s="327"/>
      <c r="S232" s="326"/>
      <c r="T232" s="304"/>
      <c r="U232" s="389"/>
      <c r="V232" s="389"/>
      <c r="W232" s="389"/>
      <c r="X232" s="385"/>
      <c r="Y232" s="385"/>
      <c r="Z232" s="385"/>
      <c r="AA232" s="385"/>
      <c r="AB232" s="385"/>
      <c r="AC232" s="390"/>
      <c r="AG232" s="320"/>
      <c r="AH232" s="320"/>
      <c r="AI232" s="320"/>
      <c r="AJ232" s="320"/>
      <c r="AK232" s="320"/>
      <c r="AL232" s="320"/>
      <c r="AO232" s="305"/>
      <c r="AP232" s="305"/>
      <c r="AQ232" s="305"/>
      <c r="AR232" s="305"/>
    </row>
    <row r="233" spans="10:44" s="302" customFormat="1" ht="16.5" customHeight="1" x14ac:dyDescent="0.35">
      <c r="J233" s="321"/>
      <c r="K233" s="321"/>
      <c r="L233" s="321"/>
      <c r="M233" s="321"/>
      <c r="N233" s="319"/>
      <c r="O233" s="305"/>
      <c r="P233" s="323"/>
      <c r="Q233" s="327"/>
      <c r="R233" s="327"/>
      <c r="S233" s="326"/>
      <c r="T233" s="304"/>
      <c r="U233" s="389"/>
      <c r="V233" s="389"/>
      <c r="W233" s="389"/>
      <c r="X233" s="385"/>
      <c r="Y233" s="385"/>
      <c r="Z233" s="385"/>
      <c r="AA233" s="385"/>
      <c r="AB233" s="385"/>
      <c r="AC233" s="390"/>
      <c r="AG233" s="320"/>
      <c r="AH233" s="320"/>
      <c r="AI233" s="320"/>
      <c r="AJ233" s="320"/>
      <c r="AK233" s="320"/>
      <c r="AL233" s="320"/>
      <c r="AO233" s="305"/>
      <c r="AP233" s="305"/>
      <c r="AQ233" s="305"/>
      <c r="AR233" s="305"/>
    </row>
    <row r="234" spans="10:44" s="302" customFormat="1" ht="16.5" customHeight="1" x14ac:dyDescent="0.35">
      <c r="J234" s="321"/>
      <c r="K234" s="321"/>
      <c r="L234" s="321"/>
      <c r="M234" s="321"/>
      <c r="N234" s="319"/>
      <c r="O234" s="305"/>
      <c r="P234" s="323"/>
      <c r="Q234" s="327"/>
      <c r="R234" s="327"/>
      <c r="S234" s="326"/>
      <c r="T234" s="304"/>
      <c r="U234" s="389"/>
      <c r="V234" s="389"/>
      <c r="W234" s="389"/>
      <c r="X234" s="385"/>
      <c r="Y234" s="385"/>
      <c r="Z234" s="385"/>
      <c r="AA234" s="385"/>
      <c r="AB234" s="385"/>
      <c r="AC234" s="390"/>
      <c r="AG234" s="320"/>
      <c r="AH234" s="320"/>
      <c r="AI234" s="320"/>
      <c r="AJ234" s="320"/>
      <c r="AK234" s="320"/>
      <c r="AL234" s="320"/>
      <c r="AO234" s="305"/>
      <c r="AP234" s="305"/>
      <c r="AQ234" s="305"/>
      <c r="AR234" s="305"/>
    </row>
    <row r="395" spans="1:7" ht="14.5" x14ac:dyDescent="0.35">
      <c r="A395" s="805" t="s">
        <v>73</v>
      </c>
      <c r="B395" s="185" t="s">
        <v>74</v>
      </c>
      <c r="C395" s="842" t="s">
        <v>2528</v>
      </c>
      <c r="D395" s="842"/>
      <c r="E395" s="842"/>
      <c r="F395" s="842"/>
      <c r="G395" s="842"/>
    </row>
    <row r="396" spans="1:7" ht="14.5" x14ac:dyDescent="0.25">
      <c r="A396" s="806"/>
      <c r="B396" s="188" t="s">
        <v>5339</v>
      </c>
      <c r="C396" s="394" t="s">
        <v>2530</v>
      </c>
      <c r="D396" s="394" t="s">
        <v>2531</v>
      </c>
      <c r="E396" s="394" t="s">
        <v>2532</v>
      </c>
      <c r="F396" s="394" t="s">
        <v>2533</v>
      </c>
      <c r="G396" s="395" t="s">
        <v>34</v>
      </c>
    </row>
    <row r="397" spans="1:7" ht="14.5" x14ac:dyDescent="0.35">
      <c r="A397" s="192"/>
      <c r="B397" s="193" t="s">
        <v>65</v>
      </c>
      <c r="C397" s="194">
        <f>SUMIFS($O$5:$O328,$H$5:$H328,$A$398,$I$5:$I328,$B397,$B$5:$B328,"&lt;=30")</f>
        <v>0</v>
      </c>
      <c r="D397" s="194">
        <f>SUMIFS($O$5:$O328,$H$5:$H328,$A$398,$I$5:$I328,$B397,$B$5:$B328,"&lt;=60")-C397</f>
        <v>0</v>
      </c>
      <c r="E397" s="194">
        <f>SUMIFS($O$5:$O328,$H$5:$H328,$A$398,$I$5:$I328,$B397,$B$5:$B328,"&lt;=90")-D397-C397</f>
        <v>0</v>
      </c>
      <c r="F397" s="194">
        <f>SUMIFS($O$5:$O328,$H$5:$H328,$A$398,$I$5:$I328,$B397,$B$5:$B328,"&gt;=91")</f>
        <v>0</v>
      </c>
      <c r="G397" s="195">
        <f t="shared" ref="G397:G427" si="4">SUM(C397:F397)</f>
        <v>0</v>
      </c>
    </row>
    <row r="398" spans="1:7" ht="14.5" x14ac:dyDescent="0.35">
      <c r="A398" s="197">
        <v>201</v>
      </c>
      <c r="B398" s="30" t="s">
        <v>64</v>
      </c>
      <c r="C398" s="194">
        <f>SUMIFS($O$5:$O329,$H$5:$H329,$A$398,$I$5:$I329,$B398,$B$5:$B329,"&lt;=30")</f>
        <v>0</v>
      </c>
      <c r="D398" s="194">
        <f>SUMIFS($O$5:$O329,$H$5:$H329,$A$398,$I$5:$I329,$B398,$B$5:$B329,"&lt;=60")-C398</f>
        <v>0</v>
      </c>
      <c r="E398" s="194">
        <f>SUMIFS($O$5:$O329,$H$5:$H329,$A$398,$I$5:$I329,$B398,$B$5:$B329,"&lt;=90")-D398-C398</f>
        <v>0</v>
      </c>
      <c r="F398" s="194">
        <f>SUMIFS($O$5:$O329,$H$5:$H329,$A$398,$I$5:$I329,$B398,$B$5:$B329,"&gt;=91")</f>
        <v>0</v>
      </c>
      <c r="G398" s="195">
        <f t="shared" si="4"/>
        <v>0</v>
      </c>
    </row>
    <row r="399" spans="1:7" ht="14.5" x14ac:dyDescent="0.35">
      <c r="A399" s="199"/>
      <c r="B399" s="200" t="s">
        <v>116</v>
      </c>
      <c r="C399" s="194">
        <f>SUMIFS($O$5:$O330,$H$5:$H330,$A$398,$I$5:$I330,$B399,$B$5:$B330,"&lt;=30")</f>
        <v>0</v>
      </c>
      <c r="D399" s="194">
        <f>SUMIFS($O$5:$O330,$H$5:$H330,$A$398,$I$5:$I330,$B399,$B$5:$B330,"&lt;=60")-C399</f>
        <v>0</v>
      </c>
      <c r="E399" s="194">
        <f>SUMIFS($O$5:$O330,$H$5:$H330,$A$398,$I$5:$I330,$B399,$B$5:$B330,"&lt;=90")-D399-C399</f>
        <v>0</v>
      </c>
      <c r="F399" s="194">
        <f>SUMIFS($O$5:$O330,$H$5:$H330,$A$398,$I$5:$I330,$B399,$B$5:$B330,"&gt;=91")</f>
        <v>0</v>
      </c>
      <c r="G399" s="195">
        <f t="shared" si="4"/>
        <v>0</v>
      </c>
    </row>
    <row r="400" spans="1:7" ht="14.5" x14ac:dyDescent="0.35">
      <c r="A400" s="202"/>
      <c r="B400" s="193" t="s">
        <v>65</v>
      </c>
      <c r="C400" s="194">
        <f>SUMIFS($O$5:$O331,$H$5:$H331,$A$401,$I$5:$I331,$B400,$B$5:$B331,"&lt;=30")</f>
        <v>0</v>
      </c>
      <c r="D400" s="194">
        <f>SUMIFS($O$5:$O331,$H$5:$H331,$A$401,$I$5:$I331,$B400,$B$5:$B331,"&lt;=60")-C400</f>
        <v>0</v>
      </c>
      <c r="E400" s="194">
        <f>SUMIFS($O$5:$O331,$H$5:$H331,$A$401,$I$5:$I331,$B400,$B$5:$B331,"&lt;=90")-D400-C400</f>
        <v>0</v>
      </c>
      <c r="F400" s="194">
        <f>SUMIFS($O$5:$O331,$H$5:$H331,$A$401,$I$5:$I331,$B400,$B$5:$B331,"&gt;=91")</f>
        <v>0</v>
      </c>
      <c r="G400" s="195">
        <f t="shared" si="4"/>
        <v>0</v>
      </c>
    </row>
    <row r="401" spans="1:7" ht="14.5" x14ac:dyDescent="0.35">
      <c r="A401" s="205" t="s">
        <v>27</v>
      </c>
      <c r="B401" s="30" t="s">
        <v>64</v>
      </c>
      <c r="C401" s="194">
        <f>SUMIFS($O$5:$O332,$H$5:$H332,$A$401,$I$5:$I332,$B401,$B$5:$B332,"&lt;=30")</f>
        <v>0</v>
      </c>
      <c r="D401" s="194">
        <f>SUMIFS($O$5:$O332,$H$5:$H332,$A$401,$I$5:$I332,$B401,$B$5:$B332,"&lt;=60")-C401</f>
        <v>0</v>
      </c>
      <c r="E401" s="194">
        <f>SUMIFS($O$5:$O332,$H$5:$H332,$A$401,$I$5:$I332,$B401,$B$5:$B332,"&lt;=90")-D401-C401</f>
        <v>0</v>
      </c>
      <c r="F401" s="194">
        <f>SUMIFS($O$5:$O332,$H$5:$H332,$A$401,$I$5:$I332,$B401,$B$5:$B332,"&gt;=91")</f>
        <v>0</v>
      </c>
      <c r="G401" s="195">
        <f t="shared" si="4"/>
        <v>0</v>
      </c>
    </row>
    <row r="402" spans="1:7" ht="14.5" x14ac:dyDescent="0.35">
      <c r="A402" s="205"/>
      <c r="B402" s="200" t="s">
        <v>116</v>
      </c>
      <c r="C402" s="194">
        <f ca="1">SUMIFS($O$5:$O333,$H$5:$H333,$A$401,$I$5:$I333,$B402,$B$5:$B333,"&lt;=30")</f>
        <v>0</v>
      </c>
      <c r="D402" s="194">
        <f ca="1">SUMIFS($O$5:$O333,$H$5:$H333,$A$401,$I$5:$I333,$B402,$B$5:$B333,"&lt;=60")-C402</f>
        <v>0</v>
      </c>
      <c r="E402" s="194">
        <f ca="1">SUMIFS($O$5:$O333,$H$5:$H333,$A$401,$I$5:$I333,$B402,$B$5:$B333,"&lt;=90")-D402-C402</f>
        <v>0</v>
      </c>
      <c r="F402" s="194">
        <f ca="1">SUMIFS($O$5:$O333,$H$5:$H333,$A$401,$I$5:$I333,$B402,$B$5:$B333,"&gt;=91")</f>
        <v>0</v>
      </c>
      <c r="G402" s="195">
        <f t="shared" ca="1" si="4"/>
        <v>0</v>
      </c>
    </row>
    <row r="403" spans="1:7" ht="14.5" x14ac:dyDescent="0.35">
      <c r="A403" s="208"/>
      <c r="B403" s="193" t="s">
        <v>65</v>
      </c>
      <c r="C403" s="194">
        <f>SUMIFS($O$5:$O334,$H$5:$H334,$A$404,$I$5:$I334,$B403,$B$5:$B334,"&lt;=30")</f>
        <v>0</v>
      </c>
      <c r="D403" s="194">
        <f>SUMIFS($O$5:$O334,$H$5:$H334,$A$404,$I$5:$I334,$B403,$B$5:$B334,"&lt;=60")-C403</f>
        <v>0</v>
      </c>
      <c r="E403" s="194">
        <f>SUMIFS($O$5:$O334,$H$5:$H334,$A$404,$I$5:$I334,$B403,$B$5:$B334,"&lt;=90")-D403-C403</f>
        <v>0</v>
      </c>
      <c r="F403" s="194">
        <f>SUMIFS($O$5:$O334,$H$5:$H334,$A$404,$I$5:$I334,$B403,$B$5:$B334,"&gt;=91")</f>
        <v>0</v>
      </c>
      <c r="G403" s="195">
        <f t="shared" si="4"/>
        <v>0</v>
      </c>
    </row>
    <row r="404" spans="1:7" ht="14.5" x14ac:dyDescent="0.35">
      <c r="A404" s="212" t="s">
        <v>28</v>
      </c>
      <c r="B404" s="30" t="s">
        <v>64</v>
      </c>
      <c r="C404" s="194">
        <f>SUMIFS($O$5:$O335,$H$5:$H335,$A$404,$I$5:$I335,$B404,$B$5:$B335,"&lt;=30")</f>
        <v>0</v>
      </c>
      <c r="D404" s="194">
        <f>SUMIFS($O$5:$O335,$H$5:$H335,$A$404,$I$5:$I335,$B404,$B$5:$B335,"&lt;=60")-C404</f>
        <v>0</v>
      </c>
      <c r="E404" s="194">
        <f>SUMIFS($O$5:$O335,$H$5:$H335,$A$404,$I$5:$I335,$B404,$B$5:$B335,"&lt;=90")-D404-C404</f>
        <v>0</v>
      </c>
      <c r="F404" s="194">
        <f>SUMIFS($O$5:$O335,$H$5:$H335,$A$404,$I$5:$I335,$B404,$B$5:$B335,"&gt;=91")</f>
        <v>0</v>
      </c>
      <c r="G404" s="195">
        <f t="shared" si="4"/>
        <v>0</v>
      </c>
    </row>
    <row r="405" spans="1:7" ht="14.5" x14ac:dyDescent="0.35">
      <c r="A405" s="212"/>
      <c r="B405" s="200" t="s">
        <v>116</v>
      </c>
      <c r="C405" s="194">
        <f>SUMIFS($O$5:$O336,$H$5:$H336,$A$404,$I$5:$I336,$B405,$B$5:$B336,"&lt;=30")</f>
        <v>0</v>
      </c>
      <c r="D405" s="194">
        <f>SUMIFS($O$5:$O336,$H$5:$H336,$A$404,$I$5:$I336,$B405,$B$5:$B336,"&lt;=60")-C405</f>
        <v>0</v>
      </c>
      <c r="E405" s="194">
        <f>SUMIFS($O$5:$O336,$H$5:$H336,$A$404,$I$5:$I336,$B405,$B$5:$B336,"&lt;=90")-D405-C405</f>
        <v>0</v>
      </c>
      <c r="F405" s="194">
        <f>SUMIFS($O$5:$O336,$H$5:$H336,$A$404,$I$5:$I336,$B405,$B$5:$B336,"&gt;=91")</f>
        <v>0</v>
      </c>
      <c r="G405" s="195">
        <f t="shared" si="4"/>
        <v>0</v>
      </c>
    </row>
    <row r="406" spans="1:7" ht="14.5" x14ac:dyDescent="0.35">
      <c r="A406" s="217"/>
      <c r="B406" s="193" t="s">
        <v>65</v>
      </c>
      <c r="C406" s="194">
        <f>SUMIFS($O$5:$O337,$H$5:$H337,$A$407,$I$5:$I337,$B406,$B$5:$B337,"&lt;=30")</f>
        <v>0</v>
      </c>
      <c r="D406" s="194">
        <f>SUMIFS($O$5:$O337,$H$5:$H337,$A$407,$I$5:$I337,$B406,$B$5:$B337,"&lt;=60")-C406</f>
        <v>0</v>
      </c>
      <c r="E406" s="194">
        <f>SUMIFS($O$5:$O337,$H$5:$H337,$A$407,$I$5:$I337,$B406,$B$5:$B337,"&lt;=90")-D406-C406</f>
        <v>0</v>
      </c>
      <c r="F406" s="194">
        <f>SUMIFS($O$5:$O337,$H$5:$H337,$A$407,$I$5:$I337,$B406,$B$5:$B337,"&gt;=91")</f>
        <v>0</v>
      </c>
      <c r="G406" s="195">
        <f t="shared" si="4"/>
        <v>0</v>
      </c>
    </row>
    <row r="407" spans="1:7" ht="14.5" x14ac:dyDescent="0.35">
      <c r="A407" s="219" t="s">
        <v>29</v>
      </c>
      <c r="B407" s="30" t="s">
        <v>64</v>
      </c>
      <c r="C407" s="194">
        <f>SUMIFS($O$5:$O338,$H$5:$H338,$A$407,$I$5:$I338,$B407,$B$5:$B338,"&lt;=30")</f>
        <v>0</v>
      </c>
      <c r="D407" s="194">
        <f>SUMIFS($O$5:$O338,$H$5:$H338,$A$407,$I$5:$I338,$B407,$B$5:$B338,"&lt;=60")-C407</f>
        <v>0</v>
      </c>
      <c r="E407" s="194">
        <f>SUMIFS($O$5:$O338,$H$5:$H338,$A$407,$I$5:$I338,$B407,$B$5:$B338,"&lt;=90")-D407-C407</f>
        <v>0</v>
      </c>
      <c r="F407" s="194">
        <f>SUMIFS($O$5:$O338,$H$5:$H338,$A$407,$I$5:$I338,$B407,$B$5:$B338,"&gt;=91")</f>
        <v>0</v>
      </c>
      <c r="G407" s="195">
        <f t="shared" si="4"/>
        <v>0</v>
      </c>
    </row>
    <row r="408" spans="1:7" ht="14.5" x14ac:dyDescent="0.35">
      <c r="A408" s="219"/>
      <c r="B408" s="200" t="s">
        <v>116</v>
      </c>
      <c r="C408" s="194">
        <f>SUMIFS($O$5:$O339,$H$5:$H339,$A$407,$I$5:$I339,$B408,$B$5:$B339,"&lt;=30")</f>
        <v>0</v>
      </c>
      <c r="D408" s="194">
        <f>SUMIFS($O$5:$O339,$H$5:$H339,$A$407,$I$5:$I339,$B408,$B$5:$B339,"&lt;=60")-C408</f>
        <v>0</v>
      </c>
      <c r="E408" s="194">
        <f>SUMIFS($O$5:$O339,$H$5:$H339,$A$407,$I$5:$I339,$B408,$B$5:$B339,"&lt;=90")-D408-C408</f>
        <v>0</v>
      </c>
      <c r="F408" s="194">
        <f>SUMIFS($O$5:$O339,$H$5:$H339,$A$407,$I$5:$I339,$B408,$B$5:$B339,"&gt;=91")</f>
        <v>0</v>
      </c>
      <c r="G408" s="195">
        <f t="shared" si="4"/>
        <v>0</v>
      </c>
    </row>
    <row r="409" spans="1:7" ht="14.5" x14ac:dyDescent="0.35">
      <c r="A409" s="222"/>
      <c r="B409" s="193" t="s">
        <v>65</v>
      </c>
      <c r="C409" s="194">
        <f>SUMIFS($O$5:$O340,$H$5:$H340,$A$410,$I$5:$I340,$B409,$B$5:$B340,"&lt;=30")</f>
        <v>0</v>
      </c>
      <c r="D409" s="194">
        <f>SUMIFS($O$5:$O340,$H$5:$H340,$A$410,$I$5:$I340,$B409,$B$5:$B340,"&lt;=60")-C409</f>
        <v>0</v>
      </c>
      <c r="E409" s="194">
        <f>SUMIFS($O$5:$O340,$H$5:$H340,$A$410,$I$5:$I340,$B409,$B$5:$B340,"&lt;=90")-D409-C409</f>
        <v>0</v>
      </c>
      <c r="F409" s="194">
        <f>SUMIFS($O$5:$O340,$H$5:$H340,$A$410,$I$5:$I340,$B409,$B$5:$B340,"&gt;=91")</f>
        <v>0</v>
      </c>
      <c r="G409" s="195">
        <f t="shared" si="4"/>
        <v>0</v>
      </c>
    </row>
    <row r="410" spans="1:7" ht="14.5" x14ac:dyDescent="0.35">
      <c r="A410" s="228" t="s">
        <v>30</v>
      </c>
      <c r="B410" s="30" t="s">
        <v>64</v>
      </c>
      <c r="C410" s="194">
        <f>SUMIFS($O$5:$O341,$H$5:$H341,$A$410,$I$5:$I341,$B410,$B$5:$B341,"&lt;=30")</f>
        <v>0</v>
      </c>
      <c r="D410" s="194">
        <f>SUMIFS($O$5:$O341,$H$5:$H341,$A$410,$I$5:$I341,$B410,$B$5:$B341,"&lt;=60")-C410</f>
        <v>0</v>
      </c>
      <c r="E410" s="194">
        <f>SUMIFS($O$5:$O341,$H$5:$H341,$A$410,$I$5:$I341,$B410,$B$5:$B341,"&lt;=90")-D410-C410</f>
        <v>0</v>
      </c>
      <c r="F410" s="194">
        <f>SUMIFS($O$5:$O341,$H$5:$H341,$A$410,$I$5:$I341,$B410,$B$5:$B341,"&gt;=91")</f>
        <v>0</v>
      </c>
      <c r="G410" s="195">
        <f t="shared" si="4"/>
        <v>0</v>
      </c>
    </row>
    <row r="411" spans="1:7" ht="14.5" x14ac:dyDescent="0.35">
      <c r="A411" s="228"/>
      <c r="B411" s="200" t="s">
        <v>116</v>
      </c>
      <c r="C411" s="194">
        <f>SUMIFS($O$5:$O342,$H$5:$H342,$A$410,$I$5:$I342,$B411,$B$5:$B342,"&lt;=30")</f>
        <v>0</v>
      </c>
      <c r="D411" s="194">
        <f>SUMIFS($O$5:$O342,$H$5:$H342,$A$410,$I$5:$I342,$B411,$B$5:$B342,"&lt;=60")-C411</f>
        <v>0</v>
      </c>
      <c r="E411" s="194">
        <f>SUMIFS($O$5:$O342,$H$5:$H342,$A$410,$I$5:$I342,$B411,$B$5:$B342,"&lt;=90")-D411-C411</f>
        <v>0</v>
      </c>
      <c r="F411" s="194">
        <f>SUMIFS($O$5:$O342,$H$5:$H342,$A$410,$I$5:$I342,$B411,$B$5:$B342,"&gt;=91")</f>
        <v>0</v>
      </c>
      <c r="G411" s="195">
        <f t="shared" si="4"/>
        <v>0</v>
      </c>
    </row>
    <row r="412" spans="1:7" ht="14.5" x14ac:dyDescent="0.35">
      <c r="A412" s="233"/>
      <c r="B412" s="193" t="s">
        <v>65</v>
      </c>
      <c r="C412" s="194">
        <f>SUMIFS($O$5:$O343,$H$5:$H343,$A$413,$I$5:$I343,$B412,$B$5:$B343,"&lt;=30")</f>
        <v>0</v>
      </c>
      <c r="D412" s="194">
        <f>SUMIFS($O$5:$O343,$H$5:$H343,$A$413,$I$5:$I343,$B412,$B$5:$B343,"&lt;=60")-C412</f>
        <v>0</v>
      </c>
      <c r="E412" s="194">
        <f>SUMIFS($O$5:$O343,$H$5:$H343,$A$413,$I$5:$I343,$B412,$B$5:$B343,"&lt;=90")-D412-C412</f>
        <v>0</v>
      </c>
      <c r="F412" s="194">
        <f>SUMIFS($O$5:$O343,$H$5:$H343,$A$413,$I$5:$I343,$B412,$B$5:$B343,"&gt;=91")</f>
        <v>0</v>
      </c>
      <c r="G412" s="195">
        <f t="shared" si="4"/>
        <v>0</v>
      </c>
    </row>
    <row r="413" spans="1:7" ht="14.5" x14ac:dyDescent="0.35">
      <c r="A413" s="234">
        <v>304</v>
      </c>
      <c r="B413" s="30" t="s">
        <v>64</v>
      </c>
      <c r="C413" s="194">
        <f>SUMIFS($O$5:$O344,$H$5:$H344,$A$413,$I$5:$I344,$B413,$B$5:$B344,"&lt;=30")</f>
        <v>0</v>
      </c>
      <c r="D413" s="194">
        <f>SUMIFS($O$5:$O344,$H$5:$H344,$A$413,$I$5:$I344,$B413,$B$5:$B344,"&lt;=60")-C413</f>
        <v>0</v>
      </c>
      <c r="E413" s="194">
        <f>SUMIFS($O$5:$O344,$H$5:$H344,$A$413,$I$5:$I344,$B413,$B$5:$B344,"&lt;=90")-D413-C413</f>
        <v>0</v>
      </c>
      <c r="F413" s="194">
        <f>SUMIFS($O$5:$O344,$H$5:$H344,$A$413,$I$5:$I344,$B413,$B$5:$B344,"&gt;=91")</f>
        <v>0</v>
      </c>
      <c r="G413" s="195">
        <f t="shared" si="4"/>
        <v>0</v>
      </c>
    </row>
    <row r="414" spans="1:7" ht="14.5" x14ac:dyDescent="0.35">
      <c r="A414" s="234"/>
      <c r="B414" s="200" t="s">
        <v>116</v>
      </c>
      <c r="C414" s="194">
        <f>SUMIFS($O$5:$O345,$H$5:$H345,$A$413,$I$5:$I345,$B414,$B$5:$B345,"&lt;=30")</f>
        <v>0</v>
      </c>
      <c r="D414" s="194">
        <f>SUMIFS($O$5:$O345,$H$5:$H345,$A$413,$I$5:$I345,$B414,$B$5:$B345,"&lt;=60")-C414</f>
        <v>0</v>
      </c>
      <c r="E414" s="194">
        <f>SUMIFS($O$5:$O345,$H$5:$H345,$A$413,$I$5:$I345,$B414,$B$5:$B345,"&lt;=90")-D414-C414</f>
        <v>0</v>
      </c>
      <c r="F414" s="194">
        <f>SUMIFS($O$5:$O345,$H$5:$H345,$A$413,$I$5:$I345,$B414,$B$5:$B345,"&gt;=91")</f>
        <v>0</v>
      </c>
      <c r="G414" s="195">
        <f t="shared" si="4"/>
        <v>0</v>
      </c>
    </row>
    <row r="415" spans="1:7" ht="14.5" x14ac:dyDescent="0.35">
      <c r="A415" s="235"/>
      <c r="B415" s="193" t="s">
        <v>65</v>
      </c>
      <c r="C415" s="194">
        <f>SUMIFS($O$5:$O346,$H$5:$H346,$A$416,$I$5:$I346,$B415,$B$5:$B346,"&lt;=30")</f>
        <v>0</v>
      </c>
      <c r="D415" s="194">
        <f>SUMIFS($O$5:$O346,$H$5:$H346,$A$416,$I$5:$I346,$B415,$B$5:$B346,"&lt;=60")-C415</f>
        <v>0</v>
      </c>
      <c r="E415" s="194">
        <f>SUMIFS($O$5:$O346,$H$5:$H346,$A$416,$I$5:$I346,$B415,$B$5:$B346,"&lt;=90")-D415-C415</f>
        <v>0</v>
      </c>
      <c r="F415" s="194">
        <f>SUMIFS($O$5:$O346,$H$5:$H346,$A$416,$I$5:$I346,$B415,$B$5:$B346,"&gt;=91")</f>
        <v>0</v>
      </c>
      <c r="G415" s="195">
        <f t="shared" si="4"/>
        <v>0</v>
      </c>
    </row>
    <row r="416" spans="1:7" ht="14.5" x14ac:dyDescent="0.35">
      <c r="A416" s="238" t="s">
        <v>230</v>
      </c>
      <c r="B416" s="30" t="s">
        <v>64</v>
      </c>
      <c r="C416" s="194">
        <f>SUMIFS($O$5:$O347,$H$5:$H347,$A$416,$I$5:$I347,$B416,$B$5:$B347,"&lt;=30")</f>
        <v>0</v>
      </c>
      <c r="D416" s="194">
        <f>SUMIFS($O$5:$O347,$H$5:$H347,$A$416,$I$5:$I347,$B416,$B$5:$B347,"&lt;=60")-C416</f>
        <v>0</v>
      </c>
      <c r="E416" s="194">
        <f>SUMIFS($O$5:$O347,$H$5:$H347,$A$416,$I$5:$I347,$B416,$B$5:$B347,"&lt;=90")-D416-C416</f>
        <v>0</v>
      </c>
      <c r="F416" s="194">
        <f>SUMIFS($O$5:$O347,$H$5:$H347,$A$416,$I$5:$I347,$B416,$B$5:$B347,"&gt;=91")</f>
        <v>0</v>
      </c>
      <c r="G416" s="195">
        <f t="shared" si="4"/>
        <v>0</v>
      </c>
    </row>
    <row r="417" spans="1:7" ht="14.5" x14ac:dyDescent="0.35">
      <c r="A417" s="238"/>
      <c r="B417" s="200" t="s">
        <v>116</v>
      </c>
      <c r="C417" s="194">
        <f>SUMIFS($O$5:$O348,$H$5:$H348,$A$416,$I$5:$I348,$B417,$B$5:$B348,"&lt;=30")</f>
        <v>0</v>
      </c>
      <c r="D417" s="194">
        <f>SUMIFS($O$5:$O348,$H$5:$H348,$A$416,$I$5:$I348,$B417,$B$5:$B348,"&lt;=60")-C417</f>
        <v>0</v>
      </c>
      <c r="E417" s="194">
        <f>SUMIFS($O$5:$O348,$H$5:$H348,$A$416,$I$5:$I348,$B417,$B$5:$B348,"&lt;=90")-D417-C417</f>
        <v>0</v>
      </c>
      <c r="F417" s="194">
        <f>SUMIFS($O$5:$O348,$H$5:$H348,$A$416,$I$5:$I348,$B417,$B$5:$B348,"&gt;=91")</f>
        <v>0</v>
      </c>
      <c r="G417" s="195">
        <f t="shared" si="4"/>
        <v>0</v>
      </c>
    </row>
    <row r="418" spans="1:7" ht="14.5" x14ac:dyDescent="0.35">
      <c r="A418" s="239"/>
      <c r="B418" s="193" t="s">
        <v>65</v>
      </c>
      <c r="C418" s="194">
        <f>SUMIFS($O$5:$O349,$H$5:$H349,$A$419,$I$5:$I349,$B418,$B$5:$B349,"&lt;=30")</f>
        <v>0</v>
      </c>
      <c r="D418" s="194">
        <f>SUMIFS($O$5:$O349,$H$5:$H349,$A$419,$I$5:$I349,$B418,$B$5:$B349,"&lt;=60")-C418</f>
        <v>0</v>
      </c>
      <c r="E418" s="194">
        <f>SUMIFS($O$5:$O349,$H$5:$H349,$A$419,$I$5:$I349,$B418,$B$5:$B349,"&lt;=90")-D418-C418</f>
        <v>0</v>
      </c>
      <c r="F418" s="194">
        <f>SUMIFS($O$5:$O349,$H$5:$H349,$A$419,$I$5:$I349,$B418,$B$5:$B349,"&gt;=91")</f>
        <v>0</v>
      </c>
      <c r="G418" s="195">
        <f t="shared" si="4"/>
        <v>0</v>
      </c>
    </row>
    <row r="419" spans="1:7" ht="14.5" x14ac:dyDescent="0.35">
      <c r="A419" s="240" t="s">
        <v>148</v>
      </c>
      <c r="B419" s="30" t="s">
        <v>64</v>
      </c>
      <c r="C419" s="194">
        <f>SUMIFS($O$5:$O350,$H$5:$H350,$A$419,$I$5:$I350,$B419,$B$5:$B350,"&lt;=30")</f>
        <v>0</v>
      </c>
      <c r="D419" s="194">
        <f>SUMIFS($O$5:$O350,$H$5:$H350,$A$419,$I$5:$I350,$B419,$B$5:$B350,"&lt;=60")-C419</f>
        <v>0</v>
      </c>
      <c r="E419" s="194">
        <f>SUMIFS($O$5:$O350,$H$5:$H350,$A$419,$I$5:$I350,$B419,$B$5:$B350,"&lt;=90")-D419-C419</f>
        <v>0</v>
      </c>
      <c r="F419" s="194">
        <f>SUMIFS($O$5:$O350,$H$5:$H350,$A$419,$I$5:$I350,$B419,$B$5:$B350,"&gt;=91")</f>
        <v>0</v>
      </c>
      <c r="G419" s="195">
        <f t="shared" si="4"/>
        <v>0</v>
      </c>
    </row>
    <row r="420" spans="1:7" ht="14.5" x14ac:dyDescent="0.35">
      <c r="A420" s="240"/>
      <c r="B420" s="200" t="s">
        <v>116</v>
      </c>
      <c r="C420" s="194">
        <f>SUMIFS($O$5:$O351,$H$5:$H351,$A$419,$I$5:$I351,$B420,$B$5:$B351,"&lt;=30")</f>
        <v>0</v>
      </c>
      <c r="D420" s="194">
        <f>SUMIFS($O$5:$O351,$H$5:$H351,$A$419,$I$5:$I351,$B420,$B$5:$B351,"&lt;=60")-C420</f>
        <v>0</v>
      </c>
      <c r="E420" s="194">
        <f>SUMIFS($O$5:$O351,$H$5:$H351,$A$419,$I$5:$I351,$B420,$B$5:$B351,"&lt;=90")-D420-C420</f>
        <v>0</v>
      </c>
      <c r="F420" s="194">
        <f>SUMIFS($O$5:$O351,$H$5:$H351,$A$419,$I$5:$I351,$B420,$B$5:$B351,"&gt;=91")</f>
        <v>0</v>
      </c>
      <c r="G420" s="195">
        <f t="shared" si="4"/>
        <v>0</v>
      </c>
    </row>
    <row r="421" spans="1:7" ht="14.5" x14ac:dyDescent="0.35">
      <c r="A421" s="242"/>
      <c r="B421" s="193" t="s">
        <v>65</v>
      </c>
      <c r="C421" s="194">
        <f>SUMIFS($O$5:$O352,$H$5:$H352,$A$422,$I$5:$I352,$B421,$B$5:$B352,"&lt;=30")</f>
        <v>0</v>
      </c>
      <c r="D421" s="194">
        <f>SUMIFS($O$5:$O352,$H$5:$H352,$A$422,$I$5:$I352,$B421,$B$5:$B352,"&lt;=60")-C421</f>
        <v>0</v>
      </c>
      <c r="E421" s="194">
        <f>SUMIFS($O$5:$O352,$H$5:$H352,$A$422,$I$5:$I352,$B421,$B$5:$B352,"&lt;=90")-D421-C421</f>
        <v>0</v>
      </c>
      <c r="F421" s="194">
        <f>SUMIFS($O$5:$O352,$H$5:$H352,$A$422,$I$5:$I352,$B421,$B$5:$B352,"&gt;=91")</f>
        <v>0</v>
      </c>
      <c r="G421" s="195">
        <f t="shared" si="4"/>
        <v>0</v>
      </c>
    </row>
    <row r="422" spans="1:7" ht="14.5" x14ac:dyDescent="0.35">
      <c r="A422" s="243">
        <v>430</v>
      </c>
      <c r="B422" s="30" t="s">
        <v>64</v>
      </c>
      <c r="C422" s="194">
        <f>SUMIFS($O$5:$O353,$H$5:$H353,$A$422,$I$5:$I353,$B422,$B$5:$B353,"&lt;=30")</f>
        <v>0</v>
      </c>
      <c r="D422" s="194">
        <f>SUMIFS($O$5:$O353,$H$5:$H353,$A$422,$I$5:$I353,$B422,$B$5:$B353,"&lt;=60")-C422</f>
        <v>0</v>
      </c>
      <c r="E422" s="194">
        <f>SUMIFS($O$5:$O353,$H$5:$H353,$A$422,$I$5:$I353,$B422,$B$5:$B353,"&lt;=90")-D422-C422</f>
        <v>0</v>
      </c>
      <c r="F422" s="194">
        <f>SUMIFS($O$5:$O353,$H$5:$H353,$A$422,$I$5:$I353,$B422,$B$5:$B353,"&gt;=91")</f>
        <v>0</v>
      </c>
      <c r="G422" s="195">
        <f t="shared" si="4"/>
        <v>0</v>
      </c>
    </row>
    <row r="423" spans="1:7" ht="14.5" x14ac:dyDescent="0.35">
      <c r="A423" s="243"/>
      <c r="B423" s="200" t="s">
        <v>116</v>
      </c>
      <c r="C423" s="194">
        <f ca="1">SUMIFS($O$5:$O354,$H$5:$H354,$A$422,$I$5:$I354,$B423,$B$5:$B354,"&lt;=30")</f>
        <v>0</v>
      </c>
      <c r="D423" s="194">
        <f ca="1">SUMIFS($O$5:$O354,$H$5:$H354,$A$422,$I$5:$I354,$B423,$B$5:$B354,"&lt;=60")-C423</f>
        <v>0</v>
      </c>
      <c r="E423" s="194">
        <f ca="1">SUMIFS($O$5:$O354,$H$5:$H354,$A$422,$I$5:$I354,$B423,$B$5:$B354,"&lt;=90")-D423-C423</f>
        <v>0</v>
      </c>
      <c r="F423" s="194">
        <f ca="1">SUMIFS($O$5:$O354,$H$5:$H354,$A$422,$I$5:$I354,$B423,$B$5:$B354,"&gt;=91")</f>
        <v>0</v>
      </c>
      <c r="G423" s="195">
        <f t="shared" ca="1" si="4"/>
        <v>0</v>
      </c>
    </row>
    <row r="424" spans="1:7" ht="14.5" x14ac:dyDescent="0.35">
      <c r="A424" s="244"/>
      <c r="B424" s="193" t="s">
        <v>65</v>
      </c>
      <c r="C424" s="194">
        <f>SUMIFS($O$5:$O355,$H$5:$H355,$A$425,$I$5:$I355,$B424,$B$5:$B355,"&lt;=30")</f>
        <v>0</v>
      </c>
      <c r="D424" s="194">
        <f>SUMIFS($O$5:$O355,$H$5:$H355,$A$425,$I$5:$I355,$B424,$B$5:$B355,"&lt;=60")-C424</f>
        <v>0</v>
      </c>
      <c r="E424" s="194">
        <f>SUMIFS($O$5:$O355,$H$5:$H355,$A$425,$I$5:$I355,$B424,$B$5:$B355,"&lt;=90")-D424-C424</f>
        <v>0</v>
      </c>
      <c r="F424" s="194">
        <f>SUMIFS($O$5:$O355,$H$5:$H355,$A$425,$I$5:$I355,$B424,$B$5:$B355,"&gt;=91")</f>
        <v>0</v>
      </c>
      <c r="G424" s="195">
        <f t="shared" si="4"/>
        <v>0</v>
      </c>
    </row>
    <row r="425" spans="1:7" ht="14.5" x14ac:dyDescent="0.35">
      <c r="A425" s="245" t="s">
        <v>2538</v>
      </c>
      <c r="B425" s="30" t="s">
        <v>64</v>
      </c>
      <c r="C425" s="194">
        <f>SUMIFS($O$5:$O356,$H$5:$H356,$A$425,$I$5:$I356,$B425,$B$5:$B356,"&lt;=30")</f>
        <v>0</v>
      </c>
      <c r="D425" s="194">
        <f>SUMIFS($O$5:$O356,$H$5:$H356,$A$425,$I$5:$I356,$B425,$B$5:$B356,"&lt;=60")-C425</f>
        <v>0</v>
      </c>
      <c r="E425" s="194">
        <f>SUMIFS($O$5:$O356,$H$5:$H356,$A$425,$I$5:$I356,$B425,$B$5:$B356,"&lt;=90")-D425-C425</f>
        <v>0</v>
      </c>
      <c r="F425" s="194">
        <f>SUMIFS($O$5:$O356,$H$5:$H356,$A$425,$I$5:$I356,$B425,$B$5:$B356,"&gt;=91")</f>
        <v>0</v>
      </c>
      <c r="G425" s="195">
        <f t="shared" si="4"/>
        <v>0</v>
      </c>
    </row>
    <row r="426" spans="1:7" ht="14.5" x14ac:dyDescent="0.35">
      <c r="A426" s="246"/>
      <c r="B426" s="200" t="s">
        <v>116</v>
      </c>
      <c r="C426" s="194">
        <f>SUMIFS($O$5:$O357,$H$5:$H357,$A$425,$I$5:$I357,$B426,$B$5:$B357,"&lt;=30")</f>
        <v>0</v>
      </c>
      <c r="D426" s="194">
        <f>SUMIFS($O$5:$O357,$H$5:$H357,$A$425,$I$5:$I357,$B426,$B$5:$B357,"&lt;=60")-C426</f>
        <v>0</v>
      </c>
      <c r="E426" s="194">
        <f>SUMIFS($O$5:$O357,$H$5:$H357,$A$425,$I$5:$I357,$B426,$B$5:$B357,"&lt;=90")-D426-C426</f>
        <v>0</v>
      </c>
      <c r="F426" s="194">
        <f>SUMIFS($O$5:$O357,$H$5:$H357,$A$425,$I$5:$I357,$B426,$B$5:$B357,"&gt;=91")</f>
        <v>0</v>
      </c>
      <c r="G426" s="195">
        <f t="shared" si="4"/>
        <v>0</v>
      </c>
    </row>
    <row r="427" spans="1:7" ht="14.5" x14ac:dyDescent="0.35">
      <c r="A427" s="812" t="s">
        <v>34</v>
      </c>
      <c r="B427" s="813"/>
      <c r="C427" s="257">
        <f ca="1">SUM(C397:C426)</f>
        <v>0</v>
      </c>
      <c r="D427" s="257">
        <f ca="1">SUM(D397:D426)</f>
        <v>0</v>
      </c>
      <c r="E427" s="257">
        <f ca="1">SUM(E397:E426)</f>
        <v>0</v>
      </c>
      <c r="F427" s="257">
        <f ca="1">SUM(F397:F426)</f>
        <v>0</v>
      </c>
      <c r="G427" s="195">
        <f t="shared" ca="1" si="4"/>
        <v>0</v>
      </c>
    </row>
  </sheetData>
  <autoFilter ref="A4:BJ7" xr:uid="{00000000-0009-0000-0000-000009000000}"/>
  <mergeCells count="8">
    <mergeCell ref="A427:B427"/>
    <mergeCell ref="A1:U1"/>
    <mergeCell ref="O9:O20"/>
    <mergeCell ref="A81:A82"/>
    <mergeCell ref="C81:G81"/>
    <mergeCell ref="A116:B116"/>
    <mergeCell ref="A395:A396"/>
    <mergeCell ref="C395:G395"/>
  </mergeCells>
  <pageMargins left="0.5" right="0.5" top="0.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43BD-2BD4-4067-8FAC-DA2ABDD1106A}">
  <dimension ref="A1:AJ53"/>
  <sheetViews>
    <sheetView zoomScaleNormal="100" workbookViewId="0">
      <pane xSplit="4" ySplit="1" topLeftCell="N2" activePane="bottomRight" state="frozen"/>
      <selection activeCell="B62" sqref="B62:J67"/>
      <selection pane="topRight" activeCell="B62" sqref="B62:J67"/>
      <selection pane="bottomLeft" activeCell="B62" sqref="B62:J67"/>
      <selection pane="bottomRight" activeCell="B62" sqref="B62:J67"/>
    </sheetView>
  </sheetViews>
  <sheetFormatPr defaultColWidth="9.1796875" defaultRowHeight="14.5" x14ac:dyDescent="0.35"/>
  <cols>
    <col min="1" max="2" width="6" style="53" customWidth="1"/>
    <col min="3" max="3" width="7.7265625" style="53" customWidth="1"/>
    <col min="4" max="4" width="5.1796875" style="53" customWidth="1"/>
    <col min="5" max="5" width="9.26953125" style="92" customWidth="1"/>
    <col min="6" max="6" width="9.1796875" style="53" customWidth="1"/>
    <col min="7" max="8" width="9" style="53" customWidth="1"/>
    <col min="9" max="9" width="8.26953125" style="53" customWidth="1"/>
    <col min="10" max="10" width="8.7265625" style="53" customWidth="1"/>
    <col min="11" max="11" width="7.26953125" style="53" customWidth="1"/>
    <col min="12" max="12" width="7.453125" style="53" customWidth="1"/>
    <col min="13" max="13" width="7.81640625" style="53" customWidth="1"/>
    <col min="14" max="14" width="9" style="53" customWidth="1"/>
    <col min="15" max="15" width="8.7265625" style="53" customWidth="1"/>
    <col min="16" max="16" width="7.26953125" style="53" customWidth="1"/>
    <col min="17" max="17" width="7.7265625" style="53" customWidth="1"/>
    <col min="18" max="19" width="8" style="53" customWidth="1"/>
    <col min="20" max="20" width="7.7265625" style="53" customWidth="1"/>
    <col min="21" max="22" width="8.26953125" style="53" customWidth="1"/>
    <col min="23" max="23" width="7.26953125" style="53" customWidth="1"/>
    <col min="24" max="24" width="7.7265625" style="53" customWidth="1"/>
    <col min="25" max="25" width="8.7265625" style="53" customWidth="1"/>
    <col min="26" max="26" width="7.81640625" style="53" customWidth="1"/>
    <col min="27" max="27" width="8" style="53" customWidth="1"/>
    <col min="28" max="28" width="7.54296875" style="53" customWidth="1"/>
    <col min="29" max="29" width="7.7265625" style="53" customWidth="1"/>
    <col min="30" max="30" width="7.81640625" style="53" customWidth="1"/>
    <col min="31" max="31" width="7.26953125" style="53" customWidth="1"/>
    <col min="32" max="32" width="9.54296875" style="53" customWidth="1"/>
    <col min="33" max="33" width="9.1796875" style="53" hidden="1" customWidth="1"/>
    <col min="34" max="34" width="7.7265625" style="53" hidden="1" customWidth="1"/>
    <col min="35" max="35" width="9.26953125" style="53" hidden="1" customWidth="1"/>
    <col min="36" max="36" width="10" style="53" customWidth="1"/>
    <col min="37" max="16384" width="9.1796875" style="53"/>
  </cols>
  <sheetData>
    <row r="1" spans="1:36" x14ac:dyDescent="0.35">
      <c r="A1" s="775" t="s">
        <v>49</v>
      </c>
      <c r="B1" s="776"/>
      <c r="C1" s="777"/>
      <c r="D1" s="49" t="s">
        <v>50</v>
      </c>
      <c r="E1" s="50">
        <v>1</v>
      </c>
      <c r="F1" s="50">
        <v>2</v>
      </c>
      <c r="G1" s="50">
        <v>3</v>
      </c>
      <c r="H1" s="50">
        <v>4</v>
      </c>
      <c r="I1" s="50">
        <v>5</v>
      </c>
      <c r="J1" s="50">
        <v>6</v>
      </c>
      <c r="K1" s="50">
        <v>7</v>
      </c>
      <c r="L1" s="50">
        <v>8</v>
      </c>
      <c r="M1" s="50">
        <v>9</v>
      </c>
      <c r="N1" s="50">
        <v>10</v>
      </c>
      <c r="O1" s="50">
        <v>11</v>
      </c>
      <c r="P1" s="50">
        <v>12</v>
      </c>
      <c r="Q1" s="50">
        <v>13</v>
      </c>
      <c r="R1" s="50">
        <v>14</v>
      </c>
      <c r="S1" s="50">
        <v>15</v>
      </c>
      <c r="T1" s="50">
        <v>16</v>
      </c>
      <c r="U1" s="50">
        <v>17</v>
      </c>
      <c r="V1" s="50">
        <v>18</v>
      </c>
      <c r="W1" s="50">
        <v>19</v>
      </c>
      <c r="X1" s="50">
        <v>20</v>
      </c>
      <c r="Y1" s="51">
        <v>21</v>
      </c>
      <c r="Z1" s="51">
        <v>22</v>
      </c>
      <c r="AA1" s="51">
        <v>23</v>
      </c>
      <c r="AB1" s="51">
        <v>24</v>
      </c>
      <c r="AC1" s="51">
        <v>25</v>
      </c>
      <c r="AD1" s="50">
        <v>26</v>
      </c>
      <c r="AE1" s="50">
        <v>27</v>
      </c>
      <c r="AF1" s="50">
        <v>28</v>
      </c>
      <c r="AG1" s="50"/>
      <c r="AH1" s="50"/>
      <c r="AI1" s="50"/>
      <c r="AJ1" s="52" t="s">
        <v>18</v>
      </c>
    </row>
    <row r="2" spans="1:36" x14ac:dyDescent="0.35">
      <c r="A2" s="772" t="s">
        <v>10</v>
      </c>
      <c r="B2" s="773"/>
      <c r="C2" s="774"/>
      <c r="D2" s="54"/>
      <c r="E2" s="13" t="s">
        <v>51</v>
      </c>
      <c r="F2" s="13">
        <v>10.43</v>
      </c>
      <c r="G2" s="13" t="s">
        <v>51</v>
      </c>
      <c r="H2" s="13" t="s">
        <v>51</v>
      </c>
      <c r="I2" s="13" t="s">
        <v>51</v>
      </c>
      <c r="J2" s="13" t="s">
        <v>51</v>
      </c>
      <c r="K2" s="13">
        <v>212.6</v>
      </c>
      <c r="L2" s="13">
        <v>185.22499999999999</v>
      </c>
      <c r="M2" s="13">
        <v>248.125</v>
      </c>
      <c r="N2" s="13">
        <v>217.04</v>
      </c>
      <c r="O2" s="13">
        <v>191.78</v>
      </c>
      <c r="P2" s="13">
        <v>224.6</v>
      </c>
      <c r="Q2" s="13">
        <v>229.23500000000001</v>
      </c>
      <c r="R2" s="13">
        <v>239.03</v>
      </c>
      <c r="S2" s="13">
        <v>177.14</v>
      </c>
      <c r="T2" s="13">
        <v>68.58</v>
      </c>
      <c r="U2" s="13">
        <v>56.734999999999999</v>
      </c>
      <c r="V2" s="13">
        <v>60.125</v>
      </c>
      <c r="W2" s="13">
        <v>138.04499999999999</v>
      </c>
      <c r="X2" s="13">
        <v>132.495</v>
      </c>
      <c r="Y2" s="13">
        <v>10.455</v>
      </c>
      <c r="Z2" s="13">
        <v>120.58</v>
      </c>
      <c r="AA2" s="13">
        <v>183.42500000000001</v>
      </c>
      <c r="AB2" s="13">
        <v>196.6</v>
      </c>
      <c r="AC2" s="13">
        <v>127.42</v>
      </c>
      <c r="AD2" s="13">
        <v>117.72</v>
      </c>
      <c r="AE2" s="13">
        <v>233.02500000000001</v>
      </c>
      <c r="AF2" s="13">
        <v>151.01</v>
      </c>
      <c r="AG2" s="13"/>
      <c r="AH2" s="13"/>
      <c r="AI2" s="13"/>
      <c r="AJ2" s="55">
        <f t="shared" ref="AJ2:AJ8" si="0">SUM($E2:$AI2)</f>
        <v>3531.42</v>
      </c>
    </row>
    <row r="3" spans="1:36" x14ac:dyDescent="0.35">
      <c r="A3" s="772" t="s">
        <v>52</v>
      </c>
      <c r="B3" s="773"/>
      <c r="C3" s="774"/>
      <c r="D3" s="54"/>
      <c r="E3" s="13" t="s">
        <v>51</v>
      </c>
      <c r="F3" s="13" t="s">
        <v>51</v>
      </c>
      <c r="G3" s="13" t="s">
        <v>51</v>
      </c>
      <c r="H3" s="13" t="s">
        <v>51</v>
      </c>
      <c r="I3" s="13" t="s">
        <v>51</v>
      </c>
      <c r="J3" s="13" t="s">
        <v>51</v>
      </c>
      <c r="K3" s="13">
        <v>106.105</v>
      </c>
      <c r="L3" s="13">
        <v>70.58</v>
      </c>
      <c r="M3" s="13">
        <v>126.405</v>
      </c>
      <c r="N3" s="13">
        <v>105.215</v>
      </c>
      <c r="O3" s="13">
        <v>103.625</v>
      </c>
      <c r="P3" s="13">
        <v>110.6</v>
      </c>
      <c r="Q3" s="13">
        <v>107.49</v>
      </c>
      <c r="R3" s="13">
        <v>126.605</v>
      </c>
      <c r="S3" s="13">
        <v>91.26</v>
      </c>
      <c r="T3" s="13">
        <v>25.86</v>
      </c>
      <c r="U3" s="13">
        <v>18.835000000000001</v>
      </c>
      <c r="V3" s="13">
        <v>29.69</v>
      </c>
      <c r="W3" s="13">
        <v>69.069999999999993</v>
      </c>
      <c r="X3" s="13">
        <v>60.755000000000003</v>
      </c>
      <c r="Y3" s="13">
        <v>10.210000000000001</v>
      </c>
      <c r="Z3" s="13">
        <v>55.19</v>
      </c>
      <c r="AA3" s="13">
        <v>71.724999999999994</v>
      </c>
      <c r="AB3" s="13">
        <v>73.405000000000001</v>
      </c>
      <c r="AC3" s="13">
        <v>42.064999999999998</v>
      </c>
      <c r="AD3" s="13">
        <v>46.685000000000002</v>
      </c>
      <c r="AE3" s="13">
        <v>107.11</v>
      </c>
      <c r="AF3" s="13">
        <v>75.965000000000003</v>
      </c>
      <c r="AG3" s="13"/>
      <c r="AH3" s="13"/>
      <c r="AI3" s="13"/>
      <c r="AJ3" s="55">
        <f t="shared" si="0"/>
        <v>1634.45</v>
      </c>
    </row>
    <row r="4" spans="1:36" ht="15" customHeight="1" x14ac:dyDescent="0.35">
      <c r="A4" s="772" t="s">
        <v>53</v>
      </c>
      <c r="B4" s="773"/>
      <c r="C4" s="774"/>
      <c r="D4" s="54"/>
      <c r="E4" s="13"/>
      <c r="F4" s="13"/>
      <c r="G4" s="13"/>
      <c r="H4" s="13"/>
      <c r="I4" s="13"/>
      <c r="J4" s="13"/>
      <c r="K4" s="13"/>
      <c r="L4" s="13">
        <v>15.705</v>
      </c>
      <c r="M4" s="13"/>
      <c r="N4" s="13"/>
      <c r="O4" s="13"/>
      <c r="P4" s="13"/>
      <c r="Q4" s="13"/>
      <c r="R4" s="13"/>
      <c r="S4" s="13"/>
      <c r="T4" s="13">
        <v>3.9649999999999999</v>
      </c>
      <c r="U4" s="13">
        <v>9.8450000000000006</v>
      </c>
      <c r="V4" s="13"/>
      <c r="W4" s="13"/>
      <c r="X4" s="13"/>
      <c r="Y4" s="13"/>
      <c r="Z4" s="13"/>
      <c r="AA4" s="13">
        <v>20.58</v>
      </c>
      <c r="AB4" s="13">
        <v>17.489999999999998</v>
      </c>
      <c r="AC4" s="13">
        <v>28.46</v>
      </c>
      <c r="AD4" s="13">
        <v>18.105</v>
      </c>
      <c r="AE4" s="13">
        <v>5.375</v>
      </c>
      <c r="AF4" s="13"/>
      <c r="AG4" s="13"/>
      <c r="AH4" s="13"/>
      <c r="AI4" s="13"/>
      <c r="AJ4" s="55">
        <f t="shared" si="0"/>
        <v>119.52499999999999</v>
      </c>
    </row>
    <row r="5" spans="1:36" x14ac:dyDescent="0.35">
      <c r="A5" s="772" t="s">
        <v>54</v>
      </c>
      <c r="B5" s="773"/>
      <c r="C5" s="774"/>
      <c r="D5" s="54"/>
      <c r="E5" s="13">
        <v>101.94</v>
      </c>
      <c r="F5" s="13">
        <v>90.89</v>
      </c>
      <c r="G5" s="13">
        <v>75.814999999999998</v>
      </c>
      <c r="H5" s="13">
        <v>89.68</v>
      </c>
      <c r="I5" s="13">
        <v>83.924999999999997</v>
      </c>
      <c r="J5" s="13">
        <v>69.55</v>
      </c>
      <c r="K5" s="13">
        <v>78.965000000000003</v>
      </c>
      <c r="L5" s="13">
        <v>103.795</v>
      </c>
      <c r="M5" s="13">
        <v>89.48</v>
      </c>
      <c r="N5" s="13">
        <v>97.32</v>
      </c>
      <c r="O5" s="13">
        <v>100.36</v>
      </c>
      <c r="P5" s="13">
        <v>98.114999999999995</v>
      </c>
      <c r="Q5" s="13">
        <v>97.265000000000001</v>
      </c>
      <c r="R5" s="13">
        <v>92.83</v>
      </c>
      <c r="S5" s="13">
        <v>96.724999999999994</v>
      </c>
      <c r="T5" s="13">
        <v>95.674999999999997</v>
      </c>
      <c r="U5" s="13">
        <v>94.63</v>
      </c>
      <c r="V5" s="13">
        <v>92.605000000000004</v>
      </c>
      <c r="W5" s="13">
        <v>90.62</v>
      </c>
      <c r="X5" s="13">
        <v>96.04</v>
      </c>
      <c r="Y5" s="13">
        <v>91.42</v>
      </c>
      <c r="Z5" s="13">
        <v>91.41</v>
      </c>
      <c r="AA5" s="13">
        <v>87.73</v>
      </c>
      <c r="AB5" s="13">
        <v>85.88</v>
      </c>
      <c r="AC5" s="13">
        <v>82.43</v>
      </c>
      <c r="AD5" s="13">
        <v>84.8</v>
      </c>
      <c r="AE5" s="13">
        <v>90.48</v>
      </c>
      <c r="AF5" s="13">
        <v>103.44</v>
      </c>
      <c r="AG5" s="13"/>
      <c r="AH5" s="13"/>
      <c r="AI5" s="13"/>
      <c r="AJ5" s="55">
        <f t="shared" si="0"/>
        <v>2553.8149999999996</v>
      </c>
    </row>
    <row r="6" spans="1:36" x14ac:dyDescent="0.35">
      <c r="A6" s="772" t="s">
        <v>14</v>
      </c>
      <c r="B6" s="773"/>
      <c r="C6" s="774"/>
      <c r="D6" s="54"/>
      <c r="E6" s="13" t="s">
        <v>55</v>
      </c>
      <c r="F6" s="13" t="s">
        <v>55</v>
      </c>
      <c r="G6" s="13" t="s">
        <v>55</v>
      </c>
      <c r="H6" s="13" t="s">
        <v>55</v>
      </c>
      <c r="I6" s="13" t="s">
        <v>55</v>
      </c>
      <c r="J6" s="13" t="s">
        <v>55</v>
      </c>
      <c r="K6" s="13">
        <v>22.74</v>
      </c>
      <c r="L6" s="13">
        <v>22.43</v>
      </c>
      <c r="M6" s="13">
        <v>1.6850000000000001</v>
      </c>
      <c r="N6" s="13">
        <v>2.19</v>
      </c>
      <c r="O6" s="13">
        <v>2.3250000000000002</v>
      </c>
      <c r="P6" s="13">
        <v>1.4750000000000001</v>
      </c>
      <c r="Q6" s="13" t="s">
        <v>15</v>
      </c>
      <c r="R6" s="13">
        <v>48.05</v>
      </c>
      <c r="S6" s="13">
        <v>54.76</v>
      </c>
      <c r="T6" s="13">
        <v>47.085000000000001</v>
      </c>
      <c r="U6" s="13">
        <v>51.935000000000002</v>
      </c>
      <c r="V6" s="14">
        <v>36.905000000000001</v>
      </c>
      <c r="W6" s="13">
        <v>35.715000000000003</v>
      </c>
      <c r="X6" s="13" t="s">
        <v>15</v>
      </c>
      <c r="Y6" s="13">
        <v>22.99</v>
      </c>
      <c r="Z6" s="13">
        <v>76.215000000000003</v>
      </c>
      <c r="AA6" s="13">
        <v>53.344999999999999</v>
      </c>
      <c r="AB6" s="13">
        <v>56.835000000000001</v>
      </c>
      <c r="AC6" s="13">
        <v>52.39</v>
      </c>
      <c r="AD6" s="13">
        <v>74.11</v>
      </c>
      <c r="AE6" s="13">
        <v>33.56</v>
      </c>
      <c r="AF6" s="13" t="s">
        <v>15</v>
      </c>
      <c r="AG6" s="13"/>
      <c r="AH6" s="13"/>
      <c r="AI6" s="13"/>
      <c r="AJ6" s="55">
        <f t="shared" si="0"/>
        <v>696.74000000000024</v>
      </c>
    </row>
    <row r="7" spans="1:36" x14ac:dyDescent="0.35">
      <c r="A7" s="772" t="s">
        <v>16</v>
      </c>
      <c r="B7" s="773"/>
      <c r="C7" s="774"/>
      <c r="D7" s="54"/>
      <c r="E7" s="13"/>
      <c r="F7" s="25"/>
      <c r="G7" s="13"/>
      <c r="H7" s="25"/>
      <c r="I7" s="25"/>
      <c r="J7" s="25"/>
      <c r="K7" s="25"/>
      <c r="L7" s="25"/>
      <c r="M7" s="25"/>
      <c r="N7" s="25"/>
      <c r="O7" s="13"/>
      <c r="P7" s="56"/>
      <c r="Q7" s="12"/>
      <c r="R7" s="13"/>
      <c r="S7" s="13"/>
      <c r="T7" s="25"/>
      <c r="U7" s="57"/>
      <c r="V7" s="25"/>
      <c r="W7" s="25"/>
      <c r="X7" s="13"/>
      <c r="Y7" s="13"/>
      <c r="Z7" s="13"/>
      <c r="AA7" s="13"/>
      <c r="AB7" s="25"/>
      <c r="AC7" s="25"/>
      <c r="AD7" s="13"/>
      <c r="AE7" s="25"/>
      <c r="AF7" s="25"/>
      <c r="AG7" s="13"/>
      <c r="AH7" s="13"/>
      <c r="AI7" s="13"/>
      <c r="AJ7" s="55">
        <f t="shared" si="0"/>
        <v>0</v>
      </c>
    </row>
    <row r="8" spans="1:36" x14ac:dyDescent="0.35">
      <c r="A8" s="772" t="s">
        <v>56</v>
      </c>
      <c r="B8" s="781"/>
      <c r="C8" s="782"/>
      <c r="D8" s="60"/>
      <c r="E8" s="13">
        <v>0</v>
      </c>
      <c r="F8" s="13">
        <v>0</v>
      </c>
      <c r="G8" s="61">
        <v>0</v>
      </c>
      <c r="H8" s="13">
        <v>0</v>
      </c>
      <c r="I8" s="13">
        <v>0</v>
      </c>
      <c r="J8" s="61">
        <v>0</v>
      </c>
      <c r="K8" s="12">
        <v>0.06</v>
      </c>
      <c r="L8" s="61">
        <v>0.23499999999999999</v>
      </c>
      <c r="M8" s="13">
        <v>0</v>
      </c>
      <c r="N8" s="13">
        <v>0</v>
      </c>
      <c r="O8" s="13">
        <v>0</v>
      </c>
      <c r="P8" s="13">
        <v>0</v>
      </c>
      <c r="Q8" s="13">
        <v>4.4999999999999998E-2</v>
      </c>
      <c r="R8" s="13">
        <v>0.17</v>
      </c>
      <c r="S8" s="13">
        <v>0.115</v>
      </c>
      <c r="T8" s="13">
        <v>0.24</v>
      </c>
      <c r="U8" s="13">
        <v>0.1</v>
      </c>
      <c r="V8" s="13">
        <v>0.63</v>
      </c>
      <c r="W8" s="13">
        <v>0.12</v>
      </c>
      <c r="X8" s="61">
        <v>9.5000000000000001E-2</v>
      </c>
      <c r="Y8" s="61">
        <v>0.13500000000000001</v>
      </c>
      <c r="Z8" s="13">
        <v>0.77</v>
      </c>
      <c r="AA8" s="13">
        <v>0.105</v>
      </c>
      <c r="AB8" s="13">
        <v>0.30499999999999999</v>
      </c>
      <c r="AC8" s="13">
        <v>0.56000000000000005</v>
      </c>
      <c r="AD8" s="13">
        <v>0.38500000000000001</v>
      </c>
      <c r="AE8" s="13">
        <v>0.14499999999999999</v>
      </c>
      <c r="AF8" s="13">
        <v>0</v>
      </c>
      <c r="AG8" s="13"/>
      <c r="AH8" s="13"/>
      <c r="AI8" s="13"/>
      <c r="AJ8" s="55">
        <f t="shared" si="0"/>
        <v>4.2149999999999999</v>
      </c>
    </row>
    <row r="9" spans="1:36" x14ac:dyDescent="0.35">
      <c r="A9" s="62"/>
      <c r="B9" s="58" t="s">
        <v>57</v>
      </c>
      <c r="C9" s="59"/>
      <c r="D9" s="60"/>
      <c r="E9" s="12">
        <f>E8+D9</f>
        <v>0</v>
      </c>
      <c r="F9" s="12">
        <f t="shared" ref="F9:AF9" si="1">F8+E9</f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0.06</v>
      </c>
      <c r="L9" s="12">
        <f t="shared" si="1"/>
        <v>0.29499999999999998</v>
      </c>
      <c r="M9" s="12">
        <f t="shared" si="1"/>
        <v>0.29499999999999998</v>
      </c>
      <c r="N9" s="12">
        <f t="shared" si="1"/>
        <v>0.29499999999999998</v>
      </c>
      <c r="O9" s="12">
        <f t="shared" si="1"/>
        <v>0.29499999999999998</v>
      </c>
      <c r="P9" s="12">
        <f t="shared" si="1"/>
        <v>0.29499999999999998</v>
      </c>
      <c r="Q9" s="12">
        <f t="shared" si="1"/>
        <v>0.33999999999999997</v>
      </c>
      <c r="R9" s="12">
        <f t="shared" si="1"/>
        <v>0.51</v>
      </c>
      <c r="S9" s="12">
        <f t="shared" si="1"/>
        <v>0.625</v>
      </c>
      <c r="T9" s="12">
        <f t="shared" si="1"/>
        <v>0.86499999999999999</v>
      </c>
      <c r="U9" s="12">
        <f t="shared" si="1"/>
        <v>0.96499999999999997</v>
      </c>
      <c r="V9" s="12">
        <f t="shared" si="1"/>
        <v>1.595</v>
      </c>
      <c r="W9" s="12">
        <f t="shared" si="1"/>
        <v>1.7149999999999999</v>
      </c>
      <c r="X9" s="12">
        <f t="shared" si="1"/>
        <v>1.8099999999999998</v>
      </c>
      <c r="Y9" s="12">
        <f t="shared" si="1"/>
        <v>1.9449999999999998</v>
      </c>
      <c r="Z9" s="12">
        <f t="shared" si="1"/>
        <v>2.7149999999999999</v>
      </c>
      <c r="AA9" s="12">
        <f t="shared" si="1"/>
        <v>2.82</v>
      </c>
      <c r="AB9" s="12">
        <f t="shared" si="1"/>
        <v>3.125</v>
      </c>
      <c r="AC9" s="12">
        <f t="shared" si="1"/>
        <v>3.6850000000000001</v>
      </c>
      <c r="AD9" s="12">
        <f t="shared" si="1"/>
        <v>4.07</v>
      </c>
      <c r="AE9" s="12">
        <f t="shared" si="1"/>
        <v>4.2149999999999999</v>
      </c>
      <c r="AF9" s="12">
        <f t="shared" si="1"/>
        <v>4.2149999999999999</v>
      </c>
      <c r="AG9" s="12"/>
      <c r="AH9" s="12"/>
      <c r="AI9" s="12"/>
    </row>
    <row r="10" spans="1:36" x14ac:dyDescent="0.35">
      <c r="A10" s="783" t="s">
        <v>58</v>
      </c>
      <c r="B10" s="786" t="s">
        <v>59</v>
      </c>
      <c r="C10" s="787"/>
      <c r="D10" s="63"/>
      <c r="E10" s="25">
        <v>1071.453</v>
      </c>
      <c r="F10" s="25">
        <v>1125.4580000000001</v>
      </c>
      <c r="G10" s="25">
        <v>802.06600000000003</v>
      </c>
      <c r="H10" s="25">
        <v>824.61099999999999</v>
      </c>
      <c r="I10" s="25">
        <v>835.07100000000003</v>
      </c>
      <c r="J10" s="25">
        <v>835.07100000000003</v>
      </c>
      <c r="K10" s="25">
        <v>808.73599999999999</v>
      </c>
      <c r="L10" s="25">
        <v>665.89099999999996</v>
      </c>
      <c r="M10" s="25">
        <v>603.971</v>
      </c>
      <c r="N10" s="25">
        <v>603.25400000000002</v>
      </c>
      <c r="O10" s="25">
        <v>582.36199999999997</v>
      </c>
      <c r="P10" s="25">
        <v>680.322</v>
      </c>
      <c r="Q10" s="25">
        <v>772.27200000000005</v>
      </c>
      <c r="R10" s="25">
        <v>728.92200000000003</v>
      </c>
      <c r="S10" s="25">
        <v>775.45699999999999</v>
      </c>
      <c r="T10" s="25">
        <v>807.97699999999998</v>
      </c>
      <c r="U10" s="25">
        <v>807.04200000000003</v>
      </c>
      <c r="V10" s="25">
        <v>827.03700000000003</v>
      </c>
      <c r="W10" s="25">
        <v>953.37199999999996</v>
      </c>
      <c r="X10" s="25">
        <v>1031.252</v>
      </c>
      <c r="Y10" s="25">
        <v>1062.537</v>
      </c>
      <c r="Z10" s="25">
        <v>1184.7470000000001</v>
      </c>
      <c r="AA10" s="25">
        <v>1156.182</v>
      </c>
      <c r="AB10" s="25">
        <v>1071.7619999999999</v>
      </c>
      <c r="AC10" s="25">
        <v>799.87199999999996</v>
      </c>
      <c r="AD10" s="25">
        <v>680.66200000000003</v>
      </c>
      <c r="AE10" s="25">
        <v>746.197</v>
      </c>
      <c r="AF10" s="25">
        <v>751.44200000000001</v>
      </c>
      <c r="AG10" s="25"/>
      <c r="AH10" s="25"/>
      <c r="AI10" s="25"/>
    </row>
    <row r="11" spans="1:36" x14ac:dyDescent="0.35">
      <c r="A11" s="784"/>
      <c r="B11" s="786" t="s">
        <v>22</v>
      </c>
      <c r="C11" s="787"/>
      <c r="D11" s="63"/>
      <c r="E11" s="25">
        <v>69.724999999999994</v>
      </c>
      <c r="F11" s="25">
        <v>69.724999999999994</v>
      </c>
      <c r="G11" s="25">
        <v>69.724999999999994</v>
      </c>
      <c r="H11" s="25">
        <v>69.724999999999994</v>
      </c>
      <c r="I11" s="25">
        <v>69.724999999999994</v>
      </c>
      <c r="J11" s="25">
        <v>69.724999999999994</v>
      </c>
      <c r="K11" s="25">
        <v>70.015000000000001</v>
      </c>
      <c r="L11" s="25">
        <v>70.015000000000001</v>
      </c>
      <c r="M11" s="25">
        <v>70.015000000000001</v>
      </c>
      <c r="N11" s="25">
        <v>70.015000000000001</v>
      </c>
      <c r="O11" s="25">
        <v>70.015000000000001</v>
      </c>
      <c r="P11" s="25">
        <v>70.015000000000001</v>
      </c>
      <c r="Q11" s="25">
        <v>70.015000000000001</v>
      </c>
      <c r="R11" s="25">
        <v>70.015000000000001</v>
      </c>
      <c r="S11" s="25">
        <v>70.459999999999994</v>
      </c>
      <c r="T11" s="25">
        <v>70.459999999999994</v>
      </c>
      <c r="U11" s="25">
        <v>70.459999999999994</v>
      </c>
      <c r="V11" s="25">
        <v>70.894999999999996</v>
      </c>
      <c r="W11" s="25">
        <v>70.894999999999996</v>
      </c>
      <c r="X11" s="25">
        <v>70.894999999999996</v>
      </c>
      <c r="Y11" s="25">
        <v>70.894999999999996</v>
      </c>
      <c r="Z11" s="25">
        <v>70.894999999999996</v>
      </c>
      <c r="AA11" s="25">
        <v>70.894999999999996</v>
      </c>
      <c r="AB11" s="25">
        <v>70.894999999999996</v>
      </c>
      <c r="AC11" s="25">
        <v>71.875</v>
      </c>
      <c r="AD11" s="25">
        <v>75.254999999999995</v>
      </c>
      <c r="AE11" s="25">
        <v>75.254999999999995</v>
      </c>
      <c r="AF11" s="25">
        <v>75.254999999999995</v>
      </c>
      <c r="AG11" s="25"/>
      <c r="AH11" s="25"/>
      <c r="AI11" s="25"/>
    </row>
    <row r="12" spans="1:36" x14ac:dyDescent="0.35">
      <c r="A12" s="785"/>
      <c r="B12" s="786" t="s">
        <v>60</v>
      </c>
      <c r="C12" s="787"/>
      <c r="D12" s="63"/>
      <c r="E12" s="25">
        <v>2.9540000000000002</v>
      </c>
      <c r="F12" s="25">
        <v>2.9540000000000002</v>
      </c>
      <c r="G12" s="25">
        <v>2.9540000000000002</v>
      </c>
      <c r="H12" s="25">
        <v>2.9540000000000002</v>
      </c>
      <c r="I12" s="25">
        <v>2.9540000000000002</v>
      </c>
      <c r="J12" s="25">
        <v>2.9540000000000002</v>
      </c>
      <c r="K12" s="25">
        <v>2.9540000000000002</v>
      </c>
      <c r="L12" s="25">
        <v>2.9540000000000002</v>
      </c>
      <c r="M12" s="25">
        <v>2.9540000000000002</v>
      </c>
      <c r="N12" s="25">
        <v>2.9540000000000002</v>
      </c>
      <c r="O12" s="25">
        <v>2.9540000000000002</v>
      </c>
      <c r="P12" s="25">
        <v>2.9540000000000002</v>
      </c>
      <c r="Q12" s="25">
        <v>2.9540000000000002</v>
      </c>
      <c r="R12" s="25">
        <v>2.9540000000000002</v>
      </c>
      <c r="S12" s="25">
        <v>2.9540000000000002</v>
      </c>
      <c r="T12" s="25">
        <v>2.9540000000000002</v>
      </c>
      <c r="U12" s="25">
        <v>2.9540000000000002</v>
      </c>
      <c r="V12" s="25">
        <v>2.9540000000000002</v>
      </c>
      <c r="W12" s="25">
        <v>2.9540000000000002</v>
      </c>
      <c r="X12" s="25">
        <v>2.9540000000000002</v>
      </c>
      <c r="Y12" s="25">
        <v>2.9540000000000002</v>
      </c>
      <c r="Z12" s="25">
        <v>2.9540000000000002</v>
      </c>
      <c r="AA12" s="25">
        <v>3.1190000000000002</v>
      </c>
      <c r="AB12" s="25">
        <v>3.1190000000000002</v>
      </c>
      <c r="AC12" s="25">
        <v>3.1190000000000002</v>
      </c>
      <c r="AD12" s="25">
        <v>3.1190000000000002</v>
      </c>
      <c r="AE12" s="25">
        <v>3.1190000000000002</v>
      </c>
      <c r="AF12" s="25">
        <v>3.1190000000000002</v>
      </c>
      <c r="AG12" s="13"/>
      <c r="AH12" s="13"/>
      <c r="AI12" s="13"/>
    </row>
    <row r="13" spans="1:36" x14ac:dyDescent="0.35">
      <c r="A13" s="64"/>
      <c r="B13" s="65" t="s">
        <v>18</v>
      </c>
      <c r="C13" s="66"/>
      <c r="D13" s="49"/>
      <c r="E13" s="35">
        <f>SUM(E10:E12)</f>
        <v>1144.1319999999998</v>
      </c>
      <c r="F13" s="35">
        <f t="shared" ref="F13:AF13" si="2">SUM(F10:F12)</f>
        <v>1198.1369999999999</v>
      </c>
      <c r="G13" s="35">
        <f t="shared" si="2"/>
        <v>874.745</v>
      </c>
      <c r="H13" s="35">
        <f t="shared" si="2"/>
        <v>897.29</v>
      </c>
      <c r="I13" s="35">
        <f t="shared" si="2"/>
        <v>907.75</v>
      </c>
      <c r="J13" s="35">
        <f t="shared" si="2"/>
        <v>907.75</v>
      </c>
      <c r="K13" s="35">
        <f t="shared" si="2"/>
        <v>881.70499999999993</v>
      </c>
      <c r="L13" s="35">
        <f t="shared" si="2"/>
        <v>738.8599999999999</v>
      </c>
      <c r="M13" s="35">
        <f t="shared" si="2"/>
        <v>676.93999999999994</v>
      </c>
      <c r="N13" s="35">
        <f t="shared" si="2"/>
        <v>676.22299999999996</v>
      </c>
      <c r="O13" s="35">
        <f t="shared" si="2"/>
        <v>655.3309999999999</v>
      </c>
      <c r="P13" s="35">
        <f t="shared" si="2"/>
        <v>753.29099999999994</v>
      </c>
      <c r="Q13" s="35">
        <f t="shared" si="2"/>
        <v>845.24099999999999</v>
      </c>
      <c r="R13" s="35">
        <f t="shared" si="2"/>
        <v>801.89099999999996</v>
      </c>
      <c r="S13" s="35">
        <f t="shared" si="2"/>
        <v>848.87099999999998</v>
      </c>
      <c r="T13" s="35">
        <f t="shared" si="2"/>
        <v>881.39099999999996</v>
      </c>
      <c r="U13" s="35">
        <f t="shared" si="2"/>
        <v>880.45600000000002</v>
      </c>
      <c r="V13" s="35">
        <f t="shared" si="2"/>
        <v>900.88599999999997</v>
      </c>
      <c r="W13" s="35">
        <f t="shared" si="2"/>
        <v>1027.221</v>
      </c>
      <c r="X13" s="35">
        <f t="shared" si="2"/>
        <v>1105.1009999999999</v>
      </c>
      <c r="Y13" s="35">
        <f t="shared" si="2"/>
        <v>1136.386</v>
      </c>
      <c r="Z13" s="35">
        <f t="shared" si="2"/>
        <v>1258.596</v>
      </c>
      <c r="AA13" s="35">
        <f t="shared" si="2"/>
        <v>1230.1959999999999</v>
      </c>
      <c r="AB13" s="35">
        <f t="shared" si="2"/>
        <v>1145.7759999999998</v>
      </c>
      <c r="AC13" s="35">
        <f t="shared" si="2"/>
        <v>874.86599999999999</v>
      </c>
      <c r="AD13" s="35">
        <f t="shared" si="2"/>
        <v>759.03600000000006</v>
      </c>
      <c r="AE13" s="35">
        <f t="shared" si="2"/>
        <v>824.57100000000003</v>
      </c>
      <c r="AF13" s="35">
        <f t="shared" si="2"/>
        <v>829.81600000000003</v>
      </c>
      <c r="AG13" s="35"/>
      <c r="AH13" s="35"/>
      <c r="AI13" s="35"/>
    </row>
    <row r="14" spans="1:36" x14ac:dyDescent="0.35">
      <c r="A14" s="64"/>
      <c r="B14" s="65" t="s">
        <v>61</v>
      </c>
      <c r="C14" s="66"/>
      <c r="D14" s="49"/>
      <c r="E14" s="50">
        <v>500</v>
      </c>
      <c r="F14" s="50">
        <v>500</v>
      </c>
      <c r="G14" s="50">
        <v>500</v>
      </c>
      <c r="H14" s="50">
        <v>500</v>
      </c>
      <c r="I14" s="50">
        <v>500</v>
      </c>
      <c r="J14" s="50">
        <v>500</v>
      </c>
      <c r="K14" s="50">
        <v>500</v>
      </c>
      <c r="L14" s="50">
        <v>500</v>
      </c>
      <c r="M14" s="50">
        <v>500</v>
      </c>
      <c r="N14" s="50">
        <v>500</v>
      </c>
      <c r="O14" s="50">
        <v>500</v>
      </c>
      <c r="P14" s="50">
        <v>500</v>
      </c>
      <c r="Q14" s="50">
        <v>500</v>
      </c>
      <c r="R14" s="50">
        <v>500</v>
      </c>
      <c r="S14" s="50">
        <v>500</v>
      </c>
      <c r="T14" s="50">
        <v>500</v>
      </c>
      <c r="U14" s="50">
        <v>500</v>
      </c>
      <c r="V14" s="50">
        <v>500</v>
      </c>
      <c r="W14" s="50">
        <v>500</v>
      </c>
      <c r="X14" s="50">
        <v>500</v>
      </c>
      <c r="Y14" s="50">
        <v>500</v>
      </c>
      <c r="Z14" s="50">
        <v>500</v>
      </c>
      <c r="AA14" s="50">
        <v>500</v>
      </c>
      <c r="AB14" s="50">
        <v>500</v>
      </c>
      <c r="AC14" s="50">
        <v>500</v>
      </c>
      <c r="AD14" s="50">
        <v>500</v>
      </c>
      <c r="AE14" s="50">
        <v>500</v>
      </c>
      <c r="AF14" s="50">
        <v>500</v>
      </c>
      <c r="AG14" s="50"/>
      <c r="AH14" s="50"/>
      <c r="AI14" s="50"/>
    </row>
    <row r="15" spans="1:36" x14ac:dyDescent="0.35">
      <c r="A15" s="788" t="s">
        <v>62</v>
      </c>
      <c r="B15" s="789"/>
      <c r="C15" s="790"/>
      <c r="D15" s="49"/>
      <c r="E15" s="25">
        <v>1320.1669999999999</v>
      </c>
      <c r="F15" s="25">
        <v>1238.6220000000001</v>
      </c>
      <c r="G15" s="25">
        <v>1238.4570000000001</v>
      </c>
      <c r="H15" s="25">
        <v>1190.837</v>
      </c>
      <c r="I15" s="25">
        <v>1180.1569999999999</v>
      </c>
      <c r="J15" s="25">
        <v>1179.847</v>
      </c>
      <c r="K15" s="25">
        <v>1263.097</v>
      </c>
      <c r="L15" s="25">
        <v>1252.672</v>
      </c>
      <c r="M15" s="25">
        <v>1348.0070000000001</v>
      </c>
      <c r="N15" s="25">
        <v>1453.192</v>
      </c>
      <c r="O15" s="25">
        <v>1556.5070000000001</v>
      </c>
      <c r="P15" s="25">
        <v>1568.5920000000001</v>
      </c>
      <c r="Q15" s="25">
        <v>1578.307</v>
      </c>
      <c r="R15" s="25">
        <v>1568.202</v>
      </c>
      <c r="S15" s="25">
        <v>1522.2619999999999</v>
      </c>
      <c r="T15" s="25">
        <v>1414.1569999999999</v>
      </c>
      <c r="U15" s="25">
        <v>1284.742</v>
      </c>
      <c r="V15" s="25">
        <v>1194.0319999999999</v>
      </c>
      <c r="W15" s="25">
        <v>1135.3219999999999</v>
      </c>
      <c r="X15" s="25">
        <v>1117.777</v>
      </c>
      <c r="Y15" s="25">
        <v>1047.192</v>
      </c>
      <c r="Z15" s="25">
        <v>971.93700000000001</v>
      </c>
      <c r="AA15" s="25">
        <v>959.75199999999995</v>
      </c>
      <c r="AB15" s="25">
        <v>927.91200000000003</v>
      </c>
      <c r="AC15" s="25">
        <v>890.46199999999999</v>
      </c>
      <c r="AD15" s="25">
        <v>813.91700000000003</v>
      </c>
      <c r="AE15" s="25">
        <v>854.47199999999998</v>
      </c>
      <c r="AF15" s="25">
        <v>915.75699999999995</v>
      </c>
      <c r="AG15" s="25"/>
      <c r="AH15" s="25"/>
      <c r="AI15" s="25"/>
    </row>
    <row r="16" spans="1:36" x14ac:dyDescent="0.35">
      <c r="A16" s="788" t="s">
        <v>63</v>
      </c>
      <c r="B16" s="789"/>
      <c r="C16" s="790"/>
      <c r="D16" s="49"/>
      <c r="E16" s="25">
        <v>57.07</v>
      </c>
      <c r="F16" s="25">
        <v>57.07</v>
      </c>
      <c r="G16" s="25">
        <v>57.07</v>
      </c>
      <c r="H16" s="25">
        <v>57.07</v>
      </c>
      <c r="I16" s="25">
        <v>57.07</v>
      </c>
      <c r="J16" s="25">
        <v>57.07</v>
      </c>
      <c r="K16" s="25">
        <v>57.07</v>
      </c>
      <c r="L16" s="25">
        <v>44.37</v>
      </c>
      <c r="M16" s="25">
        <v>38.494999999999997</v>
      </c>
      <c r="N16" s="25">
        <v>38.494999999999997</v>
      </c>
      <c r="O16" s="25">
        <v>38.494999999999997</v>
      </c>
      <c r="P16" s="25">
        <v>38.494999999999997</v>
      </c>
      <c r="Q16" s="25">
        <v>43.81</v>
      </c>
      <c r="R16" s="25">
        <v>48.86</v>
      </c>
      <c r="S16" s="25">
        <v>39.58</v>
      </c>
      <c r="T16" s="25">
        <v>39.58</v>
      </c>
      <c r="U16" s="25">
        <v>39.58</v>
      </c>
      <c r="V16" s="25">
        <v>34.704999999999998</v>
      </c>
      <c r="W16" s="25">
        <v>34.704999999999998</v>
      </c>
      <c r="X16" s="25">
        <v>34.704999999999998</v>
      </c>
      <c r="Y16" s="25">
        <v>34.704999999999998</v>
      </c>
      <c r="Z16" s="25">
        <v>40.375</v>
      </c>
      <c r="AA16" s="25">
        <v>50.545000000000002</v>
      </c>
      <c r="AB16" s="25">
        <v>34.409999999999997</v>
      </c>
      <c r="AC16" s="25">
        <v>34.85</v>
      </c>
      <c r="AD16" s="25">
        <v>28.74</v>
      </c>
      <c r="AE16" s="25">
        <v>28.74</v>
      </c>
      <c r="AF16" s="25">
        <v>40.875</v>
      </c>
      <c r="AG16" s="25"/>
      <c r="AH16" s="25"/>
      <c r="AI16" s="25"/>
    </row>
    <row r="17" spans="1:35" ht="15" customHeight="1" x14ac:dyDescent="0.35">
      <c r="A17" s="791" t="s">
        <v>64</v>
      </c>
      <c r="B17" s="67" t="s">
        <v>27</v>
      </c>
      <c r="C17" s="68" t="s">
        <v>18</v>
      </c>
      <c r="D17" s="49"/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/>
      <c r="AH17" s="25"/>
      <c r="AI17" s="25"/>
    </row>
    <row r="18" spans="1:35" ht="15" customHeight="1" x14ac:dyDescent="0.35">
      <c r="A18" s="792"/>
      <c r="B18" s="69" t="s">
        <v>28</v>
      </c>
      <c r="C18" s="70" t="s">
        <v>18</v>
      </c>
      <c r="D18" s="63"/>
      <c r="E18" s="25">
        <v>49.287999999999997</v>
      </c>
      <c r="F18" s="25">
        <v>49.287999999999997</v>
      </c>
      <c r="G18" s="25">
        <v>49.287999999999997</v>
      </c>
      <c r="H18" s="25">
        <v>49.287999999999997</v>
      </c>
      <c r="I18" s="25">
        <v>49.287999999999997</v>
      </c>
      <c r="J18" s="25">
        <v>49.287999999999997</v>
      </c>
      <c r="K18" s="25">
        <v>49.287999999999997</v>
      </c>
      <c r="L18" s="25">
        <v>49.287999999999997</v>
      </c>
      <c r="M18" s="25">
        <v>49.287999999999997</v>
      </c>
      <c r="N18" s="25">
        <v>49.287999999999997</v>
      </c>
      <c r="O18" s="25">
        <v>49.287999999999997</v>
      </c>
      <c r="P18" s="25">
        <v>49.287999999999997</v>
      </c>
      <c r="Q18" s="25">
        <v>49.287999999999997</v>
      </c>
      <c r="R18" s="25">
        <v>49.287999999999997</v>
      </c>
      <c r="S18" s="25">
        <v>49.287999999999997</v>
      </c>
      <c r="T18" s="25">
        <v>49.287999999999997</v>
      </c>
      <c r="U18" s="25">
        <v>49.287999999999997</v>
      </c>
      <c r="V18" s="25">
        <v>49.287999999999997</v>
      </c>
      <c r="W18" s="25">
        <v>49.287999999999997</v>
      </c>
      <c r="X18" s="25">
        <v>49.287999999999997</v>
      </c>
      <c r="Y18" s="25">
        <v>49.287999999999997</v>
      </c>
      <c r="Z18" s="25">
        <v>49.287999999999997</v>
      </c>
      <c r="AA18" s="25">
        <v>49.287999999999997</v>
      </c>
      <c r="AB18" s="25">
        <v>49.287999999999997</v>
      </c>
      <c r="AC18" s="25">
        <v>49.287999999999997</v>
      </c>
      <c r="AD18" s="25">
        <v>49.287999999999997</v>
      </c>
      <c r="AE18" s="25">
        <v>49.287999999999997</v>
      </c>
      <c r="AF18" s="25">
        <v>49.287999999999997</v>
      </c>
      <c r="AG18" s="25"/>
      <c r="AH18" s="25"/>
      <c r="AI18" s="25"/>
    </row>
    <row r="19" spans="1:35" ht="15" customHeight="1" x14ac:dyDescent="0.35">
      <c r="A19" s="792"/>
      <c r="B19" s="71" t="s">
        <v>29</v>
      </c>
      <c r="C19" s="72" t="s">
        <v>18</v>
      </c>
      <c r="D19" s="73"/>
      <c r="E19" s="25">
        <v>700.21600000000001</v>
      </c>
      <c r="F19" s="25">
        <v>700.21600000000001</v>
      </c>
      <c r="G19" s="25">
        <v>700.21600000000001</v>
      </c>
      <c r="H19" s="25">
        <v>700.21600000000001</v>
      </c>
      <c r="I19" s="25">
        <v>700.21600000000001</v>
      </c>
      <c r="J19" s="25">
        <v>700.21600000000001</v>
      </c>
      <c r="K19" s="25">
        <v>700.21600000000001</v>
      </c>
      <c r="L19" s="25">
        <v>700.21600000000001</v>
      </c>
      <c r="M19" s="25">
        <v>700.21600000000001</v>
      </c>
      <c r="N19" s="25">
        <v>700.21600000000001</v>
      </c>
      <c r="O19" s="25">
        <v>700.21600000000001</v>
      </c>
      <c r="P19" s="25">
        <v>700.21600000000001</v>
      </c>
      <c r="Q19" s="25">
        <v>700.21600000000001</v>
      </c>
      <c r="R19" s="25">
        <v>700.21600000000001</v>
      </c>
      <c r="S19" s="25">
        <v>700.21600000000001</v>
      </c>
      <c r="T19" s="25">
        <v>700.21600000000001</v>
      </c>
      <c r="U19" s="25">
        <v>700.21600000000001</v>
      </c>
      <c r="V19" s="25">
        <v>700.21600000000001</v>
      </c>
      <c r="W19" s="25">
        <v>700.21600000000001</v>
      </c>
      <c r="X19" s="25">
        <v>700.21600000000001</v>
      </c>
      <c r="Y19" s="25">
        <v>700.21600000000001</v>
      </c>
      <c r="Z19" s="25">
        <v>700.21600000000001</v>
      </c>
      <c r="AA19" s="25">
        <v>700.21600000000001</v>
      </c>
      <c r="AB19" s="25">
        <v>700.21600000000001</v>
      </c>
      <c r="AC19" s="25">
        <v>700.21600000000001</v>
      </c>
      <c r="AD19" s="25">
        <v>700.21600000000001</v>
      </c>
      <c r="AE19" s="25">
        <v>700.21600000000001</v>
      </c>
      <c r="AF19" s="25">
        <v>700.21600000000001</v>
      </c>
      <c r="AG19" s="25"/>
      <c r="AH19" s="25"/>
      <c r="AI19" s="25"/>
    </row>
    <row r="20" spans="1:35" x14ac:dyDescent="0.35">
      <c r="A20" s="792"/>
      <c r="B20" s="74" t="s">
        <v>30</v>
      </c>
      <c r="C20" s="74" t="s">
        <v>18</v>
      </c>
      <c r="D20" s="73"/>
      <c r="E20" s="25">
        <v>41.09</v>
      </c>
      <c r="F20" s="25">
        <v>41.09</v>
      </c>
      <c r="G20" s="25">
        <v>41.09</v>
      </c>
      <c r="H20" s="25">
        <v>41.09</v>
      </c>
      <c r="I20" s="25">
        <v>41.09</v>
      </c>
      <c r="J20" s="25">
        <v>41.09</v>
      </c>
      <c r="K20" s="25">
        <v>41.09</v>
      </c>
      <c r="L20" s="25">
        <v>41.09</v>
      </c>
      <c r="M20" s="25">
        <v>41.09</v>
      </c>
      <c r="N20" s="25">
        <v>41.09</v>
      </c>
      <c r="O20" s="25">
        <v>41.09</v>
      </c>
      <c r="P20" s="25">
        <v>41.09</v>
      </c>
      <c r="Q20" s="25">
        <v>41.09</v>
      </c>
      <c r="R20" s="25">
        <v>41.09</v>
      </c>
      <c r="S20" s="25">
        <v>41.09</v>
      </c>
      <c r="T20" s="25">
        <v>41.09</v>
      </c>
      <c r="U20" s="25">
        <v>41.09</v>
      </c>
      <c r="V20" s="25">
        <v>41.09</v>
      </c>
      <c r="W20" s="25">
        <v>41.09</v>
      </c>
      <c r="X20" s="25">
        <v>41.09</v>
      </c>
      <c r="Y20" s="25">
        <v>41.09</v>
      </c>
      <c r="Z20" s="25">
        <v>41.09</v>
      </c>
      <c r="AA20" s="25">
        <v>41.09</v>
      </c>
      <c r="AB20" s="25">
        <v>41.09</v>
      </c>
      <c r="AC20" s="25">
        <v>41.09</v>
      </c>
      <c r="AD20" s="25">
        <v>41.09</v>
      </c>
      <c r="AE20" s="25">
        <v>41.09</v>
      </c>
      <c r="AF20" s="25">
        <v>41.09</v>
      </c>
      <c r="AG20" s="25"/>
      <c r="AH20" s="25"/>
      <c r="AI20" s="25"/>
    </row>
    <row r="21" spans="1:35" x14ac:dyDescent="0.35">
      <c r="A21" s="792"/>
      <c r="B21" s="75" t="s">
        <v>31</v>
      </c>
      <c r="C21" s="76" t="s">
        <v>18</v>
      </c>
      <c r="D21" s="73"/>
      <c r="E21" s="25">
        <v>6427.3249999999998</v>
      </c>
      <c r="F21" s="25">
        <v>6427.3249999999998</v>
      </c>
      <c r="G21" s="25">
        <v>6427.3249999999998</v>
      </c>
      <c r="H21" s="25">
        <v>6427.3249999999998</v>
      </c>
      <c r="I21" s="25">
        <v>6427.3249999999998</v>
      </c>
      <c r="J21" s="25">
        <v>6427.3249999999998</v>
      </c>
      <c r="K21" s="25">
        <v>6321.22</v>
      </c>
      <c r="L21" s="25">
        <v>6250.64</v>
      </c>
      <c r="M21" s="25">
        <v>6124.2349999999997</v>
      </c>
      <c r="N21" s="25">
        <v>6019.02</v>
      </c>
      <c r="O21" s="25">
        <v>5915.3950000000004</v>
      </c>
      <c r="P21" s="25">
        <v>5804.7950000000001</v>
      </c>
      <c r="Q21" s="25">
        <v>5697.3050000000003</v>
      </c>
      <c r="R21" s="25">
        <v>5570.7</v>
      </c>
      <c r="S21" s="25">
        <v>5479.44</v>
      </c>
      <c r="T21" s="25">
        <v>5453.58</v>
      </c>
      <c r="U21" s="25">
        <v>5434.7449999999999</v>
      </c>
      <c r="V21" s="25">
        <v>5405.0550000000003</v>
      </c>
      <c r="W21" s="25">
        <v>5335.9849999999997</v>
      </c>
      <c r="X21" s="25">
        <v>5275.23</v>
      </c>
      <c r="Y21" s="25">
        <v>5265.02</v>
      </c>
      <c r="Z21" s="25">
        <v>5209.83</v>
      </c>
      <c r="AA21" s="25">
        <v>5138.1049999999996</v>
      </c>
      <c r="AB21" s="25">
        <v>5064.7</v>
      </c>
      <c r="AC21" s="25">
        <v>5022.6350000000002</v>
      </c>
      <c r="AD21" s="25">
        <v>4975.95</v>
      </c>
      <c r="AE21" s="25">
        <v>4868.84</v>
      </c>
      <c r="AF21" s="25">
        <v>4792.875</v>
      </c>
      <c r="AG21" s="25"/>
      <c r="AH21" s="25"/>
      <c r="AI21" s="25"/>
    </row>
    <row r="22" spans="1:35" x14ac:dyDescent="0.35">
      <c r="A22" s="792"/>
      <c r="B22" s="77">
        <v>301</v>
      </c>
      <c r="C22" s="78" t="s">
        <v>18</v>
      </c>
      <c r="D22" s="73"/>
      <c r="E22" s="25">
        <v>54.373000000000005</v>
      </c>
      <c r="F22" s="25">
        <v>54.373000000000005</v>
      </c>
      <c r="G22" s="25">
        <v>54.373000000000005</v>
      </c>
      <c r="H22" s="25">
        <v>54.373000000000005</v>
      </c>
      <c r="I22" s="25">
        <v>54.373000000000005</v>
      </c>
      <c r="J22" s="25">
        <v>54.373000000000005</v>
      </c>
      <c r="K22" s="25">
        <v>54.373000000000005</v>
      </c>
      <c r="L22" s="25">
        <v>54.373000000000005</v>
      </c>
      <c r="M22" s="25">
        <v>54.373000000000005</v>
      </c>
      <c r="N22" s="25">
        <v>54.373000000000005</v>
      </c>
      <c r="O22" s="25">
        <v>54.373000000000005</v>
      </c>
      <c r="P22" s="25">
        <v>54.373000000000005</v>
      </c>
      <c r="Q22" s="25">
        <v>54.373000000000005</v>
      </c>
      <c r="R22" s="25">
        <v>54.373000000000005</v>
      </c>
      <c r="S22" s="25">
        <v>54.373000000000005</v>
      </c>
      <c r="T22" s="25">
        <v>54.373000000000005</v>
      </c>
      <c r="U22" s="25">
        <v>54.373000000000005</v>
      </c>
      <c r="V22" s="25">
        <v>54.373000000000005</v>
      </c>
      <c r="W22" s="25">
        <v>54.373000000000005</v>
      </c>
      <c r="X22" s="25">
        <v>54.373000000000005</v>
      </c>
      <c r="Y22" s="25">
        <v>54.373000000000005</v>
      </c>
      <c r="Z22" s="25">
        <v>54.373000000000005</v>
      </c>
      <c r="AA22" s="25">
        <v>54.373000000000005</v>
      </c>
      <c r="AB22" s="25">
        <v>54.373000000000005</v>
      </c>
      <c r="AC22" s="25">
        <v>54.373000000000005</v>
      </c>
      <c r="AD22" s="25">
        <v>54.373000000000005</v>
      </c>
      <c r="AE22" s="25">
        <v>54.373000000000005</v>
      </c>
      <c r="AF22" s="25">
        <v>54.373000000000005</v>
      </c>
      <c r="AG22" s="25"/>
      <c r="AH22" s="25"/>
      <c r="AI22" s="25"/>
    </row>
    <row r="23" spans="1:35" x14ac:dyDescent="0.35">
      <c r="A23" s="792"/>
      <c r="B23" s="79" t="s">
        <v>32</v>
      </c>
      <c r="C23" s="80" t="s">
        <v>18</v>
      </c>
      <c r="D23" s="73"/>
      <c r="E23" s="25">
        <v>31.66</v>
      </c>
      <c r="F23" s="25">
        <v>31.66</v>
      </c>
      <c r="G23" s="25">
        <v>31.66</v>
      </c>
      <c r="H23" s="25">
        <v>31.66</v>
      </c>
      <c r="I23" s="25">
        <v>31.66</v>
      </c>
      <c r="J23" s="25">
        <v>31.66</v>
      </c>
      <c r="K23" s="25">
        <v>31.66</v>
      </c>
      <c r="L23" s="25">
        <v>31.66</v>
      </c>
      <c r="M23" s="25">
        <v>31.66</v>
      </c>
      <c r="N23" s="25">
        <v>31.66</v>
      </c>
      <c r="O23" s="25">
        <v>31.66</v>
      </c>
      <c r="P23" s="25">
        <v>31.66</v>
      </c>
      <c r="Q23" s="25">
        <v>31.66</v>
      </c>
      <c r="R23" s="25">
        <v>31.66</v>
      </c>
      <c r="S23" s="25">
        <v>31.66</v>
      </c>
      <c r="T23" s="25">
        <v>31.66</v>
      </c>
      <c r="U23" s="25">
        <v>31.66</v>
      </c>
      <c r="V23" s="25">
        <v>31.66</v>
      </c>
      <c r="W23" s="25">
        <v>31.66</v>
      </c>
      <c r="X23" s="25">
        <v>31.66</v>
      </c>
      <c r="Y23" s="25">
        <v>31.66</v>
      </c>
      <c r="Z23" s="25">
        <v>31.66</v>
      </c>
      <c r="AA23" s="25">
        <v>31.66</v>
      </c>
      <c r="AB23" s="25">
        <v>31.66</v>
      </c>
      <c r="AC23" s="25">
        <v>31.66</v>
      </c>
      <c r="AD23" s="25">
        <v>31.66</v>
      </c>
      <c r="AE23" s="25">
        <v>31.66</v>
      </c>
      <c r="AF23" s="25">
        <v>31.66</v>
      </c>
      <c r="AG23" s="25"/>
      <c r="AH23" s="25"/>
      <c r="AI23" s="25"/>
    </row>
    <row r="24" spans="1:35" x14ac:dyDescent="0.35">
      <c r="A24" s="793"/>
      <c r="B24" s="81">
        <v>430</v>
      </c>
      <c r="C24" s="82" t="s">
        <v>18</v>
      </c>
      <c r="D24" s="73"/>
      <c r="E24" s="25">
        <v>20.887999999999998</v>
      </c>
      <c r="F24" s="25">
        <v>20.887999999999998</v>
      </c>
      <c r="G24" s="25">
        <v>20.887999999999998</v>
      </c>
      <c r="H24" s="25">
        <v>20.887999999999998</v>
      </c>
      <c r="I24" s="25">
        <v>20.887999999999998</v>
      </c>
      <c r="J24" s="25">
        <v>20.887999999999998</v>
      </c>
      <c r="K24" s="25">
        <v>20.887999999999998</v>
      </c>
      <c r="L24" s="25">
        <v>20.887999999999998</v>
      </c>
      <c r="M24" s="25">
        <v>20.887999999999998</v>
      </c>
      <c r="N24" s="25">
        <v>20.887999999999998</v>
      </c>
      <c r="O24" s="25">
        <v>20.887999999999998</v>
      </c>
      <c r="P24" s="25">
        <v>20.887999999999998</v>
      </c>
      <c r="Q24" s="25">
        <v>20.887999999999998</v>
      </c>
      <c r="R24" s="25">
        <v>20.887999999999998</v>
      </c>
      <c r="S24" s="25">
        <v>20.887999999999998</v>
      </c>
      <c r="T24" s="25">
        <v>20.887999999999998</v>
      </c>
      <c r="U24" s="25">
        <v>20.887999999999998</v>
      </c>
      <c r="V24" s="25">
        <v>20.887999999999998</v>
      </c>
      <c r="W24" s="25">
        <v>20.887999999999998</v>
      </c>
      <c r="X24" s="25">
        <v>20.887999999999998</v>
      </c>
      <c r="Y24" s="25">
        <v>20.887999999999998</v>
      </c>
      <c r="Z24" s="25">
        <v>20.887999999999998</v>
      </c>
      <c r="AA24" s="25">
        <v>20.887999999999998</v>
      </c>
      <c r="AB24" s="25">
        <v>20.887999999999998</v>
      </c>
      <c r="AC24" s="25">
        <v>20.887999999999998</v>
      </c>
      <c r="AD24" s="25">
        <v>20.887999999999998</v>
      </c>
      <c r="AE24" s="25">
        <v>20.887999999999998</v>
      </c>
      <c r="AF24" s="25">
        <v>20.887999999999998</v>
      </c>
      <c r="AG24" s="25"/>
      <c r="AH24" s="25"/>
      <c r="AI24" s="25"/>
    </row>
    <row r="25" spans="1:35" x14ac:dyDescent="0.35">
      <c r="A25" s="794" t="s">
        <v>65</v>
      </c>
      <c r="B25" s="69" t="s">
        <v>28</v>
      </c>
      <c r="C25" s="70" t="s">
        <v>18</v>
      </c>
      <c r="D25" s="73"/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/>
      <c r="AH25" s="25"/>
      <c r="AI25" s="25"/>
    </row>
    <row r="26" spans="1:35" x14ac:dyDescent="0.35">
      <c r="A26" s="795"/>
      <c r="B26" s="71" t="s">
        <v>29</v>
      </c>
      <c r="C26" s="72" t="s">
        <v>18</v>
      </c>
      <c r="D26" s="73"/>
      <c r="E26" s="42">
        <v>10.199999999999999</v>
      </c>
      <c r="F26" s="42">
        <v>10.199999999999999</v>
      </c>
      <c r="G26" s="42">
        <v>10.199999999999999</v>
      </c>
      <c r="H26" s="42">
        <v>10.199999999999999</v>
      </c>
      <c r="I26" s="42">
        <v>10.199999999999999</v>
      </c>
      <c r="J26" s="42">
        <v>10.199999999999999</v>
      </c>
      <c r="K26" s="42">
        <v>10.199999999999999</v>
      </c>
      <c r="L26" s="42">
        <v>10.199999999999999</v>
      </c>
      <c r="M26" s="42">
        <v>10.199999999999999</v>
      </c>
      <c r="N26" s="42">
        <v>10.199999999999999</v>
      </c>
      <c r="O26" s="42">
        <v>10.199999999999999</v>
      </c>
      <c r="P26" s="42">
        <v>10.199999999999999</v>
      </c>
      <c r="Q26" s="42">
        <v>10.199999999999999</v>
      </c>
      <c r="R26" s="42">
        <v>10.199999999999999</v>
      </c>
      <c r="S26" s="42">
        <v>10.199999999999999</v>
      </c>
      <c r="T26" s="42">
        <v>10.199999999999999</v>
      </c>
      <c r="U26" s="42">
        <v>10.199999999999999</v>
      </c>
      <c r="V26" s="42">
        <v>10.199999999999999</v>
      </c>
      <c r="W26" s="42">
        <v>10.199999999999999</v>
      </c>
      <c r="X26" s="42">
        <v>10.199999999999999</v>
      </c>
      <c r="Y26" s="42">
        <v>10.199999999999999</v>
      </c>
      <c r="Z26" s="42">
        <v>10.199999999999999</v>
      </c>
      <c r="AA26" s="42">
        <v>10.199999999999999</v>
      </c>
      <c r="AB26" s="42">
        <v>10.199999999999999</v>
      </c>
      <c r="AC26" s="42">
        <v>10.199999999999999</v>
      </c>
      <c r="AD26" s="42">
        <v>10.199999999999999</v>
      </c>
      <c r="AE26" s="42">
        <v>10.199999999999999</v>
      </c>
      <c r="AF26" s="42">
        <v>10.199999999999999</v>
      </c>
      <c r="AG26" s="42"/>
      <c r="AH26" s="42"/>
      <c r="AI26" s="42"/>
    </row>
    <row r="27" spans="1:35" x14ac:dyDescent="0.35">
      <c r="A27" s="795"/>
      <c r="B27" s="74" t="s">
        <v>30</v>
      </c>
      <c r="C27" s="74" t="s">
        <v>18</v>
      </c>
      <c r="D27" s="73"/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/>
      <c r="AH27" s="25"/>
      <c r="AI27" s="25"/>
    </row>
    <row r="28" spans="1:35" x14ac:dyDescent="0.35">
      <c r="A28" s="795"/>
      <c r="B28" s="75" t="s">
        <v>31</v>
      </c>
      <c r="C28" s="76" t="s">
        <v>18</v>
      </c>
      <c r="D28" s="73"/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/>
      <c r="AH28" s="25"/>
      <c r="AI28" s="25"/>
    </row>
    <row r="29" spans="1:35" x14ac:dyDescent="0.35">
      <c r="A29" s="795"/>
      <c r="B29" s="79" t="s">
        <v>32</v>
      </c>
      <c r="C29" s="80" t="s">
        <v>18</v>
      </c>
      <c r="D29" s="73"/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/>
      <c r="AH29" s="25"/>
      <c r="AI29" s="25"/>
    </row>
    <row r="30" spans="1:35" x14ac:dyDescent="0.35">
      <c r="A30" s="796"/>
      <c r="B30" s="81">
        <v>430</v>
      </c>
      <c r="C30" s="82" t="s">
        <v>18</v>
      </c>
      <c r="D30" s="73"/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/>
      <c r="AH30" s="25"/>
      <c r="AI30" s="25"/>
    </row>
    <row r="31" spans="1:35" x14ac:dyDescent="0.35">
      <c r="A31" s="797" t="s">
        <v>66</v>
      </c>
      <c r="B31" s="83" t="s">
        <v>27</v>
      </c>
      <c r="C31" s="84" t="s">
        <v>18</v>
      </c>
      <c r="D31" s="73"/>
      <c r="E31" s="42">
        <v>5.0170000000000003</v>
      </c>
      <c r="F31" s="42">
        <v>5.0170000000000003</v>
      </c>
      <c r="G31" s="42">
        <v>5.0170000000000003</v>
      </c>
      <c r="H31" s="42">
        <v>5.0170000000000003</v>
      </c>
      <c r="I31" s="42">
        <v>5.0170000000000003</v>
      </c>
      <c r="J31" s="42">
        <v>5.0170000000000003</v>
      </c>
      <c r="K31" s="42">
        <v>5.0170000000000003</v>
      </c>
      <c r="L31" s="42">
        <v>5.0170000000000003</v>
      </c>
      <c r="M31" s="42">
        <v>5.0170000000000003</v>
      </c>
      <c r="N31" s="42">
        <v>5.0170000000000003</v>
      </c>
      <c r="O31" s="42">
        <v>5.0170000000000003</v>
      </c>
      <c r="P31" s="42">
        <v>5.0170000000000003</v>
      </c>
      <c r="Q31" s="42">
        <v>5.0170000000000003</v>
      </c>
      <c r="R31" s="42">
        <v>5.0170000000000003</v>
      </c>
      <c r="S31" s="42">
        <v>5.0170000000000003</v>
      </c>
      <c r="T31" s="42">
        <v>5.0170000000000003</v>
      </c>
      <c r="U31" s="42">
        <v>5.0170000000000003</v>
      </c>
      <c r="V31" s="42">
        <v>5.0170000000000003</v>
      </c>
      <c r="W31" s="42">
        <v>5.0170000000000003</v>
      </c>
      <c r="X31" s="42">
        <v>5.0170000000000003</v>
      </c>
      <c r="Y31" s="42">
        <v>5.0170000000000003</v>
      </c>
      <c r="Z31" s="42">
        <v>5.0170000000000003</v>
      </c>
      <c r="AA31" s="42">
        <v>5.0170000000000003</v>
      </c>
      <c r="AB31" s="42">
        <v>5.0170000000000003</v>
      </c>
      <c r="AC31" s="42">
        <v>5.0170000000000003</v>
      </c>
      <c r="AD31" s="42">
        <v>5.0170000000000003</v>
      </c>
      <c r="AE31" s="42">
        <v>5.0170000000000003</v>
      </c>
      <c r="AF31" s="42">
        <v>5.0170000000000003</v>
      </c>
      <c r="AG31" s="42"/>
      <c r="AH31" s="42"/>
      <c r="AI31" s="42"/>
    </row>
    <row r="32" spans="1:35" x14ac:dyDescent="0.35">
      <c r="A32" s="798"/>
      <c r="B32" s="69" t="s">
        <v>28</v>
      </c>
      <c r="C32" s="70" t="s">
        <v>18</v>
      </c>
      <c r="D32" s="73"/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/>
      <c r="AH32" s="42"/>
      <c r="AI32" s="42"/>
    </row>
    <row r="33" spans="1:35" x14ac:dyDescent="0.35">
      <c r="A33" s="798"/>
      <c r="B33" s="71" t="s">
        <v>29</v>
      </c>
      <c r="C33" s="72" t="s">
        <v>18</v>
      </c>
      <c r="D33" s="73"/>
      <c r="E33" s="25">
        <v>368.96300000000002</v>
      </c>
      <c r="F33" s="25">
        <v>368.96300000000002</v>
      </c>
      <c r="G33" s="25">
        <v>368.96300000000002</v>
      </c>
      <c r="H33" s="25">
        <v>368.96300000000002</v>
      </c>
      <c r="I33" s="25">
        <v>368.96300000000002</v>
      </c>
      <c r="J33" s="25">
        <v>368.96300000000002</v>
      </c>
      <c r="K33" s="25">
        <v>368.96300000000002</v>
      </c>
      <c r="L33" s="25">
        <v>368.96300000000002</v>
      </c>
      <c r="M33" s="25">
        <v>368.96300000000002</v>
      </c>
      <c r="N33" s="25">
        <v>368.96300000000002</v>
      </c>
      <c r="O33" s="25">
        <v>368.96300000000002</v>
      </c>
      <c r="P33" s="25">
        <v>368.96300000000002</v>
      </c>
      <c r="Q33" s="25">
        <v>368.96300000000002</v>
      </c>
      <c r="R33" s="25">
        <v>368.96300000000002</v>
      </c>
      <c r="S33" s="25">
        <v>368.96300000000002</v>
      </c>
      <c r="T33" s="25">
        <v>368.96300000000002</v>
      </c>
      <c r="U33" s="25">
        <v>368.96300000000002</v>
      </c>
      <c r="V33" s="25">
        <v>368.96300000000002</v>
      </c>
      <c r="W33" s="25">
        <v>368.96300000000002</v>
      </c>
      <c r="X33" s="25">
        <v>368.96300000000002</v>
      </c>
      <c r="Y33" s="25">
        <v>368.96300000000002</v>
      </c>
      <c r="Z33" s="25">
        <v>368.96300000000002</v>
      </c>
      <c r="AA33" s="25">
        <v>368.96300000000002</v>
      </c>
      <c r="AB33" s="25">
        <v>368.96300000000002</v>
      </c>
      <c r="AC33" s="25">
        <v>368.96300000000002</v>
      </c>
      <c r="AD33" s="25">
        <v>368.96300000000002</v>
      </c>
      <c r="AE33" s="25">
        <v>368.96300000000002</v>
      </c>
      <c r="AF33" s="25">
        <v>368.96300000000002</v>
      </c>
      <c r="AG33" s="25"/>
      <c r="AH33" s="25"/>
      <c r="AI33" s="25"/>
    </row>
    <row r="34" spans="1:35" x14ac:dyDescent="0.35">
      <c r="A34" s="798"/>
      <c r="B34" s="74" t="s">
        <v>30</v>
      </c>
      <c r="C34" s="74" t="s">
        <v>18</v>
      </c>
      <c r="D34" s="73"/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/>
      <c r="AH34" s="25"/>
      <c r="AI34" s="25"/>
    </row>
    <row r="35" spans="1:35" x14ac:dyDescent="0.35">
      <c r="A35" s="798"/>
      <c r="B35" s="75" t="s">
        <v>31</v>
      </c>
      <c r="C35" s="76" t="s">
        <v>18</v>
      </c>
      <c r="D35" s="73"/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/>
      <c r="AH35" s="25"/>
      <c r="AI35" s="25"/>
    </row>
    <row r="36" spans="1:35" x14ac:dyDescent="0.35">
      <c r="A36" s="798"/>
      <c r="B36" s="79" t="s">
        <v>32</v>
      </c>
      <c r="C36" s="80" t="s">
        <v>18</v>
      </c>
      <c r="D36" s="73"/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/>
      <c r="AH36" s="25"/>
      <c r="AI36" s="25"/>
    </row>
    <row r="37" spans="1:35" x14ac:dyDescent="0.35">
      <c r="A37" s="798"/>
      <c r="B37" s="85">
        <v>430</v>
      </c>
      <c r="C37" s="82" t="s">
        <v>18</v>
      </c>
      <c r="D37" s="73"/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/>
      <c r="AH37" s="25"/>
      <c r="AI37" s="25"/>
    </row>
    <row r="38" spans="1:35" x14ac:dyDescent="0.35">
      <c r="A38" s="799"/>
      <c r="B38" s="86">
        <v>410</v>
      </c>
      <c r="C38" s="87" t="s">
        <v>18</v>
      </c>
      <c r="D38" s="73"/>
      <c r="E38" s="25">
        <v>28.369999999999997</v>
      </c>
      <c r="F38" s="25">
        <v>28.369999999999997</v>
      </c>
      <c r="G38" s="25">
        <v>28.369999999999997</v>
      </c>
      <c r="H38" s="25">
        <v>28.369999999999997</v>
      </c>
      <c r="I38" s="25">
        <v>28.369999999999997</v>
      </c>
      <c r="J38" s="25">
        <v>28.369999999999997</v>
      </c>
      <c r="K38" s="25">
        <v>28.369999999999997</v>
      </c>
      <c r="L38" s="25">
        <v>28.369999999999997</v>
      </c>
      <c r="M38" s="25">
        <v>28.369999999999997</v>
      </c>
      <c r="N38" s="25">
        <v>28.369999999999997</v>
      </c>
      <c r="O38" s="25">
        <v>28.369999999999997</v>
      </c>
      <c r="P38" s="25">
        <v>28.369999999999997</v>
      </c>
      <c r="Q38" s="25">
        <v>28.369999999999997</v>
      </c>
      <c r="R38" s="25">
        <v>28.369999999999997</v>
      </c>
      <c r="S38" s="25">
        <v>28.369999999999997</v>
      </c>
      <c r="T38" s="25">
        <v>28.369999999999997</v>
      </c>
      <c r="U38" s="25">
        <v>28.369999999999997</v>
      </c>
      <c r="V38" s="25">
        <v>28.369999999999997</v>
      </c>
      <c r="W38" s="25">
        <v>28.369999999999997</v>
      </c>
      <c r="X38" s="25">
        <v>28.369999999999997</v>
      </c>
      <c r="Y38" s="25">
        <v>28.369999999999997</v>
      </c>
      <c r="Z38" s="25">
        <v>28.369999999999997</v>
      </c>
      <c r="AA38" s="25">
        <v>28.369999999999997</v>
      </c>
      <c r="AB38" s="25">
        <v>28.369999999999997</v>
      </c>
      <c r="AC38" s="25">
        <v>28.369999999999997</v>
      </c>
      <c r="AD38" s="25">
        <v>28.369999999999997</v>
      </c>
      <c r="AE38" s="25">
        <v>28.369999999999997</v>
      </c>
      <c r="AF38" s="25">
        <v>28.369999999999997</v>
      </c>
      <c r="AG38" s="25"/>
      <c r="AH38" s="25"/>
      <c r="AI38" s="25"/>
    </row>
    <row r="39" spans="1:35" x14ac:dyDescent="0.35">
      <c r="A39" s="778" t="s">
        <v>47</v>
      </c>
      <c r="B39" s="69" t="s">
        <v>28</v>
      </c>
      <c r="C39" s="70" t="s">
        <v>18</v>
      </c>
      <c r="D39" s="73"/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/>
      <c r="AH39" s="25"/>
      <c r="AI39" s="25"/>
    </row>
    <row r="40" spans="1:35" x14ac:dyDescent="0.35">
      <c r="A40" s="779"/>
      <c r="B40" s="71" t="s">
        <v>29</v>
      </c>
      <c r="C40" s="72" t="s">
        <v>18</v>
      </c>
      <c r="D40" s="73"/>
      <c r="E40" s="25">
        <v>46.831999999999994</v>
      </c>
      <c r="F40" s="25">
        <v>46.831999999999994</v>
      </c>
      <c r="G40" s="25">
        <v>46.831999999999994</v>
      </c>
      <c r="H40" s="25">
        <v>46.831999999999994</v>
      </c>
      <c r="I40" s="25">
        <v>46.831999999999994</v>
      </c>
      <c r="J40" s="25">
        <v>46.831999999999994</v>
      </c>
      <c r="K40" s="25">
        <v>46.831999999999994</v>
      </c>
      <c r="L40" s="25">
        <v>46.831999999999994</v>
      </c>
      <c r="M40" s="25">
        <v>46.831999999999994</v>
      </c>
      <c r="N40" s="25">
        <v>46.831999999999994</v>
      </c>
      <c r="O40" s="25">
        <v>46.831999999999994</v>
      </c>
      <c r="P40" s="25">
        <v>46.831999999999994</v>
      </c>
      <c r="Q40" s="25">
        <v>46.831999999999994</v>
      </c>
      <c r="R40" s="25">
        <v>46.831999999999994</v>
      </c>
      <c r="S40" s="25">
        <v>46.831999999999994</v>
      </c>
      <c r="T40" s="25">
        <v>46.831999999999994</v>
      </c>
      <c r="U40" s="25">
        <v>46.831999999999994</v>
      </c>
      <c r="V40" s="25">
        <v>46.831999999999994</v>
      </c>
      <c r="W40" s="25">
        <v>46.831999999999994</v>
      </c>
      <c r="X40" s="25">
        <v>46.831999999999994</v>
      </c>
      <c r="Y40" s="25">
        <v>46.831999999999994</v>
      </c>
      <c r="Z40" s="25">
        <v>46.831999999999994</v>
      </c>
      <c r="AA40" s="25">
        <v>46.831999999999994</v>
      </c>
      <c r="AB40" s="25">
        <v>46.831999999999994</v>
      </c>
      <c r="AC40" s="25">
        <v>46.831999999999994</v>
      </c>
      <c r="AD40" s="25">
        <v>46.831999999999994</v>
      </c>
      <c r="AE40" s="25">
        <v>46.831999999999994</v>
      </c>
      <c r="AF40" s="25">
        <v>46.831999999999994</v>
      </c>
      <c r="AG40" s="25"/>
      <c r="AH40" s="25"/>
      <c r="AI40" s="25"/>
    </row>
    <row r="41" spans="1:35" x14ac:dyDescent="0.35">
      <c r="A41" s="779"/>
      <c r="B41" s="74" t="s">
        <v>30</v>
      </c>
      <c r="C41" s="74" t="s">
        <v>18</v>
      </c>
      <c r="D41" s="73"/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/>
      <c r="AH41" s="25"/>
      <c r="AI41" s="25"/>
    </row>
    <row r="42" spans="1:35" x14ac:dyDescent="0.35">
      <c r="A42" s="779"/>
      <c r="B42" s="75" t="s">
        <v>31</v>
      </c>
      <c r="C42" s="76" t="s">
        <v>18</v>
      </c>
      <c r="D42" s="73"/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/>
      <c r="AH42" s="42"/>
      <c r="AI42" s="42"/>
    </row>
    <row r="43" spans="1:35" x14ac:dyDescent="0.35">
      <c r="A43" s="779"/>
      <c r="B43" s="79" t="s">
        <v>32</v>
      </c>
      <c r="C43" s="80" t="s">
        <v>18</v>
      </c>
      <c r="D43" s="73"/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/>
      <c r="AH43" s="25"/>
      <c r="AI43" s="25"/>
    </row>
    <row r="44" spans="1:35" x14ac:dyDescent="0.35">
      <c r="A44" s="780"/>
      <c r="B44" s="88">
        <v>430</v>
      </c>
      <c r="C44" s="89" t="s">
        <v>18</v>
      </c>
      <c r="D44" s="90"/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/>
      <c r="AH44" s="25"/>
      <c r="AI44" s="25"/>
    </row>
    <row r="45" spans="1:35" x14ac:dyDescent="0.35">
      <c r="B45" s="91"/>
      <c r="C45" s="91"/>
      <c r="D45" s="91"/>
      <c r="E45" s="60"/>
      <c r="F45" s="91"/>
      <c r="G45" s="91"/>
      <c r="H45" s="91"/>
      <c r="I45" s="91"/>
      <c r="J45" s="91"/>
    </row>
    <row r="46" spans="1:35" x14ac:dyDescent="0.35">
      <c r="B46" s="91"/>
      <c r="C46" s="91"/>
      <c r="D46" s="91"/>
      <c r="E46" s="60"/>
      <c r="F46" s="91"/>
      <c r="G46" s="91"/>
      <c r="H46" s="91"/>
      <c r="I46" s="91"/>
      <c r="J46" s="91"/>
    </row>
    <row r="47" spans="1:35" x14ac:dyDescent="0.35">
      <c r="B47" s="91"/>
      <c r="C47" s="91"/>
      <c r="D47" s="91"/>
      <c r="E47" s="60"/>
      <c r="F47" s="91"/>
      <c r="G47" s="91"/>
      <c r="H47" s="91"/>
      <c r="I47" s="91"/>
      <c r="J47" s="91"/>
    </row>
    <row r="48" spans="1:35" x14ac:dyDescent="0.35">
      <c r="B48" s="91"/>
      <c r="C48" s="91"/>
      <c r="D48" s="91"/>
      <c r="E48" s="60"/>
      <c r="F48" s="91"/>
      <c r="G48" s="91"/>
      <c r="H48" s="91"/>
      <c r="I48" s="91"/>
      <c r="J48" s="91"/>
    </row>
    <row r="49" spans="2:10" x14ac:dyDescent="0.35">
      <c r="B49" s="91"/>
      <c r="C49" s="91"/>
      <c r="D49" s="91"/>
      <c r="E49" s="60"/>
      <c r="F49" s="91"/>
      <c r="G49" s="91"/>
      <c r="H49" s="91"/>
      <c r="I49" s="91"/>
      <c r="J49" s="91"/>
    </row>
    <row r="50" spans="2:10" x14ac:dyDescent="0.35">
      <c r="B50" s="91"/>
      <c r="C50" s="91"/>
      <c r="D50" s="91"/>
      <c r="E50" s="60"/>
      <c r="F50" s="91"/>
      <c r="G50" s="91"/>
      <c r="H50" s="91"/>
      <c r="I50" s="91"/>
      <c r="J50" s="91"/>
    </row>
    <row r="51" spans="2:10" x14ac:dyDescent="0.35">
      <c r="B51" s="91"/>
      <c r="C51" s="91"/>
      <c r="D51" s="91"/>
      <c r="E51" s="60"/>
      <c r="F51" s="91"/>
      <c r="G51" s="91"/>
      <c r="H51" s="91"/>
      <c r="I51" s="91"/>
      <c r="J51" s="91"/>
    </row>
    <row r="52" spans="2:10" x14ac:dyDescent="0.35">
      <c r="B52" s="91"/>
      <c r="C52" s="91"/>
      <c r="D52" s="91"/>
      <c r="E52" s="60"/>
      <c r="F52" s="91"/>
      <c r="G52" s="91"/>
      <c r="H52" s="91"/>
      <c r="I52" s="91"/>
      <c r="J52" s="91"/>
    </row>
    <row r="53" spans="2:10" x14ac:dyDescent="0.35">
      <c r="B53" s="91"/>
      <c r="C53" s="91"/>
      <c r="D53" s="91"/>
      <c r="E53" s="60"/>
      <c r="F53" s="91"/>
      <c r="G53" s="91"/>
      <c r="H53" s="91"/>
      <c r="I53" s="91"/>
      <c r="J53" s="91"/>
    </row>
  </sheetData>
  <mergeCells count="18">
    <mergeCell ref="A39:A44"/>
    <mergeCell ref="A7:C7"/>
    <mergeCell ref="A8:C8"/>
    <mergeCell ref="A10:A12"/>
    <mergeCell ref="B10:C10"/>
    <mergeCell ref="B11:C11"/>
    <mergeCell ref="B12:C12"/>
    <mergeCell ref="A15:C15"/>
    <mergeCell ref="A16:C16"/>
    <mergeCell ref="A17:A24"/>
    <mergeCell ref="A25:A30"/>
    <mergeCell ref="A31:A38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0BE2-28EA-4519-9F6C-EE16DB707564}">
  <dimension ref="B27:U52"/>
  <sheetViews>
    <sheetView view="pageBreakPreview" topLeftCell="A16" zoomScale="90" zoomScaleNormal="90" zoomScaleSheetLayoutView="90" workbookViewId="0">
      <selection activeCell="B62" sqref="B62:J67"/>
    </sheetView>
  </sheetViews>
  <sheetFormatPr defaultColWidth="9.1796875" defaultRowHeight="14.5" x14ac:dyDescent="0.35"/>
  <cols>
    <col min="1" max="1" width="5.453125" style="53" customWidth="1"/>
    <col min="2" max="21" width="5.453125" style="49" customWidth="1"/>
    <col min="22" max="16384" width="9.1796875" style="53"/>
  </cols>
  <sheetData>
    <row r="27" spans="2:7" x14ac:dyDescent="0.35">
      <c r="B27" s="63"/>
      <c r="C27" s="63"/>
      <c r="D27" s="63"/>
      <c r="E27" s="63"/>
      <c r="F27" s="63"/>
      <c r="G27" s="63"/>
    </row>
    <row r="28" spans="2:7" x14ac:dyDescent="0.35">
      <c r="B28" s="63"/>
      <c r="C28" s="63"/>
      <c r="D28" s="63"/>
      <c r="E28" s="63"/>
      <c r="F28" s="63"/>
      <c r="G28" s="63"/>
    </row>
    <row r="29" spans="2:7" x14ac:dyDescent="0.35">
      <c r="B29" s="63"/>
      <c r="C29" s="63"/>
      <c r="D29" s="63"/>
      <c r="E29" s="63"/>
      <c r="F29" s="63"/>
      <c r="G29" s="63"/>
    </row>
    <row r="30" spans="2:7" x14ac:dyDescent="0.35">
      <c r="B30" s="63"/>
      <c r="C30" s="63"/>
      <c r="D30" s="63"/>
      <c r="E30" s="63"/>
      <c r="F30" s="63"/>
      <c r="G30" s="63"/>
    </row>
    <row r="31" spans="2:7" x14ac:dyDescent="0.35">
      <c r="B31" s="63"/>
      <c r="C31" s="63"/>
      <c r="D31" s="63"/>
      <c r="E31" s="63"/>
      <c r="F31" s="63"/>
      <c r="G31" s="63"/>
    </row>
    <row r="32" spans="2:7" x14ac:dyDescent="0.35">
      <c r="B32" s="63"/>
      <c r="C32" s="63"/>
      <c r="D32" s="63"/>
      <c r="E32" s="63"/>
      <c r="F32" s="63"/>
      <c r="G32" s="63"/>
    </row>
    <row r="33" spans="2:10" x14ac:dyDescent="0.35">
      <c r="B33" s="63"/>
      <c r="C33" s="63"/>
      <c r="D33" s="63"/>
      <c r="E33" s="63"/>
      <c r="F33" s="63"/>
      <c r="G33" s="63"/>
    </row>
    <row r="34" spans="2:10" x14ac:dyDescent="0.35">
      <c r="B34" s="63"/>
      <c r="C34" s="63"/>
      <c r="D34" s="63"/>
      <c r="E34" s="63"/>
      <c r="F34" s="63"/>
      <c r="G34" s="63"/>
    </row>
    <row r="35" spans="2:10" x14ac:dyDescent="0.35">
      <c r="B35" s="63"/>
      <c r="C35" s="63"/>
      <c r="D35" s="63"/>
      <c r="E35" s="63"/>
      <c r="F35" s="63"/>
      <c r="G35" s="63"/>
    </row>
    <row r="36" spans="2:10" x14ac:dyDescent="0.35">
      <c r="B36" s="63"/>
      <c r="C36" s="63"/>
      <c r="D36" s="63"/>
      <c r="E36" s="63"/>
      <c r="F36" s="63"/>
      <c r="G36" s="63"/>
    </row>
    <row r="37" spans="2:10" x14ac:dyDescent="0.35">
      <c r="B37" s="63"/>
      <c r="C37" s="63"/>
      <c r="D37" s="63"/>
      <c r="E37" s="63"/>
      <c r="F37" s="63"/>
      <c r="G37" s="63"/>
    </row>
    <row r="38" spans="2:10" x14ac:dyDescent="0.35">
      <c r="B38" s="63"/>
      <c r="C38" s="63"/>
      <c r="D38" s="63"/>
      <c r="E38" s="63"/>
      <c r="F38" s="63"/>
      <c r="G38" s="63"/>
    </row>
    <row r="44" spans="2:10" x14ac:dyDescent="0.35">
      <c r="B44" s="63"/>
      <c r="C44" s="63"/>
      <c r="D44" s="63"/>
      <c r="E44" s="63"/>
      <c r="F44" s="63"/>
      <c r="G44" s="63"/>
      <c r="H44" s="63"/>
      <c r="I44" s="63"/>
      <c r="J44" s="63"/>
    </row>
    <row r="45" spans="2:10" x14ac:dyDescent="0.35">
      <c r="B45" s="63"/>
      <c r="C45" s="63"/>
      <c r="D45" s="63"/>
      <c r="E45" s="63"/>
      <c r="F45" s="63"/>
      <c r="G45" s="63"/>
      <c r="H45" s="63"/>
      <c r="I45" s="63"/>
      <c r="J45" s="63"/>
    </row>
    <row r="46" spans="2:10" x14ac:dyDescent="0.35">
      <c r="B46" s="63"/>
      <c r="C46" s="63"/>
      <c r="D46" s="63"/>
      <c r="E46" s="63"/>
      <c r="F46" s="63"/>
      <c r="G46" s="63"/>
      <c r="H46" s="63"/>
      <c r="I46" s="63"/>
      <c r="J46" s="63"/>
    </row>
    <row r="47" spans="2:10" x14ac:dyDescent="0.35">
      <c r="B47" s="63"/>
      <c r="C47" s="63"/>
      <c r="D47" s="63"/>
      <c r="E47" s="63"/>
      <c r="F47" s="63"/>
      <c r="G47" s="63"/>
      <c r="H47" s="63"/>
      <c r="I47" s="63"/>
      <c r="J47" s="63"/>
    </row>
    <row r="48" spans="2:10" x14ac:dyDescent="0.35">
      <c r="B48" s="63"/>
      <c r="C48" s="63"/>
      <c r="D48" s="63"/>
      <c r="E48" s="63"/>
      <c r="F48" s="63"/>
      <c r="G48" s="63"/>
      <c r="H48" s="63"/>
      <c r="I48" s="63"/>
      <c r="J48" s="63"/>
    </row>
    <row r="49" spans="2:10" x14ac:dyDescent="0.35">
      <c r="B49" s="63"/>
      <c r="C49" s="63"/>
      <c r="D49" s="63"/>
      <c r="E49" s="63"/>
      <c r="F49" s="63"/>
      <c r="G49" s="63"/>
      <c r="H49" s="63"/>
      <c r="I49" s="63"/>
      <c r="J49" s="63"/>
    </row>
    <row r="50" spans="2:10" x14ac:dyDescent="0.35">
      <c r="B50" s="63"/>
      <c r="C50" s="63"/>
      <c r="D50" s="63"/>
      <c r="E50" s="63"/>
      <c r="F50" s="63"/>
      <c r="G50" s="63"/>
      <c r="H50" s="63"/>
      <c r="I50" s="63"/>
      <c r="J50" s="63"/>
    </row>
    <row r="51" spans="2:10" x14ac:dyDescent="0.35">
      <c r="B51" s="63"/>
      <c r="C51" s="63"/>
      <c r="D51" s="63"/>
      <c r="E51" s="63"/>
      <c r="F51" s="63"/>
      <c r="G51" s="63"/>
      <c r="H51" s="63"/>
      <c r="I51" s="63"/>
      <c r="J51" s="63"/>
    </row>
    <row r="52" spans="2:10" x14ac:dyDescent="0.35">
      <c r="B52" s="63"/>
      <c r="C52" s="63"/>
      <c r="D52" s="63"/>
      <c r="E52" s="63"/>
      <c r="F52" s="63"/>
      <c r="G52" s="63"/>
      <c r="H52" s="63"/>
      <c r="I52" s="63"/>
      <c r="J52" s="6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0037-1D4C-4939-A3EB-BBDB38F9ABC6}">
  <sheetPr>
    <pageSetUpPr fitToPage="1"/>
  </sheetPr>
  <dimension ref="A1:BG925"/>
  <sheetViews>
    <sheetView topLeftCell="D1" zoomScale="70" zoomScaleNormal="70" zoomScaleSheetLayoutView="70" workbookViewId="0">
      <pane ySplit="4" topLeftCell="A746" activePane="bottomLeft" state="frozen"/>
      <selection activeCell="E326" sqref="E326"/>
      <selection pane="bottomLeft" activeCell="AA884" sqref="AA884:AA887"/>
    </sheetView>
  </sheetViews>
  <sheetFormatPr defaultColWidth="9.1796875" defaultRowHeight="21" customHeight="1" x14ac:dyDescent="0.35"/>
  <cols>
    <col min="1" max="1" width="5.26953125" style="97" customWidth="1"/>
    <col min="2" max="2" width="31.81640625" style="97" customWidth="1"/>
    <col min="3" max="3" width="18.81640625" style="99" customWidth="1"/>
    <col min="4" max="4" width="21.7265625" style="99" customWidth="1"/>
    <col min="5" max="5" width="23.26953125" style="97" customWidth="1"/>
    <col min="6" max="6" width="19" style="97" customWidth="1"/>
    <col min="7" max="8" width="12.7265625" style="97" customWidth="1"/>
    <col min="9" max="9" width="13.7265625" style="100" customWidth="1"/>
    <col min="10" max="10" width="11.453125" style="101" customWidth="1"/>
    <col min="11" max="11" width="12.453125" style="101" customWidth="1"/>
    <col min="12" max="12" width="10" style="101" customWidth="1"/>
    <col min="13" max="13" width="9.7265625" style="102" customWidth="1"/>
    <col min="14" max="14" width="13.26953125" style="103" customWidth="1"/>
    <col min="15" max="15" width="11.7265625" style="103" customWidth="1"/>
    <col min="16" max="16" width="20.54296875" style="103" customWidth="1"/>
    <col min="17" max="17" width="28" style="104" customWidth="1"/>
    <col min="18" max="18" width="24.26953125" style="104" customWidth="1"/>
    <col min="19" max="19" width="36.453125" style="104" customWidth="1"/>
    <col min="20" max="20" width="13.81640625" style="100" customWidth="1"/>
    <col min="21" max="21" width="13.81640625" style="105" customWidth="1"/>
    <col min="22" max="24" width="13.81640625" style="100" customWidth="1"/>
    <col min="25" max="25" width="32" style="100" customWidth="1"/>
    <col min="26" max="26" width="12.453125" style="100" customWidth="1"/>
    <col min="27" max="27" width="46.453125" style="97" customWidth="1"/>
    <col min="28" max="28" width="24.7265625" style="97" customWidth="1"/>
    <col min="29" max="29" width="13.81640625" style="97" customWidth="1"/>
    <col min="30" max="33" width="13.453125" style="97" customWidth="1"/>
    <col min="34" max="34" width="11.26953125" style="97" customWidth="1"/>
    <col min="35" max="35" width="22.453125" style="97" customWidth="1"/>
    <col min="36" max="36" width="27.7265625" style="97" customWidth="1"/>
    <col min="37" max="39" width="11.54296875" style="106" customWidth="1"/>
    <col min="40" max="40" width="12.54296875" style="106" customWidth="1"/>
    <col min="41" max="41" width="16" style="100" customWidth="1"/>
    <col min="42" max="42" width="12.453125" style="100" customWidth="1"/>
    <col min="43" max="43" width="21.81640625" style="97" customWidth="1"/>
    <col min="44" max="44" width="26.453125" style="97" customWidth="1"/>
    <col min="45" max="45" width="9.1796875" style="97" customWidth="1"/>
    <col min="46" max="46" width="41.1796875" style="97" customWidth="1"/>
    <col min="47" max="48" width="9.1796875" style="97" customWidth="1"/>
    <col min="49" max="49" width="15.26953125" style="97" customWidth="1"/>
    <col min="50" max="50" width="16.453125" style="97" customWidth="1"/>
    <col min="51" max="51" width="14" style="97" customWidth="1"/>
    <col min="52" max="52" width="12" style="97" customWidth="1"/>
    <col min="53" max="53" width="11.81640625" style="97" customWidth="1"/>
    <col min="54" max="54" width="38" style="97" customWidth="1"/>
    <col min="55" max="56" width="9.1796875" style="97" customWidth="1"/>
    <col min="57" max="57" width="12" style="97" customWidth="1"/>
    <col min="58" max="58" width="9.1796875" style="97" customWidth="1"/>
    <col min="59" max="59" width="9.1796875" style="98" customWidth="1"/>
    <col min="60" max="67" width="9.1796875" style="97" customWidth="1"/>
    <col min="68" max="16384" width="9.1796875" style="97"/>
  </cols>
  <sheetData>
    <row r="1" spans="1:59" ht="21" customHeight="1" x14ac:dyDescent="0.35">
      <c r="A1" s="93" t="s">
        <v>67</v>
      </c>
      <c r="B1" s="93"/>
      <c r="C1" s="94"/>
      <c r="D1" s="94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5"/>
      <c r="T1" s="93"/>
      <c r="U1" s="96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</row>
    <row r="2" spans="1:59" ht="21" customHeight="1" x14ac:dyDescent="0.35">
      <c r="B2" s="99" t="str">
        <f>IF(F2="","",IF(C2="HOLD RM","RM",IF(C2="BAL","WIP",IF(C2="HOLD SLT","WIP",IF(C2="MILL","RM",IF(C2="RE SLT","WIP",IF(C2="RM","RM",IF(C2="RM BAL","RM",IF(C2="RM SLT","RM",IF(C2="RR","WIP",IF(C2="SKP","WIP",IF(C2="SLT","WIP",IF(C2="CTL","WIP",0))))))))))))&amp;"-"&amp;G2&amp;"/"&amp;IF(H2="2B","2B",IF(H2="NO.1","1D",IF(H2="FH","FH",0)))&amp;"-"&amp;IF(J2="",(TEXT(I2,"0.00")),TEXT(J2,"0.00"))&amp;"X"&amp;M2)</f>
        <v/>
      </c>
    </row>
    <row r="3" spans="1:59" ht="21" customHeight="1" x14ac:dyDescent="0.35">
      <c r="F3" s="107"/>
    </row>
    <row r="4" spans="1:59" ht="49.5" customHeight="1" x14ac:dyDescent="0.35">
      <c r="A4" s="108" t="s">
        <v>68</v>
      </c>
      <c r="B4" s="109" t="s">
        <v>69</v>
      </c>
      <c r="C4" s="110" t="s">
        <v>4</v>
      </c>
      <c r="D4" s="111" t="s">
        <v>70</v>
      </c>
      <c r="E4" s="108" t="s">
        <v>71</v>
      </c>
      <c r="F4" s="108" t="s">
        <v>72</v>
      </c>
      <c r="G4" s="108" t="s">
        <v>73</v>
      </c>
      <c r="H4" s="108" t="s">
        <v>74</v>
      </c>
      <c r="I4" s="112" t="s">
        <v>75</v>
      </c>
      <c r="J4" s="112" t="s">
        <v>76</v>
      </c>
      <c r="K4" s="113" t="s">
        <v>77</v>
      </c>
      <c r="L4" s="113" t="s">
        <v>78</v>
      </c>
      <c r="M4" s="114" t="s">
        <v>79</v>
      </c>
      <c r="N4" s="115" t="s">
        <v>80</v>
      </c>
      <c r="O4" s="112" t="s">
        <v>81</v>
      </c>
      <c r="P4" s="112" t="s">
        <v>82</v>
      </c>
      <c r="Q4" s="112" t="s">
        <v>83</v>
      </c>
      <c r="R4" s="112" t="s">
        <v>84</v>
      </c>
      <c r="S4" s="112" t="s">
        <v>85</v>
      </c>
      <c r="T4" s="116" t="s">
        <v>10</v>
      </c>
      <c r="U4" s="117" t="s">
        <v>11</v>
      </c>
      <c r="V4" s="118" t="s">
        <v>13</v>
      </c>
      <c r="W4" s="119" t="s">
        <v>14</v>
      </c>
      <c r="X4" s="120" t="s">
        <v>16</v>
      </c>
      <c r="Y4" s="112" t="s">
        <v>86</v>
      </c>
      <c r="Z4" s="112" t="s">
        <v>87</v>
      </c>
      <c r="AA4" s="108" t="s">
        <v>88</v>
      </c>
      <c r="AB4" s="108" t="s">
        <v>89</v>
      </c>
      <c r="AC4" s="121" t="s">
        <v>90</v>
      </c>
      <c r="AD4" s="121" t="s">
        <v>91</v>
      </c>
      <c r="AE4" s="121"/>
      <c r="AF4" s="121" t="s">
        <v>92</v>
      </c>
      <c r="AG4" s="122" t="s">
        <v>93</v>
      </c>
      <c r="AH4" s="122" t="s">
        <v>94</v>
      </c>
      <c r="AI4" s="108" t="s">
        <v>95</v>
      </c>
      <c r="AJ4" s="108" t="s">
        <v>96</v>
      </c>
      <c r="AK4" s="123" t="s">
        <v>97</v>
      </c>
      <c r="AL4" s="123" t="s">
        <v>98</v>
      </c>
      <c r="AM4" s="123" t="s">
        <v>99</v>
      </c>
      <c r="AN4" s="123" t="s">
        <v>100</v>
      </c>
      <c r="AO4" s="122" t="s">
        <v>101</v>
      </c>
      <c r="AP4" s="112" t="s">
        <v>102</v>
      </c>
      <c r="AR4" s="97" t="s">
        <v>103</v>
      </c>
      <c r="AU4" s="124"/>
      <c r="AW4" s="97" t="s">
        <v>104</v>
      </c>
      <c r="AX4" s="124" t="s">
        <v>105</v>
      </c>
      <c r="AY4" s="124" t="s">
        <v>106</v>
      </c>
      <c r="AZ4" s="124" t="s">
        <v>107</v>
      </c>
      <c r="BA4" s="124" t="s">
        <v>108</v>
      </c>
      <c r="BB4" s="125" t="s">
        <v>109</v>
      </c>
      <c r="BC4" s="97" t="s">
        <v>110</v>
      </c>
      <c r="BE4" s="124" t="s">
        <v>111</v>
      </c>
      <c r="BG4" s="98" t="s">
        <v>112</v>
      </c>
    </row>
    <row r="5" spans="1:59" s="99" customFormat="1" ht="21" customHeight="1" x14ac:dyDescent="0.35">
      <c r="B5" s="126" t="str">
        <f t="shared" ref="B5:B10" si="0">IF(C5="HOLD RM","HOLD RM",IF(C5="BAL","WIP",IF(C5="HOLD SLT","HOLD SLT",IF(C5="MILL","RM",IF(C5="RE SLT","WIP",IF(C5="RM","RM",IF(C5="RM BAL","RM",IF(C5="RM SLT","RM",IF(C5="RR","WIP",IF(C5="SKP","WIP",IF(C5="SLT","WIP",IF(C5="CTL","WIP",0))))))))))))&amp;"-"&amp;G5&amp;"/"&amp;IF(H5="2B","2B",IF(H5="NO.1","1D",IF(H5="FH","FH",0)))&amp;"-"&amp;IF(J5="",(TEXT(I5,"0.00")),TEXT(J5,"0.00"))&amp;"X"&amp;M5</f>
        <v>WIP-304/2B-001X730</v>
      </c>
      <c r="C5" s="126" t="s">
        <v>14</v>
      </c>
      <c r="D5" s="126" t="s">
        <v>113</v>
      </c>
      <c r="E5" s="126" t="s">
        <v>114</v>
      </c>
      <c r="F5" s="126" t="s">
        <v>115</v>
      </c>
      <c r="G5" s="126">
        <v>304</v>
      </c>
      <c r="H5" s="126" t="s">
        <v>116</v>
      </c>
      <c r="I5" s="127">
        <v>0.94</v>
      </c>
      <c r="J5" s="127">
        <v>0.5</v>
      </c>
      <c r="K5" s="127">
        <v>0.47</v>
      </c>
      <c r="L5" s="127">
        <v>0.5</v>
      </c>
      <c r="M5" s="128">
        <v>730</v>
      </c>
      <c r="N5" s="129">
        <v>2.9049999999999998</v>
      </c>
      <c r="O5" s="129" t="s">
        <v>116</v>
      </c>
      <c r="P5" s="130"/>
      <c r="Q5" s="130" t="s">
        <v>117</v>
      </c>
      <c r="R5" s="131" t="s">
        <v>118</v>
      </c>
      <c r="S5" s="131" t="s">
        <v>119</v>
      </c>
      <c r="T5" s="132" t="s">
        <v>120</v>
      </c>
      <c r="U5" s="132" t="s">
        <v>120</v>
      </c>
      <c r="V5" s="132" t="s">
        <v>121</v>
      </c>
      <c r="W5" s="132"/>
      <c r="X5" s="132"/>
      <c r="Y5" s="133"/>
      <c r="Z5" s="126" t="s">
        <v>64</v>
      </c>
      <c r="AA5" s="134" t="s">
        <v>122</v>
      </c>
      <c r="AB5" s="134" t="s">
        <v>123</v>
      </c>
      <c r="AC5" s="134">
        <v>43187</v>
      </c>
      <c r="AD5" s="134">
        <v>43220</v>
      </c>
      <c r="AE5" s="134"/>
      <c r="AF5" s="134">
        <f t="shared" ref="AF5:AF68" ca="1" si="1">TODAY()</f>
        <v>44963</v>
      </c>
      <c r="AG5" s="126">
        <f t="shared" ref="AG5:AG68" ca="1" si="2">IF(AD5&lt;&gt;0,AF5-AD5,0)</f>
        <v>1743</v>
      </c>
      <c r="AH5" s="126">
        <f t="shared" ref="AH5:AH68" ca="1" si="3">IF(ISNUMBER(V5)=TRUE,AF5-V5,IF(V5="","",(AF5)-(MID(RIGHT(V5,10),4,2)&amp;"/"&amp;LEFT((RIGHT(V5,10)),2)&amp;"/"&amp;RIGHT(V5,4))))</f>
        <v>1063</v>
      </c>
      <c r="AI5" s="134"/>
      <c r="AJ5" s="134" t="s">
        <v>114</v>
      </c>
      <c r="AK5" s="129">
        <v>8.9480000000000004</v>
      </c>
      <c r="AL5" s="129">
        <v>8.963000000000001</v>
      </c>
      <c r="AM5" s="129">
        <v>8.9499999999999993</v>
      </c>
      <c r="AN5" s="129">
        <v>8.9550000000000001</v>
      </c>
      <c r="AO5" s="126" t="e">
        <f t="shared" ref="AO5:AO68" ca="1" si="4">IF(ISNUMBER(U5)=TRUE,AF5-U5,IF(U5="","",(AF5)-(MID(RIGHT(U5,10),4,2)&amp;"/"&amp;LEFT((RIGHT(U5,10)),2)&amp;"/"&amp;RIGHT(U5,4))))</f>
        <v>#VALUE!</v>
      </c>
      <c r="AR5" s="99" t="s">
        <v>124</v>
      </c>
      <c r="BE5" s="99" t="s">
        <v>125</v>
      </c>
      <c r="BG5" s="135" t="s">
        <v>126</v>
      </c>
    </row>
    <row r="6" spans="1:59" s="99" customFormat="1" ht="21" customHeight="1" x14ac:dyDescent="0.35">
      <c r="B6" s="126" t="str">
        <f t="shared" si="0"/>
        <v>WIP-304/FH-001X730</v>
      </c>
      <c r="C6" s="126" t="s">
        <v>13</v>
      </c>
      <c r="D6" s="126" t="s">
        <v>13</v>
      </c>
      <c r="E6" s="126" t="s">
        <v>127</v>
      </c>
      <c r="F6" s="126" t="s">
        <v>128</v>
      </c>
      <c r="G6" s="126">
        <v>304</v>
      </c>
      <c r="H6" s="126" t="s">
        <v>65</v>
      </c>
      <c r="I6" s="127">
        <v>1.1499999999999999</v>
      </c>
      <c r="J6" s="127">
        <v>0.6</v>
      </c>
      <c r="K6" s="127"/>
      <c r="L6" s="127"/>
      <c r="M6" s="128">
        <v>730</v>
      </c>
      <c r="N6" s="129">
        <v>3.91</v>
      </c>
      <c r="O6" s="129" t="s">
        <v>116</v>
      </c>
      <c r="P6" s="130"/>
      <c r="Q6" s="130" t="s">
        <v>117</v>
      </c>
      <c r="R6" s="131" t="s">
        <v>129</v>
      </c>
      <c r="S6" s="131" t="s">
        <v>130</v>
      </c>
      <c r="T6" s="132" t="s">
        <v>131</v>
      </c>
      <c r="U6" s="132">
        <v>44104</v>
      </c>
      <c r="V6" s="132"/>
      <c r="W6" s="132">
        <v>43732</v>
      </c>
      <c r="X6" s="132"/>
      <c r="Y6" s="133"/>
      <c r="Z6" s="126" t="s">
        <v>116</v>
      </c>
      <c r="AA6" s="134" t="s">
        <v>132</v>
      </c>
      <c r="AB6" s="134" t="s">
        <v>133</v>
      </c>
      <c r="AC6" s="134">
        <v>43693</v>
      </c>
      <c r="AD6" s="134">
        <v>43718</v>
      </c>
      <c r="AE6" s="134"/>
      <c r="AF6" s="134">
        <f t="shared" ca="1" si="1"/>
        <v>44963</v>
      </c>
      <c r="AG6" s="126">
        <f t="shared" ca="1" si="2"/>
        <v>1245</v>
      </c>
      <c r="AH6" s="126" t="str">
        <f t="shared" si="3"/>
        <v/>
      </c>
      <c r="AI6" s="134" t="s">
        <v>134</v>
      </c>
      <c r="AJ6" s="134" t="s">
        <v>135</v>
      </c>
      <c r="AK6" s="129">
        <v>9.1850000000000005</v>
      </c>
      <c r="AL6" s="129">
        <v>9.2000000000000011</v>
      </c>
      <c r="AM6" s="129">
        <v>9.1949999999999985</v>
      </c>
      <c r="AN6" s="129">
        <v>9.1999999999999993</v>
      </c>
      <c r="AO6" s="126">
        <f t="shared" ca="1" si="4"/>
        <v>859</v>
      </c>
      <c r="AR6" s="99" t="s">
        <v>136</v>
      </c>
      <c r="BE6" s="99" t="s">
        <v>125</v>
      </c>
      <c r="BG6" s="135" t="s">
        <v>137</v>
      </c>
    </row>
    <row r="7" spans="1:59" s="99" customFormat="1" ht="21" customHeight="1" x14ac:dyDescent="0.35">
      <c r="B7" s="126" t="str">
        <f t="shared" si="0"/>
        <v>RM-430/1D-003X750</v>
      </c>
      <c r="C7" s="126" t="s">
        <v>43</v>
      </c>
      <c r="D7" s="126" t="s">
        <v>43</v>
      </c>
      <c r="E7" s="126">
        <v>2</v>
      </c>
      <c r="F7" s="126" t="s">
        <v>138</v>
      </c>
      <c r="G7" s="126">
        <v>430</v>
      </c>
      <c r="H7" s="126" t="s">
        <v>139</v>
      </c>
      <c r="I7" s="127">
        <v>2.8</v>
      </c>
      <c r="J7" s="127"/>
      <c r="K7" s="127"/>
      <c r="L7" s="127"/>
      <c r="M7" s="128">
        <v>750</v>
      </c>
      <c r="N7" s="129">
        <v>10.35</v>
      </c>
      <c r="O7" s="127"/>
      <c r="P7" s="130"/>
      <c r="Q7" s="130"/>
      <c r="R7" s="136"/>
      <c r="S7" s="136" t="s">
        <v>140</v>
      </c>
      <c r="T7" s="132">
        <v>43123</v>
      </c>
      <c r="U7" s="132"/>
      <c r="V7" s="132"/>
      <c r="W7" s="132"/>
      <c r="X7" s="132"/>
      <c r="Y7" s="137"/>
      <c r="Z7" s="138" t="s">
        <v>64</v>
      </c>
      <c r="AA7" s="126" t="s">
        <v>141</v>
      </c>
      <c r="AB7" s="126" t="s">
        <v>142</v>
      </c>
      <c r="AC7" s="134">
        <v>42570</v>
      </c>
      <c r="AD7" s="134">
        <v>42593</v>
      </c>
      <c r="AE7" s="126"/>
      <c r="AF7" s="134">
        <f t="shared" ca="1" si="1"/>
        <v>44963</v>
      </c>
      <c r="AG7" s="126">
        <f t="shared" ca="1" si="2"/>
        <v>2370</v>
      </c>
      <c r="AH7" s="126" t="str">
        <f t="shared" si="3"/>
        <v/>
      </c>
      <c r="AI7" s="126" t="s">
        <v>143</v>
      </c>
      <c r="AJ7" s="126"/>
      <c r="AK7" s="129">
        <v>10.475</v>
      </c>
      <c r="AL7" s="129"/>
      <c r="AM7" s="129"/>
      <c r="AN7" s="129"/>
      <c r="AO7" s="126" t="str">
        <f t="shared" si="4"/>
        <v/>
      </c>
      <c r="AP7" s="139"/>
      <c r="AQ7" s="139"/>
      <c r="AR7" s="140"/>
      <c r="AS7" s="141"/>
      <c r="AT7" s="141"/>
      <c r="AU7" s="141"/>
      <c r="AV7" s="140"/>
      <c r="AW7" s="99" t="s">
        <v>144</v>
      </c>
      <c r="AX7" s="140" t="s">
        <v>43</v>
      </c>
      <c r="BE7" s="99" t="s">
        <v>125</v>
      </c>
    </row>
    <row r="8" spans="1:59" s="99" customFormat="1" ht="21" customHeight="1" x14ac:dyDescent="0.35">
      <c r="B8" s="126" t="str">
        <f t="shared" si="0"/>
        <v>RM-430/1D-003X750</v>
      </c>
      <c r="C8" s="126" t="s">
        <v>43</v>
      </c>
      <c r="D8" s="126" t="s">
        <v>43</v>
      </c>
      <c r="E8" s="126">
        <v>3</v>
      </c>
      <c r="F8" s="126" t="s">
        <v>145</v>
      </c>
      <c r="G8" s="126">
        <v>430</v>
      </c>
      <c r="H8" s="126" t="s">
        <v>139</v>
      </c>
      <c r="I8" s="127">
        <v>2.8</v>
      </c>
      <c r="J8" s="127"/>
      <c r="K8" s="127"/>
      <c r="L8" s="127"/>
      <c r="M8" s="128">
        <v>750</v>
      </c>
      <c r="N8" s="129">
        <v>10.538</v>
      </c>
      <c r="O8" s="127"/>
      <c r="P8" s="130"/>
      <c r="Q8" s="130"/>
      <c r="R8" s="136"/>
      <c r="S8" s="136"/>
      <c r="T8" s="132"/>
      <c r="U8" s="132"/>
      <c r="V8" s="132"/>
      <c r="W8" s="132"/>
      <c r="X8" s="132"/>
      <c r="Y8" s="137"/>
      <c r="Z8" s="138" t="s">
        <v>64</v>
      </c>
      <c r="AA8" s="126" t="s">
        <v>141</v>
      </c>
      <c r="AB8" s="126" t="s">
        <v>142</v>
      </c>
      <c r="AC8" s="134">
        <v>42570</v>
      </c>
      <c r="AD8" s="134">
        <v>42593</v>
      </c>
      <c r="AE8" s="126"/>
      <c r="AF8" s="134">
        <f t="shared" ca="1" si="1"/>
        <v>44963</v>
      </c>
      <c r="AG8" s="126">
        <f t="shared" ca="1" si="2"/>
        <v>2370</v>
      </c>
      <c r="AH8" s="126" t="str">
        <f t="shared" si="3"/>
        <v/>
      </c>
      <c r="AI8" s="126" t="s">
        <v>143</v>
      </c>
      <c r="AJ8" s="126"/>
      <c r="AK8" s="129">
        <v>10.465</v>
      </c>
      <c r="AL8" s="129"/>
      <c r="AM8" s="129"/>
      <c r="AN8" s="129"/>
      <c r="AO8" s="126" t="str">
        <f t="shared" si="4"/>
        <v/>
      </c>
      <c r="AP8" s="139"/>
      <c r="AQ8" s="139"/>
      <c r="AR8" s="140"/>
      <c r="AS8" s="141"/>
      <c r="AT8" s="141"/>
      <c r="AU8" s="141"/>
      <c r="AV8" s="140"/>
      <c r="AW8" s="99" t="s">
        <v>43</v>
      </c>
      <c r="AX8" s="140" t="s">
        <v>43</v>
      </c>
      <c r="BE8" s="99" t="s">
        <v>125</v>
      </c>
    </row>
    <row r="9" spans="1:59" s="99" customFormat="1" ht="21" customHeight="1" x14ac:dyDescent="0.35">
      <c r="A9" s="99">
        <v>187</v>
      </c>
      <c r="B9" s="126" t="str">
        <f t="shared" si="0"/>
        <v>WIP-316L/FH-000X741</v>
      </c>
      <c r="C9" s="126" t="s">
        <v>13</v>
      </c>
      <c r="D9" s="126" t="s">
        <v>13</v>
      </c>
      <c r="E9" s="126" t="s">
        <v>146</v>
      </c>
      <c r="F9" s="126" t="s">
        <v>147</v>
      </c>
      <c r="G9" s="126" t="s">
        <v>148</v>
      </c>
      <c r="H9" s="126" t="s">
        <v>65</v>
      </c>
      <c r="I9" s="127">
        <v>0.55000000000000004</v>
      </c>
      <c r="J9" s="127">
        <v>0.3</v>
      </c>
      <c r="K9" s="127"/>
      <c r="L9" s="127"/>
      <c r="M9" s="128">
        <v>741</v>
      </c>
      <c r="N9" s="129">
        <v>2.16</v>
      </c>
      <c r="O9" s="129" t="s">
        <v>116</v>
      </c>
      <c r="P9" s="130"/>
      <c r="Q9" s="130" t="s">
        <v>117</v>
      </c>
      <c r="R9" s="130" t="s">
        <v>149</v>
      </c>
      <c r="S9" s="131"/>
      <c r="T9" s="132" t="s">
        <v>150</v>
      </c>
      <c r="U9" s="132" t="s">
        <v>151</v>
      </c>
      <c r="V9" s="132" t="s">
        <v>152</v>
      </c>
      <c r="W9" s="132" t="s">
        <v>153</v>
      </c>
      <c r="X9" s="132"/>
      <c r="Y9" s="126"/>
      <c r="Z9" s="126" t="s">
        <v>64</v>
      </c>
      <c r="AA9" s="134" t="s">
        <v>154</v>
      </c>
      <c r="AB9" s="134" t="s">
        <v>155</v>
      </c>
      <c r="AC9" s="134"/>
      <c r="AD9" s="134">
        <v>43567</v>
      </c>
      <c r="AE9" s="134"/>
      <c r="AF9" s="134">
        <f t="shared" ca="1" si="1"/>
        <v>44963</v>
      </c>
      <c r="AG9" s="126">
        <f t="shared" ca="1" si="2"/>
        <v>1396</v>
      </c>
      <c r="AH9" s="126">
        <f t="shared" ca="1" si="3"/>
        <v>1099</v>
      </c>
      <c r="AI9" s="134"/>
      <c r="AJ9" s="134" t="s">
        <v>156</v>
      </c>
      <c r="AK9" s="129">
        <v>10.315</v>
      </c>
      <c r="AL9" s="129">
        <v>10.324999999999999</v>
      </c>
      <c r="AM9" s="129">
        <v>10.35</v>
      </c>
      <c r="AN9" s="129">
        <v>10.355</v>
      </c>
      <c r="AO9" s="126">
        <f t="shared" ca="1" si="4"/>
        <v>1070</v>
      </c>
      <c r="AR9" s="99" t="s">
        <v>136</v>
      </c>
      <c r="BE9" s="99" t="s">
        <v>125</v>
      </c>
      <c r="BG9" s="135" t="s">
        <v>157</v>
      </c>
    </row>
    <row r="10" spans="1:59" s="99" customFormat="1" ht="21" customHeight="1" x14ac:dyDescent="0.35">
      <c r="A10" s="99">
        <v>210</v>
      </c>
      <c r="B10" s="126" t="str">
        <f t="shared" si="0"/>
        <v>WIP-J2/2B-000X720</v>
      </c>
      <c r="C10" s="126" t="s">
        <v>14</v>
      </c>
      <c r="D10" s="126" t="s">
        <v>113</v>
      </c>
      <c r="E10" s="126" t="s">
        <v>158</v>
      </c>
      <c r="F10" s="126" t="s">
        <v>159</v>
      </c>
      <c r="G10" s="126" t="s">
        <v>28</v>
      </c>
      <c r="H10" s="126" t="s">
        <v>116</v>
      </c>
      <c r="I10" s="127">
        <v>0.73</v>
      </c>
      <c r="J10" s="127">
        <v>0.4</v>
      </c>
      <c r="K10" s="127">
        <v>0.4</v>
      </c>
      <c r="L10" s="127">
        <v>0.42</v>
      </c>
      <c r="M10" s="128">
        <v>720</v>
      </c>
      <c r="N10" s="129">
        <v>10.01</v>
      </c>
      <c r="O10" s="129" t="s">
        <v>116</v>
      </c>
      <c r="P10" s="129"/>
      <c r="Q10" s="130" t="s">
        <v>117</v>
      </c>
      <c r="R10" s="130" t="s">
        <v>160</v>
      </c>
      <c r="S10" s="131"/>
      <c r="T10" s="132">
        <v>43860</v>
      </c>
      <c r="U10" s="132">
        <v>43861</v>
      </c>
      <c r="V10" s="132" t="s">
        <v>161</v>
      </c>
      <c r="W10" s="132">
        <v>43859</v>
      </c>
      <c r="X10" s="132"/>
      <c r="Y10" s="133"/>
      <c r="Z10" s="126" t="s">
        <v>65</v>
      </c>
      <c r="AA10" s="134" t="s">
        <v>132</v>
      </c>
      <c r="AB10" s="134" t="s">
        <v>162</v>
      </c>
      <c r="AC10" s="134">
        <v>43672</v>
      </c>
      <c r="AD10" s="134">
        <v>43691</v>
      </c>
      <c r="AE10" s="134"/>
      <c r="AF10" s="134">
        <f t="shared" ca="1" si="1"/>
        <v>44963</v>
      </c>
      <c r="AG10" s="126">
        <f t="shared" ca="1" si="2"/>
        <v>1272</v>
      </c>
      <c r="AH10" s="126">
        <f t="shared" ca="1" si="3"/>
        <v>1010</v>
      </c>
      <c r="AI10" s="134" t="s">
        <v>163</v>
      </c>
      <c r="AJ10" s="134" t="s">
        <v>164</v>
      </c>
      <c r="AK10" s="129">
        <v>10.869</v>
      </c>
      <c r="AL10" s="129">
        <v>10.884</v>
      </c>
      <c r="AM10" s="129">
        <v>10.9</v>
      </c>
      <c r="AN10" s="129">
        <v>10.904999999999999</v>
      </c>
      <c r="AO10" s="126">
        <f t="shared" ca="1" si="4"/>
        <v>1102</v>
      </c>
      <c r="AR10" s="99" t="s">
        <v>136</v>
      </c>
      <c r="BE10" s="99" t="s">
        <v>125</v>
      </c>
      <c r="BG10" s="135" t="s">
        <v>165</v>
      </c>
    </row>
    <row r="11" spans="1:59" s="99" customFormat="1" ht="21" customHeight="1" x14ac:dyDescent="0.35">
      <c r="A11" s="99">
        <v>222</v>
      </c>
      <c r="B11" s="126" t="str">
        <f>IF(C11="HOLD RM","HOLD RM",IF(C11="BAL","WIP",IF(C11="HOLD SLT","HOLD SLT",IF(C11="MILL","RM",IF(C11="RE SLT","WIP",IF(C11="RM","RM",IF(C11="RM BAL","RM",IF(C11="RM SLT","RM",IF(C11="RR","WIP",IF(C11="SKP","WIP",IF(C11="SLT","WIP",IF(C11="CTL","WIP",0))))))))))))&amp;"-"&amp;G11&amp;"/"&amp;IF(H11="2B","2B",IF(H11="NO.1","1D",IF(H11="FH","FH",IF(H11="BA","BA",0)))&amp;"-"&amp;IF(J11="",(TEXT(I11,"0.00")),TEXT(J11,"0.00"))&amp;"X"&amp;M11)</f>
        <v>RM-J3/BA-001X630</v>
      </c>
      <c r="C11" s="126" t="s">
        <v>166</v>
      </c>
      <c r="D11" s="126" t="s">
        <v>166</v>
      </c>
      <c r="E11" s="126" t="s">
        <v>167</v>
      </c>
      <c r="F11" s="126" t="s">
        <v>168</v>
      </c>
      <c r="G11" s="126" t="s">
        <v>29</v>
      </c>
      <c r="H11" s="126" t="s">
        <v>169</v>
      </c>
      <c r="I11" s="127">
        <v>0.73</v>
      </c>
      <c r="J11" s="127">
        <v>0.73</v>
      </c>
      <c r="K11" s="127"/>
      <c r="L11" s="127"/>
      <c r="M11" s="128">
        <v>630</v>
      </c>
      <c r="N11" s="129">
        <v>7.8019999999999996</v>
      </c>
      <c r="O11" s="129"/>
      <c r="P11" s="129"/>
      <c r="Q11" s="130" t="s">
        <v>117</v>
      </c>
      <c r="R11" s="131"/>
      <c r="S11" s="131" t="s">
        <v>170</v>
      </c>
      <c r="T11" s="132"/>
      <c r="U11" s="132"/>
      <c r="V11" s="132"/>
      <c r="W11" s="132">
        <v>44279</v>
      </c>
      <c r="X11" s="132"/>
      <c r="Y11" s="133"/>
      <c r="Z11" s="126" t="s">
        <v>169</v>
      </c>
      <c r="AA11" s="134" t="s">
        <v>171</v>
      </c>
      <c r="AB11" s="134" t="s">
        <v>172</v>
      </c>
      <c r="AC11" s="134">
        <v>43682</v>
      </c>
      <c r="AD11" s="134">
        <v>43714</v>
      </c>
      <c r="AE11" s="134"/>
      <c r="AF11" s="134">
        <f t="shared" ca="1" si="1"/>
        <v>44963</v>
      </c>
      <c r="AG11" s="126">
        <f t="shared" ca="1" si="2"/>
        <v>1249</v>
      </c>
      <c r="AH11" s="126" t="str">
        <f t="shared" si="3"/>
        <v/>
      </c>
      <c r="AI11" s="134"/>
      <c r="AJ11" s="134" t="s">
        <v>173</v>
      </c>
      <c r="AK11" s="129">
        <v>7.8019999999999996</v>
      </c>
      <c r="AL11" s="129">
        <v>7.8259999999999996</v>
      </c>
      <c r="AM11" s="142">
        <v>7.8149999999999995</v>
      </c>
      <c r="AN11" s="129">
        <v>7.84</v>
      </c>
      <c r="AO11" s="126" t="str">
        <f t="shared" si="4"/>
        <v/>
      </c>
      <c r="AR11" s="99" t="s">
        <v>136</v>
      </c>
      <c r="BE11" s="99" t="s">
        <v>125</v>
      </c>
      <c r="BG11" s="135" t="s">
        <v>174</v>
      </c>
    </row>
    <row r="12" spans="1:59" s="99" customFormat="1" ht="21" customHeight="1" x14ac:dyDescent="0.35">
      <c r="A12" s="99">
        <v>44</v>
      </c>
      <c r="B12" s="126" t="str">
        <f t="shared" ref="B12:B20" si="5">IF(C12="HOLD RM","HOLD RM",IF(C12="BAL","WIP",IF(C12="HOLD SLT","HOLD SLT",IF(C12="MILL","RM",IF(C12="RE SLT","WIP",IF(C12="RM","RM",IF(C12="RM BAL","RM",IF(C12="RM SLT","RM",IF(C12="RR","WIP",IF(C12="SKP","WIP",IF(C12="SLT","WIP",IF(C12="CTL","WIP",0))))))))))))&amp;"-"&amp;G12&amp;"/"&amp;IF(H12="2B","2B",IF(H12="NO.1","1D",IF(H12="FH","FH",0)))&amp;"-"&amp;IF(J12="",(TEXT(I12,"0.00")),TEXT(J12,"0.00"))&amp;"X"&amp;M12</f>
        <v>WIP-304/2B-001X790</v>
      </c>
      <c r="C12" s="126" t="s">
        <v>14</v>
      </c>
      <c r="D12" s="126" t="s">
        <v>113</v>
      </c>
      <c r="E12" s="143" t="s">
        <v>175</v>
      </c>
      <c r="F12" s="143" t="s">
        <v>176</v>
      </c>
      <c r="G12" s="126">
        <v>304</v>
      </c>
      <c r="H12" s="126" t="s">
        <v>116</v>
      </c>
      <c r="I12" s="127">
        <v>1.2</v>
      </c>
      <c r="J12" s="127">
        <v>0.7</v>
      </c>
      <c r="K12" s="127">
        <v>0.67</v>
      </c>
      <c r="L12" s="127">
        <v>0.7</v>
      </c>
      <c r="M12" s="144">
        <v>790</v>
      </c>
      <c r="N12" s="145">
        <v>2.141</v>
      </c>
      <c r="O12" s="129"/>
      <c r="P12" s="129"/>
      <c r="Q12" s="130" t="s">
        <v>117</v>
      </c>
      <c r="R12" s="131" t="s">
        <v>177</v>
      </c>
      <c r="S12" s="131"/>
      <c r="T12" s="132" t="s">
        <v>178</v>
      </c>
      <c r="U12" s="132" t="s">
        <v>179</v>
      </c>
      <c r="V12" s="132" t="s">
        <v>180</v>
      </c>
      <c r="W12" s="132">
        <v>42928</v>
      </c>
      <c r="X12" s="132"/>
      <c r="Y12" s="133" t="s">
        <v>181</v>
      </c>
      <c r="Z12" s="126" t="s">
        <v>64</v>
      </c>
      <c r="AA12" s="134" t="s">
        <v>182</v>
      </c>
      <c r="AB12" s="134" t="s">
        <v>183</v>
      </c>
      <c r="AC12" s="134">
        <v>42751</v>
      </c>
      <c r="AD12" s="134">
        <v>42798</v>
      </c>
      <c r="AE12" s="134"/>
      <c r="AF12" s="134">
        <f t="shared" ca="1" si="1"/>
        <v>44963</v>
      </c>
      <c r="AG12" s="126">
        <f t="shared" ca="1" si="2"/>
        <v>2165</v>
      </c>
      <c r="AH12" s="126" t="e">
        <f t="shared" ca="1" si="3"/>
        <v>#VALUE!</v>
      </c>
      <c r="AI12" s="134" t="s">
        <v>184</v>
      </c>
      <c r="AJ12" s="143" t="s">
        <v>185</v>
      </c>
      <c r="AK12" s="129">
        <v>10.7</v>
      </c>
      <c r="AL12" s="129"/>
      <c r="AM12" s="129"/>
      <c r="AN12" s="129">
        <v>10.811</v>
      </c>
      <c r="AO12" s="126">
        <f t="shared" ca="1" si="4"/>
        <v>2193</v>
      </c>
      <c r="AP12" s="99">
        <v>44</v>
      </c>
      <c r="AT12" s="99" t="s">
        <v>186</v>
      </c>
      <c r="AY12" s="99" t="s">
        <v>187</v>
      </c>
      <c r="BA12" s="99" t="s">
        <v>188</v>
      </c>
      <c r="BC12" s="99">
        <v>0</v>
      </c>
      <c r="BE12" s="99" t="s">
        <v>125</v>
      </c>
      <c r="BG12" s="135" t="s">
        <v>137</v>
      </c>
    </row>
    <row r="13" spans="1:59" s="99" customFormat="1" ht="21" customHeight="1" x14ac:dyDescent="0.35">
      <c r="A13" s="99">
        <v>134</v>
      </c>
      <c r="B13" s="126" t="str">
        <f t="shared" si="5"/>
        <v>WIP-430/2B-002X763</v>
      </c>
      <c r="C13" s="126" t="s">
        <v>14</v>
      </c>
      <c r="D13" s="126" t="s">
        <v>113</v>
      </c>
      <c r="E13" s="143" t="s">
        <v>189</v>
      </c>
      <c r="F13" s="143" t="s">
        <v>190</v>
      </c>
      <c r="G13" s="126">
        <v>430</v>
      </c>
      <c r="H13" s="126" t="s">
        <v>116</v>
      </c>
      <c r="I13" s="127">
        <v>4</v>
      </c>
      <c r="J13" s="127">
        <v>2</v>
      </c>
      <c r="K13" s="127">
        <v>1.9</v>
      </c>
      <c r="L13" s="127">
        <v>1.94</v>
      </c>
      <c r="M13" s="144">
        <v>763</v>
      </c>
      <c r="N13" s="145">
        <v>2.835</v>
      </c>
      <c r="O13" s="129"/>
      <c r="P13" s="129"/>
      <c r="Q13" s="130" t="s">
        <v>117</v>
      </c>
      <c r="R13" s="131" t="s">
        <v>191</v>
      </c>
      <c r="S13" s="131" t="s">
        <v>116</v>
      </c>
      <c r="T13" s="132">
        <v>43445</v>
      </c>
      <c r="U13" s="132">
        <v>43446</v>
      </c>
      <c r="V13" s="132">
        <v>43447</v>
      </c>
      <c r="W13" s="132"/>
      <c r="X13" s="132"/>
      <c r="Y13" s="133" t="s">
        <v>181</v>
      </c>
      <c r="Z13" s="126" t="s">
        <v>64</v>
      </c>
      <c r="AA13" s="134" t="s">
        <v>132</v>
      </c>
      <c r="AB13" s="134" t="s">
        <v>192</v>
      </c>
      <c r="AC13" s="134">
        <v>43329</v>
      </c>
      <c r="AD13" s="134">
        <v>43348</v>
      </c>
      <c r="AE13" s="134"/>
      <c r="AF13" s="134">
        <f t="shared" ca="1" si="1"/>
        <v>44963</v>
      </c>
      <c r="AG13" s="126">
        <f t="shared" ca="1" si="2"/>
        <v>1615</v>
      </c>
      <c r="AH13" s="126">
        <f t="shared" ca="1" si="3"/>
        <v>1516</v>
      </c>
      <c r="AI13" s="134" t="s">
        <v>193</v>
      </c>
      <c r="AJ13" s="143" t="s">
        <v>194</v>
      </c>
      <c r="AK13" s="129">
        <v>11.34</v>
      </c>
      <c r="AL13" s="129">
        <v>11.355</v>
      </c>
      <c r="AM13" s="129">
        <v>11.389999999999999</v>
      </c>
      <c r="AN13" s="129">
        <v>11.395</v>
      </c>
      <c r="AO13" s="126">
        <f t="shared" ca="1" si="4"/>
        <v>1517</v>
      </c>
      <c r="AP13" s="99">
        <v>134</v>
      </c>
      <c r="AR13" s="99" t="s">
        <v>195</v>
      </c>
      <c r="AT13" s="99" t="s">
        <v>186</v>
      </c>
      <c r="BC13" s="99">
        <v>0</v>
      </c>
      <c r="BE13" s="99" t="s">
        <v>125</v>
      </c>
      <c r="BG13" s="135" t="s">
        <v>174</v>
      </c>
    </row>
    <row r="14" spans="1:59" s="99" customFormat="1" ht="21" customHeight="1" x14ac:dyDescent="0.35">
      <c r="A14" s="99">
        <v>139</v>
      </c>
      <c r="B14" s="126" t="str">
        <f t="shared" si="5"/>
        <v>WIP-304/2B-001X735</v>
      </c>
      <c r="C14" s="126" t="s">
        <v>14</v>
      </c>
      <c r="D14" s="126" t="s">
        <v>113</v>
      </c>
      <c r="E14" s="143" t="s">
        <v>196</v>
      </c>
      <c r="F14" s="143" t="s">
        <v>197</v>
      </c>
      <c r="G14" s="126">
        <v>304</v>
      </c>
      <c r="H14" s="126" t="s">
        <v>116</v>
      </c>
      <c r="I14" s="127">
        <v>0.8</v>
      </c>
      <c r="J14" s="127">
        <v>0.57999999999999996</v>
      </c>
      <c r="K14" s="127">
        <v>0.55000000000000004</v>
      </c>
      <c r="L14" s="127">
        <v>0.56999999999999995</v>
      </c>
      <c r="M14" s="144">
        <v>735</v>
      </c>
      <c r="N14" s="145">
        <v>2.7</v>
      </c>
      <c r="O14" s="129"/>
      <c r="P14" s="129"/>
      <c r="Q14" s="130" t="s">
        <v>117</v>
      </c>
      <c r="R14" s="131" t="s">
        <v>198</v>
      </c>
      <c r="S14" s="131" t="s">
        <v>116</v>
      </c>
      <c r="T14" s="132" t="s">
        <v>199</v>
      </c>
      <c r="U14" s="132" t="s">
        <v>200</v>
      </c>
      <c r="V14" s="132" t="s">
        <v>201</v>
      </c>
      <c r="W14" s="132" t="s">
        <v>202</v>
      </c>
      <c r="X14" s="132"/>
      <c r="Y14" s="133" t="s">
        <v>181</v>
      </c>
      <c r="Z14" s="126" t="s">
        <v>64</v>
      </c>
      <c r="AA14" s="134" t="s">
        <v>203</v>
      </c>
      <c r="AB14" s="134" t="s">
        <v>204</v>
      </c>
      <c r="AC14" s="134"/>
      <c r="AD14" s="134">
        <v>43386</v>
      </c>
      <c r="AE14" s="134"/>
      <c r="AF14" s="134">
        <f t="shared" ca="1" si="1"/>
        <v>44963</v>
      </c>
      <c r="AG14" s="126">
        <f t="shared" ca="1" si="2"/>
        <v>1577</v>
      </c>
      <c r="AH14" s="126" t="e">
        <f t="shared" ca="1" si="3"/>
        <v>#VALUE!</v>
      </c>
      <c r="AI14" s="134"/>
      <c r="AJ14" s="143" t="s">
        <v>205</v>
      </c>
      <c r="AK14" s="129">
        <v>10.365</v>
      </c>
      <c r="AL14" s="129">
        <v>10.375</v>
      </c>
      <c r="AM14" s="129">
        <v>10.395</v>
      </c>
      <c r="AN14" s="129">
        <v>10.4</v>
      </c>
      <c r="AO14" s="126">
        <f t="shared" ca="1" si="4"/>
        <v>1821</v>
      </c>
      <c r="AP14" s="99">
        <v>139</v>
      </c>
      <c r="AR14" s="99" t="s">
        <v>136</v>
      </c>
      <c r="AT14" s="99" t="s">
        <v>186</v>
      </c>
      <c r="BC14" s="99">
        <v>0</v>
      </c>
      <c r="BE14" s="99" t="s">
        <v>125</v>
      </c>
      <c r="BG14" s="135" t="s">
        <v>157</v>
      </c>
    </row>
    <row r="15" spans="1:59" s="99" customFormat="1" ht="21" customHeight="1" x14ac:dyDescent="0.35">
      <c r="A15" s="99">
        <v>150</v>
      </c>
      <c r="B15" s="126" t="str">
        <f t="shared" si="5"/>
        <v>WIP-430/2B-002X750</v>
      </c>
      <c r="C15" s="126" t="s">
        <v>14</v>
      </c>
      <c r="D15" s="126" t="s">
        <v>113</v>
      </c>
      <c r="E15" s="143" t="s">
        <v>206</v>
      </c>
      <c r="F15" s="143" t="s">
        <v>207</v>
      </c>
      <c r="G15" s="126">
        <v>430</v>
      </c>
      <c r="H15" s="126" t="s">
        <v>116</v>
      </c>
      <c r="I15" s="127">
        <v>4</v>
      </c>
      <c r="J15" s="127">
        <v>1.95</v>
      </c>
      <c r="K15" s="127">
        <v>1.93</v>
      </c>
      <c r="L15" s="127">
        <v>1.95</v>
      </c>
      <c r="M15" s="144">
        <v>750</v>
      </c>
      <c r="N15" s="145">
        <v>9.2560000000000002</v>
      </c>
      <c r="O15" s="129" t="s">
        <v>208</v>
      </c>
      <c r="P15" s="129"/>
      <c r="Q15" s="130" t="s">
        <v>117</v>
      </c>
      <c r="R15" s="131"/>
      <c r="S15" s="131"/>
      <c r="T15" s="132">
        <v>43446</v>
      </c>
      <c r="U15" s="132">
        <v>43447</v>
      </c>
      <c r="V15" s="132">
        <v>43448</v>
      </c>
      <c r="W15" s="132"/>
      <c r="X15" s="132"/>
      <c r="Y15" s="133" t="s">
        <v>181</v>
      </c>
      <c r="Z15" s="126" t="s">
        <v>64</v>
      </c>
      <c r="AA15" s="134" t="s">
        <v>209</v>
      </c>
      <c r="AB15" s="134" t="s">
        <v>210</v>
      </c>
      <c r="AC15" s="134">
        <v>43313</v>
      </c>
      <c r="AD15" s="134">
        <v>43413</v>
      </c>
      <c r="AE15" s="134"/>
      <c r="AF15" s="134">
        <f t="shared" ca="1" si="1"/>
        <v>44963</v>
      </c>
      <c r="AG15" s="126">
        <f t="shared" ca="1" si="2"/>
        <v>1550</v>
      </c>
      <c r="AH15" s="126">
        <f t="shared" ca="1" si="3"/>
        <v>1515</v>
      </c>
      <c r="AI15" s="134" t="s">
        <v>211</v>
      </c>
      <c r="AJ15" s="143" t="s">
        <v>206</v>
      </c>
      <c r="AK15" s="129">
        <v>9.3879999999999999</v>
      </c>
      <c r="AL15" s="129">
        <v>9.4179999999999993</v>
      </c>
      <c r="AM15" s="129">
        <v>9.4049999999999994</v>
      </c>
      <c r="AN15" s="129">
        <v>9.41</v>
      </c>
      <c r="AO15" s="126">
        <f t="shared" ca="1" si="4"/>
        <v>1516</v>
      </c>
      <c r="AP15" s="99">
        <v>150</v>
      </c>
      <c r="AR15" s="99" t="s">
        <v>136</v>
      </c>
      <c r="AT15" s="99" t="s">
        <v>186</v>
      </c>
      <c r="BC15" s="99">
        <v>0</v>
      </c>
      <c r="BE15" s="99" t="s">
        <v>125</v>
      </c>
      <c r="BG15" s="135" t="s">
        <v>137</v>
      </c>
    </row>
    <row r="16" spans="1:59" s="99" customFormat="1" ht="21" customHeight="1" x14ac:dyDescent="0.35">
      <c r="A16" s="99" t="s">
        <v>212</v>
      </c>
      <c r="B16" s="126" t="str">
        <f t="shared" si="5"/>
        <v>WIP-304/2B-001X767</v>
      </c>
      <c r="C16" s="126" t="s">
        <v>14</v>
      </c>
      <c r="D16" s="126" t="s">
        <v>113</v>
      </c>
      <c r="E16" s="143" t="s">
        <v>213</v>
      </c>
      <c r="F16" s="143" t="s">
        <v>214</v>
      </c>
      <c r="G16" s="126">
        <v>304</v>
      </c>
      <c r="H16" s="126" t="s">
        <v>116</v>
      </c>
      <c r="I16" s="127">
        <v>1.1000000000000001</v>
      </c>
      <c r="J16" s="127">
        <v>0.6</v>
      </c>
      <c r="K16" s="127">
        <v>0.57999999999999996</v>
      </c>
      <c r="L16" s="127">
        <v>0.6</v>
      </c>
      <c r="M16" s="144">
        <v>767</v>
      </c>
      <c r="N16" s="145">
        <v>2.5</v>
      </c>
      <c r="O16" s="129" t="s">
        <v>116</v>
      </c>
      <c r="P16" s="129"/>
      <c r="Q16" s="130" t="s">
        <v>117</v>
      </c>
      <c r="R16" s="131" t="s">
        <v>215</v>
      </c>
      <c r="S16" s="131"/>
      <c r="T16" s="132" t="s">
        <v>216</v>
      </c>
      <c r="U16" s="132" t="s">
        <v>217</v>
      </c>
      <c r="V16" s="132" t="s">
        <v>218</v>
      </c>
      <c r="W16" s="132"/>
      <c r="X16" s="132"/>
      <c r="Y16" s="133" t="s">
        <v>181</v>
      </c>
      <c r="Z16" s="126" t="s">
        <v>64</v>
      </c>
      <c r="AA16" s="134" t="s">
        <v>203</v>
      </c>
      <c r="AB16" s="134" t="s">
        <v>219</v>
      </c>
      <c r="AC16" s="134"/>
      <c r="AD16" s="134">
        <v>43564</v>
      </c>
      <c r="AE16" s="134"/>
      <c r="AF16" s="134">
        <f t="shared" ca="1" si="1"/>
        <v>44963</v>
      </c>
      <c r="AG16" s="126">
        <f t="shared" ca="1" si="2"/>
        <v>1399</v>
      </c>
      <c r="AH16" s="126" t="e">
        <f t="shared" ca="1" si="3"/>
        <v>#VALUE!</v>
      </c>
      <c r="AI16" s="134"/>
      <c r="AJ16" s="143" t="s">
        <v>220</v>
      </c>
      <c r="AK16" s="129">
        <v>10.53</v>
      </c>
      <c r="AL16" s="129">
        <v>10.54</v>
      </c>
      <c r="AM16" s="129">
        <v>10.559999999999999</v>
      </c>
      <c r="AN16" s="129">
        <v>10.565</v>
      </c>
      <c r="AO16" s="126" t="e">
        <f t="shared" ca="1" si="4"/>
        <v>#VALUE!</v>
      </c>
      <c r="AP16" s="99" t="s">
        <v>212</v>
      </c>
      <c r="AR16" s="99" t="s">
        <v>136</v>
      </c>
      <c r="AT16" s="99" t="s">
        <v>186</v>
      </c>
      <c r="BC16" s="99">
        <v>0</v>
      </c>
      <c r="BE16" s="99" t="s">
        <v>125</v>
      </c>
      <c r="BG16" s="135" t="s">
        <v>221</v>
      </c>
    </row>
    <row r="17" spans="1:59" s="99" customFormat="1" ht="21" customHeight="1" x14ac:dyDescent="0.35">
      <c r="A17" s="99">
        <v>257</v>
      </c>
      <c r="B17" s="126" t="str">
        <f t="shared" si="5"/>
        <v>WIP-304/2B-001X770</v>
      </c>
      <c r="C17" s="126" t="s">
        <v>14</v>
      </c>
      <c r="D17" s="126" t="s">
        <v>113</v>
      </c>
      <c r="E17" s="143" t="s">
        <v>222</v>
      </c>
      <c r="F17" s="143" t="s">
        <v>223</v>
      </c>
      <c r="G17" s="126">
        <v>304</v>
      </c>
      <c r="H17" s="126" t="s">
        <v>116</v>
      </c>
      <c r="I17" s="127">
        <v>3.46</v>
      </c>
      <c r="J17" s="127">
        <v>1.18</v>
      </c>
      <c r="K17" s="127">
        <v>1.1499999999999999</v>
      </c>
      <c r="L17" s="127">
        <v>1.18</v>
      </c>
      <c r="M17" s="144">
        <v>770</v>
      </c>
      <c r="N17" s="145">
        <v>2.855</v>
      </c>
      <c r="O17" s="129" t="s">
        <v>116</v>
      </c>
      <c r="P17" s="129"/>
      <c r="Q17" s="130" t="s">
        <v>117</v>
      </c>
      <c r="R17" s="130" t="s">
        <v>224</v>
      </c>
      <c r="S17" s="131"/>
      <c r="T17" s="132">
        <v>43867</v>
      </c>
      <c r="U17" s="132">
        <v>43868</v>
      </c>
      <c r="V17" s="132">
        <v>43871</v>
      </c>
      <c r="W17" s="132"/>
      <c r="X17" s="132"/>
      <c r="Y17" s="133"/>
      <c r="Z17" s="126" t="s">
        <v>64</v>
      </c>
      <c r="AA17" s="134" t="s">
        <v>203</v>
      </c>
      <c r="AB17" s="134" t="s">
        <v>225</v>
      </c>
      <c r="AC17" s="134"/>
      <c r="AD17" s="134">
        <v>43866</v>
      </c>
      <c r="AE17" s="134"/>
      <c r="AF17" s="134">
        <f t="shared" ca="1" si="1"/>
        <v>44963</v>
      </c>
      <c r="AG17" s="126">
        <f t="shared" ca="1" si="2"/>
        <v>1097</v>
      </c>
      <c r="AH17" s="126">
        <f t="shared" ca="1" si="3"/>
        <v>1092</v>
      </c>
      <c r="AI17" s="134"/>
      <c r="AJ17" s="143" t="s">
        <v>226</v>
      </c>
      <c r="AK17" s="129">
        <v>12.115</v>
      </c>
      <c r="AL17" s="129">
        <v>12.125</v>
      </c>
      <c r="AM17" s="129">
        <v>12.174999999999999</v>
      </c>
      <c r="AN17" s="129">
        <v>12.18</v>
      </c>
      <c r="AO17" s="126">
        <f t="shared" ca="1" si="4"/>
        <v>1095</v>
      </c>
      <c r="AR17" s="99" t="s">
        <v>136</v>
      </c>
      <c r="BE17" s="99" t="s">
        <v>227</v>
      </c>
      <c r="BG17" s="135" t="s">
        <v>157</v>
      </c>
    </row>
    <row r="18" spans="1:59" s="99" customFormat="1" ht="21" customHeight="1" x14ac:dyDescent="0.3">
      <c r="A18" s="99">
        <v>260</v>
      </c>
      <c r="B18" s="126" t="str">
        <f t="shared" si="5"/>
        <v>WIP-304L/2B-001X760</v>
      </c>
      <c r="C18" s="126" t="s">
        <v>14</v>
      </c>
      <c r="D18" s="126" t="s">
        <v>113</v>
      </c>
      <c r="E18" s="143" t="s">
        <v>228</v>
      </c>
      <c r="F18" s="143" t="s">
        <v>229</v>
      </c>
      <c r="G18" s="126" t="s">
        <v>230</v>
      </c>
      <c r="H18" s="126" t="s">
        <v>116</v>
      </c>
      <c r="I18" s="127">
        <v>0.92</v>
      </c>
      <c r="J18" s="127">
        <v>0.5</v>
      </c>
      <c r="K18" s="127">
        <v>0.5</v>
      </c>
      <c r="L18" s="127">
        <v>0.51</v>
      </c>
      <c r="M18" s="144">
        <v>760</v>
      </c>
      <c r="N18" s="129">
        <v>3.75</v>
      </c>
      <c r="O18" s="129" t="s">
        <v>116</v>
      </c>
      <c r="P18" s="129"/>
      <c r="Q18" s="130" t="s">
        <v>231</v>
      </c>
      <c r="R18" s="130" t="s">
        <v>232</v>
      </c>
      <c r="S18" s="146" t="s">
        <v>233</v>
      </c>
      <c r="T18" s="132" t="s">
        <v>234</v>
      </c>
      <c r="U18" s="132" t="s">
        <v>235</v>
      </c>
      <c r="V18" s="132" t="s">
        <v>236</v>
      </c>
      <c r="W18" s="132" t="s">
        <v>237</v>
      </c>
      <c r="X18" s="132"/>
      <c r="Y18" s="133"/>
      <c r="Z18" s="126" t="s">
        <v>64</v>
      </c>
      <c r="AA18" s="134" t="s">
        <v>203</v>
      </c>
      <c r="AB18" s="134" t="s">
        <v>238</v>
      </c>
      <c r="AC18" s="134"/>
      <c r="AD18" s="134">
        <v>43881</v>
      </c>
      <c r="AE18" s="134"/>
      <c r="AF18" s="134">
        <f t="shared" ca="1" si="1"/>
        <v>44963</v>
      </c>
      <c r="AG18" s="126">
        <f t="shared" ca="1" si="2"/>
        <v>1082</v>
      </c>
      <c r="AH18" s="126" t="e">
        <f t="shared" ca="1" si="3"/>
        <v>#VALUE!</v>
      </c>
      <c r="AI18" s="134"/>
      <c r="AJ18" s="143" t="s">
        <v>239</v>
      </c>
      <c r="AK18" s="129">
        <v>10.404999999999999</v>
      </c>
      <c r="AL18" s="129">
        <v>10.414999999999999</v>
      </c>
      <c r="AM18" s="129">
        <v>10.44</v>
      </c>
      <c r="AN18" s="129">
        <v>10.445</v>
      </c>
      <c r="AO18" s="126" t="e">
        <f t="shared" ca="1" si="4"/>
        <v>#VALUE!</v>
      </c>
      <c r="AR18" s="99" t="s">
        <v>136</v>
      </c>
      <c r="AT18" s="99" t="s">
        <v>240</v>
      </c>
      <c r="BE18" s="99" t="s">
        <v>227</v>
      </c>
      <c r="BG18" s="135" t="s">
        <v>157</v>
      </c>
    </row>
    <row r="19" spans="1:59" s="99" customFormat="1" ht="21" customHeight="1" x14ac:dyDescent="0.35">
      <c r="A19" s="99">
        <v>43869</v>
      </c>
      <c r="B19" s="126" t="str">
        <f t="shared" si="5"/>
        <v>WIP-304L/2B-001X770</v>
      </c>
      <c r="C19" s="126" t="s">
        <v>14</v>
      </c>
      <c r="D19" s="126" t="s">
        <v>113</v>
      </c>
      <c r="E19" s="143" t="s">
        <v>241</v>
      </c>
      <c r="F19" s="143" t="s">
        <v>242</v>
      </c>
      <c r="G19" s="126" t="s">
        <v>230</v>
      </c>
      <c r="H19" s="126" t="s">
        <v>116</v>
      </c>
      <c r="I19" s="127">
        <v>2.98</v>
      </c>
      <c r="J19" s="127">
        <v>1.2</v>
      </c>
      <c r="K19" s="127">
        <v>1.19</v>
      </c>
      <c r="L19" s="127">
        <v>1.23</v>
      </c>
      <c r="M19" s="144">
        <v>770</v>
      </c>
      <c r="N19" s="145">
        <v>2.89</v>
      </c>
      <c r="O19" s="129" t="s">
        <v>116</v>
      </c>
      <c r="P19" s="129"/>
      <c r="Q19" s="130" t="s">
        <v>117</v>
      </c>
      <c r="R19" s="130" t="s">
        <v>243</v>
      </c>
      <c r="S19" s="131"/>
      <c r="T19" s="132">
        <v>43859</v>
      </c>
      <c r="U19" s="132">
        <v>43859</v>
      </c>
      <c r="V19" s="132">
        <v>43869</v>
      </c>
      <c r="W19" s="132"/>
      <c r="X19" s="132"/>
      <c r="Y19" s="126"/>
      <c r="Z19" s="126" t="s">
        <v>64</v>
      </c>
      <c r="AA19" s="134" t="s">
        <v>203</v>
      </c>
      <c r="AB19" s="134" t="s">
        <v>225</v>
      </c>
      <c r="AC19" s="134"/>
      <c r="AD19" s="134">
        <v>43854</v>
      </c>
      <c r="AE19" s="134"/>
      <c r="AF19" s="134">
        <f t="shared" ca="1" si="1"/>
        <v>44963</v>
      </c>
      <c r="AG19" s="126">
        <f t="shared" ca="1" si="2"/>
        <v>1109</v>
      </c>
      <c r="AH19" s="126">
        <f t="shared" ca="1" si="3"/>
        <v>1094</v>
      </c>
      <c r="AI19" s="134"/>
      <c r="AJ19" s="143" t="s">
        <v>244</v>
      </c>
      <c r="AK19" s="129">
        <v>9.6649999999999991</v>
      </c>
      <c r="AL19" s="129">
        <v>9.6750000000000007</v>
      </c>
      <c r="AM19" s="129">
        <v>9.6849999999999987</v>
      </c>
      <c r="AN19" s="129">
        <v>9.69</v>
      </c>
      <c r="AO19" s="126">
        <f t="shared" ca="1" si="4"/>
        <v>1104</v>
      </c>
      <c r="AR19" s="99" t="s">
        <v>136</v>
      </c>
      <c r="BE19" s="99" t="s">
        <v>227</v>
      </c>
      <c r="BG19" s="135" t="s">
        <v>137</v>
      </c>
    </row>
    <row r="20" spans="1:59" s="99" customFormat="1" ht="21" customHeight="1" x14ac:dyDescent="0.35">
      <c r="A20" s="99">
        <v>286</v>
      </c>
      <c r="B20" s="126" t="str">
        <f t="shared" si="5"/>
        <v>WIP-J1/2B-000X630</v>
      </c>
      <c r="C20" s="126" t="s">
        <v>14</v>
      </c>
      <c r="D20" s="126" t="s">
        <v>113</v>
      </c>
      <c r="E20" s="143" t="s">
        <v>245</v>
      </c>
      <c r="F20" s="143" t="s">
        <v>246</v>
      </c>
      <c r="G20" s="126" t="s">
        <v>27</v>
      </c>
      <c r="H20" s="126" t="s">
        <v>116</v>
      </c>
      <c r="I20" s="127">
        <v>0.5</v>
      </c>
      <c r="J20" s="127">
        <v>0.3</v>
      </c>
      <c r="K20" s="127">
        <v>0.3</v>
      </c>
      <c r="L20" s="127">
        <v>0.32</v>
      </c>
      <c r="M20" s="144">
        <v>630</v>
      </c>
      <c r="N20" s="129">
        <f>5.84-4.075</f>
        <v>1.7649999999999997</v>
      </c>
      <c r="O20" s="129" t="s">
        <v>116</v>
      </c>
      <c r="P20" s="129"/>
      <c r="Q20" s="130" t="s">
        <v>117</v>
      </c>
      <c r="R20" s="130" t="s">
        <v>247</v>
      </c>
      <c r="S20" s="131"/>
      <c r="T20" s="132" t="s">
        <v>248</v>
      </c>
      <c r="U20" s="132" t="s">
        <v>249</v>
      </c>
      <c r="V20" s="132" t="s">
        <v>250</v>
      </c>
      <c r="W20" s="132" t="s">
        <v>251</v>
      </c>
      <c r="X20" s="132"/>
      <c r="Y20" s="133"/>
      <c r="Z20" s="126" t="s">
        <v>64</v>
      </c>
      <c r="AA20" s="134" t="s">
        <v>203</v>
      </c>
      <c r="AB20" s="134" t="s">
        <v>252</v>
      </c>
      <c r="AC20" s="134"/>
      <c r="AD20" s="134">
        <v>44015</v>
      </c>
      <c r="AE20" s="134"/>
      <c r="AF20" s="134">
        <f t="shared" ca="1" si="1"/>
        <v>44963</v>
      </c>
      <c r="AG20" s="126">
        <f t="shared" ca="1" si="2"/>
        <v>948</v>
      </c>
      <c r="AH20" s="126" t="e">
        <f t="shared" ca="1" si="3"/>
        <v>#VALUE!</v>
      </c>
      <c r="AI20" s="134"/>
      <c r="AJ20" s="143" t="s">
        <v>253</v>
      </c>
      <c r="AK20" s="129">
        <v>10.404999999999999</v>
      </c>
      <c r="AL20" s="129">
        <v>10.414999999999999</v>
      </c>
      <c r="AM20" s="129">
        <v>10.439999999999998</v>
      </c>
      <c r="AN20" s="129">
        <v>10.444999999999999</v>
      </c>
      <c r="AO20" s="126" t="e">
        <f t="shared" ca="1" si="4"/>
        <v>#VALUE!</v>
      </c>
      <c r="AR20" s="99" t="s">
        <v>136</v>
      </c>
      <c r="BG20" s="135" t="s">
        <v>157</v>
      </c>
    </row>
    <row r="21" spans="1:59" s="99" customFormat="1" ht="21" customHeight="1" x14ac:dyDescent="0.35">
      <c r="A21" s="99">
        <v>300</v>
      </c>
      <c r="B21" s="126" t="str">
        <f t="shared" ref="B21:B84" si="6">IF(C21="HOLD RM","HOLD RM",IF(C21="BAL","WIP",IF(C21="HOLD SLT","HOLD SLT",IF(C21="MILL","RM",IF(C21="RE SLT","WIP",IF(C21="RM","RM",IF(C21="RM BAL","RM",IF(C21="RM SLT","RM",IF(C21="RR","WIP",IF(C21="SKP","WIP",IF(C21="SLT","WIP",IF(C21="CTL","WIP",IF(C21="RM SLT RUST","RM SLT RUST",0)))))))))))))&amp;"-"&amp;G21&amp;"/"&amp;IF(H21="2B","2B",IF(H21="NO.1","1D",IF(H21="FH","FH",0)))&amp;"-"&amp;IF(J21="",(TEXT(I21,"0.00")),TEXT(J21,"0.00"))&amp;"X"&amp;M21</f>
        <v>WIP-J1/2B-000X720</v>
      </c>
      <c r="C21" s="126" t="s">
        <v>14</v>
      </c>
      <c r="D21" s="126" t="s">
        <v>113</v>
      </c>
      <c r="E21" s="143" t="s">
        <v>254</v>
      </c>
      <c r="F21" s="143" t="s">
        <v>255</v>
      </c>
      <c r="G21" s="126" t="s">
        <v>27</v>
      </c>
      <c r="H21" s="126" t="s">
        <v>116</v>
      </c>
      <c r="I21" s="127">
        <v>0.95</v>
      </c>
      <c r="J21" s="127">
        <v>0.47</v>
      </c>
      <c r="K21" s="127">
        <v>0.48</v>
      </c>
      <c r="L21" s="127">
        <v>0.49</v>
      </c>
      <c r="M21" s="144">
        <v>720</v>
      </c>
      <c r="N21" s="129">
        <v>4.9950000000000001</v>
      </c>
      <c r="O21" s="129" t="s">
        <v>116</v>
      </c>
      <c r="P21" s="129"/>
      <c r="Q21" s="130" t="s">
        <v>117</v>
      </c>
      <c r="R21" s="130" t="s">
        <v>256</v>
      </c>
      <c r="S21" s="131" t="s">
        <v>257</v>
      </c>
      <c r="T21" s="132" t="s">
        <v>258</v>
      </c>
      <c r="U21" s="132" t="s">
        <v>259</v>
      </c>
      <c r="V21" s="132" t="s">
        <v>259</v>
      </c>
      <c r="W21" s="132" t="s">
        <v>260</v>
      </c>
      <c r="X21" s="132"/>
      <c r="Y21" s="133"/>
      <c r="Z21" s="126" t="s">
        <v>116</v>
      </c>
      <c r="AA21" s="134" t="s">
        <v>261</v>
      </c>
      <c r="AB21" s="134" t="s">
        <v>262</v>
      </c>
      <c r="AC21" s="134">
        <v>44042</v>
      </c>
      <c r="AD21" s="134">
        <v>44068</v>
      </c>
      <c r="AE21" s="134"/>
      <c r="AF21" s="134">
        <f t="shared" ca="1" si="1"/>
        <v>44963</v>
      </c>
      <c r="AG21" s="126">
        <f t="shared" ca="1" si="2"/>
        <v>895</v>
      </c>
      <c r="AH21" s="126" t="e">
        <f t="shared" ca="1" si="3"/>
        <v>#VALUE!</v>
      </c>
      <c r="AI21" s="134" t="s">
        <v>263</v>
      </c>
      <c r="AJ21" s="143" t="s">
        <v>264</v>
      </c>
      <c r="AK21" s="129">
        <v>11.952999999999999</v>
      </c>
      <c r="AL21" s="129">
        <v>11.982999999999999</v>
      </c>
      <c r="AM21" s="129">
        <v>12.007999999999997</v>
      </c>
      <c r="AN21" s="129">
        <v>12.012999999999998</v>
      </c>
      <c r="AO21" s="126" t="e">
        <f t="shared" ca="1" si="4"/>
        <v>#VALUE!</v>
      </c>
      <c r="AR21" s="99" t="s">
        <v>136</v>
      </c>
      <c r="BG21" s="135" t="s">
        <v>137</v>
      </c>
    </row>
    <row r="22" spans="1:59" s="99" customFormat="1" ht="21" customHeight="1" x14ac:dyDescent="0.35">
      <c r="A22" s="99">
        <v>315</v>
      </c>
      <c r="B22" s="126" t="str">
        <f t="shared" si="6"/>
        <v>WIP-304/FH-000X755</v>
      </c>
      <c r="C22" s="126" t="s">
        <v>13</v>
      </c>
      <c r="D22" s="126" t="s">
        <v>13</v>
      </c>
      <c r="E22" s="143" t="s">
        <v>265</v>
      </c>
      <c r="F22" s="143" t="s">
        <v>266</v>
      </c>
      <c r="G22" s="126">
        <v>304</v>
      </c>
      <c r="H22" s="126" t="s">
        <v>65</v>
      </c>
      <c r="I22" s="127">
        <v>0.92</v>
      </c>
      <c r="J22" s="127">
        <v>0.4</v>
      </c>
      <c r="K22" s="127"/>
      <c r="L22" s="127"/>
      <c r="M22" s="144">
        <v>755</v>
      </c>
      <c r="N22" s="129">
        <v>1.7</v>
      </c>
      <c r="O22" s="129" t="s">
        <v>116</v>
      </c>
      <c r="P22" s="129"/>
      <c r="Q22" s="130" t="s">
        <v>117</v>
      </c>
      <c r="R22" s="130" t="s">
        <v>267</v>
      </c>
      <c r="S22" s="131" t="s">
        <v>268</v>
      </c>
      <c r="T22" s="132" t="s">
        <v>269</v>
      </c>
      <c r="U22" s="132" t="s">
        <v>270</v>
      </c>
      <c r="V22" s="132">
        <v>44126</v>
      </c>
      <c r="W22" s="132">
        <v>44255</v>
      </c>
      <c r="X22" s="132"/>
      <c r="Y22" s="133"/>
      <c r="Z22" s="126" t="s">
        <v>64</v>
      </c>
      <c r="AA22" s="134" t="s">
        <v>154</v>
      </c>
      <c r="AB22" s="134" t="s">
        <v>271</v>
      </c>
      <c r="AC22" s="134"/>
      <c r="AD22" s="134">
        <v>44121</v>
      </c>
      <c r="AE22" s="134"/>
      <c r="AF22" s="134">
        <f t="shared" ca="1" si="1"/>
        <v>44963</v>
      </c>
      <c r="AG22" s="126">
        <f t="shared" ca="1" si="2"/>
        <v>842</v>
      </c>
      <c r="AH22" s="126">
        <f t="shared" ca="1" si="3"/>
        <v>837</v>
      </c>
      <c r="AI22" s="134"/>
      <c r="AJ22" s="143" t="s">
        <v>272</v>
      </c>
      <c r="AK22" s="129">
        <v>10.455</v>
      </c>
      <c r="AL22" s="129">
        <v>10.465</v>
      </c>
      <c r="AM22" s="129">
        <v>10.489999999999998</v>
      </c>
      <c r="AN22" s="129">
        <v>10.494999999999999</v>
      </c>
      <c r="AO22" s="126">
        <f t="shared" ca="1" si="4"/>
        <v>764</v>
      </c>
      <c r="AR22" s="99" t="s">
        <v>136</v>
      </c>
      <c r="BG22" s="135" t="s">
        <v>273</v>
      </c>
    </row>
    <row r="23" spans="1:59" s="99" customFormat="1" ht="21" customHeight="1" x14ac:dyDescent="0.35">
      <c r="A23" s="99">
        <v>316</v>
      </c>
      <c r="B23" s="126" t="str">
        <f t="shared" si="6"/>
        <v>WIP-J1/2B-000X703</v>
      </c>
      <c r="C23" s="126" t="s">
        <v>14</v>
      </c>
      <c r="D23" s="126" t="s">
        <v>113</v>
      </c>
      <c r="E23" s="143" t="s">
        <v>274</v>
      </c>
      <c r="F23" s="143" t="s">
        <v>275</v>
      </c>
      <c r="G23" s="126" t="s">
        <v>27</v>
      </c>
      <c r="H23" s="126" t="s">
        <v>116</v>
      </c>
      <c r="I23" s="127">
        <v>0.75</v>
      </c>
      <c r="J23" s="127">
        <v>0.4</v>
      </c>
      <c r="K23" s="127">
        <v>0.4</v>
      </c>
      <c r="L23" s="127">
        <v>0.42</v>
      </c>
      <c r="M23" s="144">
        <v>703</v>
      </c>
      <c r="N23" s="129">
        <v>5.55</v>
      </c>
      <c r="O23" s="129" t="s">
        <v>116</v>
      </c>
      <c r="P23" s="129"/>
      <c r="Q23" s="130" t="s">
        <v>117</v>
      </c>
      <c r="R23" s="131" t="s">
        <v>276</v>
      </c>
      <c r="S23" s="131" t="s">
        <v>257</v>
      </c>
      <c r="T23" s="132">
        <v>44365</v>
      </c>
      <c r="U23" s="132">
        <v>44368</v>
      </c>
      <c r="V23" s="132">
        <v>44369</v>
      </c>
      <c r="W23" s="132" t="s">
        <v>277</v>
      </c>
      <c r="X23" s="132"/>
      <c r="Y23" s="133"/>
      <c r="Z23" s="126" t="s">
        <v>116</v>
      </c>
      <c r="AA23" s="134" t="s">
        <v>261</v>
      </c>
      <c r="AB23" s="134" t="s">
        <v>278</v>
      </c>
      <c r="AC23" s="134"/>
      <c r="AD23" s="134">
        <v>44126</v>
      </c>
      <c r="AE23" s="134"/>
      <c r="AF23" s="134">
        <f t="shared" ca="1" si="1"/>
        <v>44963</v>
      </c>
      <c r="AG23" s="126">
        <f t="shared" ca="1" si="2"/>
        <v>837</v>
      </c>
      <c r="AH23" s="126">
        <f t="shared" ca="1" si="3"/>
        <v>594</v>
      </c>
      <c r="AI23" s="134" t="s">
        <v>279</v>
      </c>
      <c r="AJ23" s="143" t="s">
        <v>280</v>
      </c>
      <c r="AK23" s="129">
        <v>11.273</v>
      </c>
      <c r="AL23" s="129">
        <v>11.302999999999999</v>
      </c>
      <c r="AM23" s="129">
        <v>11.327999999999998</v>
      </c>
      <c r="AN23" s="129">
        <v>11.332999999999998</v>
      </c>
      <c r="AO23" s="126">
        <f t="shared" ca="1" si="4"/>
        <v>595</v>
      </c>
      <c r="AR23" s="99" t="s">
        <v>136</v>
      </c>
      <c r="BG23" s="135" t="s">
        <v>281</v>
      </c>
    </row>
    <row r="24" spans="1:59" s="99" customFormat="1" ht="21" customHeight="1" x14ac:dyDescent="0.35">
      <c r="A24" s="99">
        <v>334</v>
      </c>
      <c r="B24" s="126" t="str">
        <f t="shared" si="6"/>
        <v>WIP-J3/2B-001X595</v>
      </c>
      <c r="C24" s="126" t="s">
        <v>14</v>
      </c>
      <c r="D24" s="126" t="s">
        <v>113</v>
      </c>
      <c r="E24" s="143" t="s">
        <v>282</v>
      </c>
      <c r="F24" s="143" t="s">
        <v>283</v>
      </c>
      <c r="G24" s="126" t="s">
        <v>29</v>
      </c>
      <c r="H24" s="126" t="s">
        <v>116</v>
      </c>
      <c r="I24" s="127">
        <v>2.4</v>
      </c>
      <c r="J24" s="127">
        <v>1.2</v>
      </c>
      <c r="K24" s="127">
        <v>1.19</v>
      </c>
      <c r="L24" s="127">
        <v>1.2</v>
      </c>
      <c r="M24" s="144">
        <v>595</v>
      </c>
      <c r="N24" s="129">
        <v>2.8250000000000002</v>
      </c>
      <c r="O24" s="129" t="s">
        <v>116</v>
      </c>
      <c r="P24" s="129"/>
      <c r="Q24" s="130" t="s">
        <v>117</v>
      </c>
      <c r="R24" s="131" t="s">
        <v>284</v>
      </c>
      <c r="S24" s="131" t="s">
        <v>285</v>
      </c>
      <c r="T24" s="132">
        <v>44221</v>
      </c>
      <c r="U24" s="132">
        <v>44222</v>
      </c>
      <c r="V24" s="132">
        <v>44224</v>
      </c>
      <c r="W24" s="132"/>
      <c r="X24" s="132"/>
      <c r="Y24" s="133"/>
      <c r="Z24" s="126" t="s">
        <v>64</v>
      </c>
      <c r="AA24" s="134" t="s">
        <v>261</v>
      </c>
      <c r="AB24" s="134" t="s">
        <v>286</v>
      </c>
      <c r="AC24" s="134">
        <v>44154</v>
      </c>
      <c r="AD24" s="134">
        <v>44176</v>
      </c>
      <c r="AE24" s="134"/>
      <c r="AF24" s="134">
        <f t="shared" ca="1" si="1"/>
        <v>44963</v>
      </c>
      <c r="AG24" s="126">
        <f t="shared" ca="1" si="2"/>
        <v>787</v>
      </c>
      <c r="AH24" s="126">
        <f t="shared" ca="1" si="3"/>
        <v>739</v>
      </c>
      <c r="AI24" s="134" t="s">
        <v>287</v>
      </c>
      <c r="AJ24" s="143" t="s">
        <v>288</v>
      </c>
      <c r="AK24" s="129">
        <v>8.09</v>
      </c>
      <c r="AL24" s="129">
        <v>8.1199999999999992</v>
      </c>
      <c r="AM24" s="129">
        <v>8.1449999999999978</v>
      </c>
      <c r="AN24" s="129">
        <v>8.1499999999999986</v>
      </c>
      <c r="AO24" s="126">
        <f t="shared" ca="1" si="4"/>
        <v>741</v>
      </c>
      <c r="AR24" s="99" t="s">
        <v>136</v>
      </c>
      <c r="BG24" s="135" t="s">
        <v>137</v>
      </c>
    </row>
    <row r="25" spans="1:59" s="99" customFormat="1" ht="21" customHeight="1" x14ac:dyDescent="0.35">
      <c r="A25" s="99">
        <v>344</v>
      </c>
      <c r="B25" s="126" t="str">
        <f t="shared" si="6"/>
        <v>WIP-J3/2B-000X585</v>
      </c>
      <c r="C25" s="126" t="s">
        <v>14</v>
      </c>
      <c r="D25" s="126" t="s">
        <v>113</v>
      </c>
      <c r="E25" s="143" t="s">
        <v>289</v>
      </c>
      <c r="F25" s="143" t="s">
        <v>290</v>
      </c>
      <c r="G25" s="126" t="s">
        <v>29</v>
      </c>
      <c r="H25" s="126" t="s">
        <v>116</v>
      </c>
      <c r="I25" s="127">
        <v>0.73</v>
      </c>
      <c r="J25" s="127">
        <v>0.4</v>
      </c>
      <c r="K25" s="127">
        <v>0.4</v>
      </c>
      <c r="L25" s="127">
        <v>0.42</v>
      </c>
      <c r="M25" s="144">
        <v>585</v>
      </c>
      <c r="N25" s="129">
        <v>2.2599999999999998</v>
      </c>
      <c r="O25" s="129" t="s">
        <v>116</v>
      </c>
      <c r="P25" s="129"/>
      <c r="Q25" s="130" t="s">
        <v>291</v>
      </c>
      <c r="R25" s="130" t="s">
        <v>292</v>
      </c>
      <c r="S25" s="131" t="s">
        <v>293</v>
      </c>
      <c r="T25" s="132" t="s">
        <v>294</v>
      </c>
      <c r="U25" s="132" t="s">
        <v>295</v>
      </c>
      <c r="V25" s="132" t="s">
        <v>296</v>
      </c>
      <c r="W25" s="132" t="s">
        <v>297</v>
      </c>
      <c r="X25" s="132"/>
      <c r="Y25" s="133"/>
      <c r="Z25" s="126" t="s">
        <v>64</v>
      </c>
      <c r="AA25" s="134" t="s">
        <v>261</v>
      </c>
      <c r="AB25" s="134" t="s">
        <v>298</v>
      </c>
      <c r="AC25" s="134">
        <v>44177</v>
      </c>
      <c r="AD25" s="134">
        <v>44212</v>
      </c>
      <c r="AE25" s="134"/>
      <c r="AF25" s="134">
        <f t="shared" ca="1" si="1"/>
        <v>44963</v>
      </c>
      <c r="AG25" s="126">
        <f t="shared" ca="1" si="2"/>
        <v>751</v>
      </c>
      <c r="AH25" s="126" t="e">
        <f t="shared" ca="1" si="3"/>
        <v>#VALUE!</v>
      </c>
      <c r="AI25" s="134" t="s">
        <v>299</v>
      </c>
      <c r="AJ25" s="143" t="s">
        <v>300</v>
      </c>
      <c r="AK25" s="129">
        <v>8.16</v>
      </c>
      <c r="AL25" s="129">
        <v>8.1999999999999993</v>
      </c>
      <c r="AM25" s="129">
        <v>8.2249999999999979</v>
      </c>
      <c r="AN25" s="129">
        <v>8.2299999999999986</v>
      </c>
      <c r="AO25" s="126" t="e">
        <f t="shared" ca="1" si="4"/>
        <v>#VALUE!</v>
      </c>
      <c r="AR25" s="99" t="s">
        <v>136</v>
      </c>
      <c r="BG25" s="135" t="s">
        <v>301</v>
      </c>
    </row>
    <row r="26" spans="1:59" s="99" customFormat="1" ht="21" customHeight="1" x14ac:dyDescent="0.35">
      <c r="A26" s="99">
        <v>344</v>
      </c>
      <c r="B26" s="126" t="str">
        <f t="shared" si="6"/>
        <v>WIP-J3/FH-000X585</v>
      </c>
      <c r="C26" s="126" t="s">
        <v>13</v>
      </c>
      <c r="D26" s="126" t="s">
        <v>13</v>
      </c>
      <c r="E26" s="143" t="s">
        <v>302</v>
      </c>
      <c r="F26" s="143" t="s">
        <v>303</v>
      </c>
      <c r="G26" s="126" t="s">
        <v>29</v>
      </c>
      <c r="H26" s="126" t="s">
        <v>65</v>
      </c>
      <c r="I26" s="127">
        <v>0.55000000000000004</v>
      </c>
      <c r="J26" s="127">
        <v>0.28000000000000003</v>
      </c>
      <c r="K26" s="127"/>
      <c r="L26" s="127"/>
      <c r="M26" s="144">
        <v>585</v>
      </c>
      <c r="N26" s="129">
        <v>1.1399999999999999</v>
      </c>
      <c r="O26" s="129" t="s">
        <v>116</v>
      </c>
      <c r="P26" s="129"/>
      <c r="Q26" s="130" t="s">
        <v>117</v>
      </c>
      <c r="R26" s="130" t="s">
        <v>304</v>
      </c>
      <c r="S26" s="131" t="s">
        <v>305</v>
      </c>
      <c r="T26" s="132" t="s">
        <v>306</v>
      </c>
      <c r="U26" s="132" t="s">
        <v>307</v>
      </c>
      <c r="V26" s="132" t="s">
        <v>308</v>
      </c>
      <c r="W26" s="132" t="s">
        <v>309</v>
      </c>
      <c r="X26" s="132"/>
      <c r="Y26" s="133"/>
      <c r="Z26" s="126" t="s">
        <v>64</v>
      </c>
      <c r="AA26" s="134" t="s">
        <v>261</v>
      </c>
      <c r="AB26" s="134" t="s">
        <v>298</v>
      </c>
      <c r="AC26" s="134">
        <v>44177</v>
      </c>
      <c r="AD26" s="134">
        <v>44212</v>
      </c>
      <c r="AE26" s="134"/>
      <c r="AF26" s="134">
        <f t="shared" ca="1" si="1"/>
        <v>44963</v>
      </c>
      <c r="AG26" s="126">
        <f t="shared" ca="1" si="2"/>
        <v>751</v>
      </c>
      <c r="AH26" s="126" t="e">
        <f t="shared" ca="1" si="3"/>
        <v>#VALUE!</v>
      </c>
      <c r="AI26" s="134" t="s">
        <v>310</v>
      </c>
      <c r="AJ26" s="143" t="s">
        <v>311</v>
      </c>
      <c r="AK26" s="129">
        <v>8.2479999999999993</v>
      </c>
      <c r="AL26" s="129">
        <v>8.2879999999999985</v>
      </c>
      <c r="AM26" s="129">
        <v>8.3129999999999971</v>
      </c>
      <c r="AN26" s="129">
        <v>8.3179999999999978</v>
      </c>
      <c r="AO26" s="126" t="e">
        <f t="shared" ca="1" si="4"/>
        <v>#VALUE!</v>
      </c>
      <c r="AR26" s="99" t="s">
        <v>136</v>
      </c>
      <c r="BG26" s="135" t="s">
        <v>273</v>
      </c>
    </row>
    <row r="27" spans="1:59" s="99" customFormat="1" ht="21" customHeight="1" x14ac:dyDescent="0.35">
      <c r="A27" s="99">
        <v>344</v>
      </c>
      <c r="B27" s="126" t="str">
        <f t="shared" si="6"/>
        <v>WIP-J3/FH-000X585</v>
      </c>
      <c r="C27" s="126" t="s">
        <v>13</v>
      </c>
      <c r="D27" s="126" t="s">
        <v>13</v>
      </c>
      <c r="E27" s="143" t="s">
        <v>312</v>
      </c>
      <c r="F27" s="143" t="s">
        <v>313</v>
      </c>
      <c r="G27" s="126" t="s">
        <v>29</v>
      </c>
      <c r="H27" s="126" t="s">
        <v>65</v>
      </c>
      <c r="I27" s="127">
        <v>0.75</v>
      </c>
      <c r="J27" s="127">
        <v>0.36</v>
      </c>
      <c r="K27" s="127"/>
      <c r="L27" s="127"/>
      <c r="M27" s="144">
        <v>585</v>
      </c>
      <c r="N27" s="129">
        <v>2.2450000000000001</v>
      </c>
      <c r="O27" s="129" t="s">
        <v>116</v>
      </c>
      <c r="P27" s="129"/>
      <c r="Q27" s="131" t="s">
        <v>117</v>
      </c>
      <c r="R27" s="130" t="s">
        <v>160</v>
      </c>
      <c r="S27" s="130" t="s">
        <v>314</v>
      </c>
      <c r="T27" s="132" t="s">
        <v>315</v>
      </c>
      <c r="U27" s="132" t="s">
        <v>316</v>
      </c>
      <c r="V27" s="132">
        <v>44255</v>
      </c>
      <c r="W27" s="132" t="s">
        <v>317</v>
      </c>
      <c r="X27" s="132"/>
      <c r="Y27" s="133"/>
      <c r="Z27" s="126" t="s">
        <v>64</v>
      </c>
      <c r="AA27" s="134" t="s">
        <v>261</v>
      </c>
      <c r="AB27" s="134" t="s">
        <v>298</v>
      </c>
      <c r="AC27" s="134">
        <v>44177</v>
      </c>
      <c r="AD27" s="134">
        <v>44212</v>
      </c>
      <c r="AE27" s="134"/>
      <c r="AF27" s="134">
        <f t="shared" ca="1" si="1"/>
        <v>44963</v>
      </c>
      <c r="AG27" s="126">
        <f t="shared" ca="1" si="2"/>
        <v>751</v>
      </c>
      <c r="AH27" s="126">
        <f t="shared" ca="1" si="3"/>
        <v>708</v>
      </c>
      <c r="AI27" s="134" t="s">
        <v>318</v>
      </c>
      <c r="AJ27" s="143" t="s">
        <v>319</v>
      </c>
      <c r="AK27" s="129">
        <v>8.17</v>
      </c>
      <c r="AL27" s="129">
        <v>8.2099999999999991</v>
      </c>
      <c r="AM27" s="129">
        <v>8.2349999999999977</v>
      </c>
      <c r="AN27" s="129">
        <v>8.2399999999999984</v>
      </c>
      <c r="AO27" s="126" t="e">
        <f t="shared" ca="1" si="4"/>
        <v>#VALUE!</v>
      </c>
      <c r="AR27" s="99" t="s">
        <v>136</v>
      </c>
      <c r="BG27" s="135" t="s">
        <v>301</v>
      </c>
    </row>
    <row r="28" spans="1:59" s="99" customFormat="1" ht="21" customHeight="1" x14ac:dyDescent="0.35">
      <c r="A28" s="99">
        <v>349</v>
      </c>
      <c r="B28" s="126" t="str">
        <f t="shared" si="6"/>
        <v>RM-J4/1D-002X595</v>
      </c>
      <c r="C28" s="126" t="s">
        <v>43</v>
      </c>
      <c r="D28" s="126" t="s">
        <v>43</v>
      </c>
      <c r="E28" s="143" t="s">
        <v>320</v>
      </c>
      <c r="F28" s="143" t="s">
        <v>321</v>
      </c>
      <c r="G28" s="126" t="s">
        <v>30</v>
      </c>
      <c r="H28" s="126" t="s">
        <v>139</v>
      </c>
      <c r="I28" s="127">
        <v>2.2000000000000002</v>
      </c>
      <c r="J28" s="127"/>
      <c r="K28" s="127"/>
      <c r="L28" s="127"/>
      <c r="M28" s="144">
        <v>595</v>
      </c>
      <c r="N28" s="129">
        <v>8.202</v>
      </c>
      <c r="O28" s="129"/>
      <c r="P28" s="129"/>
      <c r="Q28" s="130"/>
      <c r="R28" s="131"/>
      <c r="S28" s="131"/>
      <c r="T28" s="132"/>
      <c r="U28" s="132"/>
      <c r="V28" s="132"/>
      <c r="W28" s="132"/>
      <c r="X28" s="132"/>
      <c r="Y28" s="133"/>
      <c r="Z28" s="126" t="s">
        <v>64</v>
      </c>
      <c r="AA28" s="134" t="s">
        <v>322</v>
      </c>
      <c r="AB28" s="134" t="s">
        <v>323</v>
      </c>
      <c r="AC28" s="134">
        <v>44207</v>
      </c>
      <c r="AD28" s="134">
        <v>44224</v>
      </c>
      <c r="AE28" s="134"/>
      <c r="AF28" s="134">
        <f t="shared" ca="1" si="1"/>
        <v>44963</v>
      </c>
      <c r="AG28" s="126">
        <f t="shared" ca="1" si="2"/>
        <v>739</v>
      </c>
      <c r="AH28" s="126" t="str">
        <f t="shared" si="3"/>
        <v/>
      </c>
      <c r="AI28" s="134" t="s">
        <v>324</v>
      </c>
      <c r="AJ28" s="143" t="s">
        <v>325</v>
      </c>
      <c r="AK28" s="129">
        <v>8.202</v>
      </c>
      <c r="AL28" s="129">
        <v>8.2419999999999991</v>
      </c>
      <c r="AM28" s="129">
        <v>8.2669999999999977</v>
      </c>
      <c r="AN28" s="129">
        <v>8.2719999999999985</v>
      </c>
      <c r="AO28" s="126" t="str">
        <f t="shared" si="4"/>
        <v/>
      </c>
      <c r="AR28" s="99" t="s">
        <v>136</v>
      </c>
    </row>
    <row r="29" spans="1:59" s="99" customFormat="1" ht="21" customHeight="1" x14ac:dyDescent="0.35">
      <c r="A29" s="99">
        <v>349</v>
      </c>
      <c r="B29" s="126" t="str">
        <f t="shared" si="6"/>
        <v>RM-J4/1D-002X595</v>
      </c>
      <c r="C29" s="126" t="s">
        <v>43</v>
      </c>
      <c r="D29" s="126" t="s">
        <v>43</v>
      </c>
      <c r="E29" s="143" t="s">
        <v>326</v>
      </c>
      <c r="F29" s="143" t="s">
        <v>327</v>
      </c>
      <c r="G29" s="126" t="s">
        <v>30</v>
      </c>
      <c r="H29" s="126" t="s">
        <v>139</v>
      </c>
      <c r="I29" s="127">
        <v>2.4</v>
      </c>
      <c r="J29" s="127"/>
      <c r="K29" s="127"/>
      <c r="L29" s="127"/>
      <c r="M29" s="144">
        <v>595</v>
      </c>
      <c r="N29" s="129">
        <v>8.1440000000000001</v>
      </c>
      <c r="O29" s="129"/>
      <c r="P29" s="129"/>
      <c r="Q29" s="130"/>
      <c r="R29" s="131"/>
      <c r="S29" s="131"/>
      <c r="T29" s="132"/>
      <c r="U29" s="132"/>
      <c r="V29" s="132"/>
      <c r="W29" s="132"/>
      <c r="X29" s="132"/>
      <c r="Y29" s="133"/>
      <c r="Z29" s="126" t="s">
        <v>64</v>
      </c>
      <c r="AA29" s="134" t="s">
        <v>322</v>
      </c>
      <c r="AB29" s="134" t="s">
        <v>323</v>
      </c>
      <c r="AC29" s="134">
        <v>44207</v>
      </c>
      <c r="AD29" s="134">
        <v>44224</v>
      </c>
      <c r="AE29" s="134"/>
      <c r="AF29" s="134">
        <f t="shared" ca="1" si="1"/>
        <v>44963</v>
      </c>
      <c r="AG29" s="126">
        <f t="shared" ca="1" si="2"/>
        <v>739</v>
      </c>
      <c r="AH29" s="126" t="str">
        <f t="shared" si="3"/>
        <v/>
      </c>
      <c r="AI29" s="134" t="s">
        <v>324</v>
      </c>
      <c r="AJ29" s="143" t="s">
        <v>328</v>
      </c>
      <c r="AK29" s="129">
        <v>8.1440000000000001</v>
      </c>
      <c r="AL29" s="129">
        <v>8.1839999999999993</v>
      </c>
      <c r="AM29" s="129">
        <v>8.2089999999999979</v>
      </c>
      <c r="AN29" s="129">
        <v>8.2139999999999986</v>
      </c>
      <c r="AO29" s="126" t="str">
        <f t="shared" si="4"/>
        <v/>
      </c>
      <c r="AR29" s="99" t="s">
        <v>136</v>
      </c>
    </row>
    <row r="30" spans="1:59" s="99" customFormat="1" ht="21" customHeight="1" x14ac:dyDescent="0.35">
      <c r="A30" s="99">
        <v>349</v>
      </c>
      <c r="B30" s="126" t="str">
        <f t="shared" si="6"/>
        <v>RM-J4/1D-002X595</v>
      </c>
      <c r="C30" s="126" t="s">
        <v>43</v>
      </c>
      <c r="D30" s="126" t="s">
        <v>43</v>
      </c>
      <c r="E30" s="143" t="s">
        <v>329</v>
      </c>
      <c r="F30" s="143" t="s">
        <v>330</v>
      </c>
      <c r="G30" s="126" t="s">
        <v>30</v>
      </c>
      <c r="H30" s="126" t="s">
        <v>139</v>
      </c>
      <c r="I30" s="127">
        <v>2.4</v>
      </c>
      <c r="J30" s="127"/>
      <c r="K30" s="127"/>
      <c r="L30" s="127"/>
      <c r="M30" s="144">
        <v>595</v>
      </c>
      <c r="N30" s="129">
        <v>8.2040000000000006</v>
      </c>
      <c r="O30" s="129"/>
      <c r="P30" s="129"/>
      <c r="Q30" s="130"/>
      <c r="R30" s="131"/>
      <c r="S30" s="131"/>
      <c r="T30" s="132"/>
      <c r="U30" s="132"/>
      <c r="V30" s="132"/>
      <c r="W30" s="132"/>
      <c r="X30" s="132"/>
      <c r="Y30" s="133"/>
      <c r="Z30" s="126" t="s">
        <v>64</v>
      </c>
      <c r="AA30" s="134" t="s">
        <v>322</v>
      </c>
      <c r="AB30" s="134" t="s">
        <v>323</v>
      </c>
      <c r="AC30" s="134">
        <v>44207</v>
      </c>
      <c r="AD30" s="134">
        <v>44224</v>
      </c>
      <c r="AE30" s="134"/>
      <c r="AF30" s="134">
        <f t="shared" ca="1" si="1"/>
        <v>44963</v>
      </c>
      <c r="AG30" s="126">
        <f t="shared" ca="1" si="2"/>
        <v>739</v>
      </c>
      <c r="AH30" s="126" t="str">
        <f t="shared" si="3"/>
        <v/>
      </c>
      <c r="AI30" s="134" t="s">
        <v>331</v>
      </c>
      <c r="AJ30" s="143" t="s">
        <v>332</v>
      </c>
      <c r="AK30" s="129">
        <v>8.2040000000000006</v>
      </c>
      <c r="AL30" s="129">
        <v>8.2439999999999998</v>
      </c>
      <c r="AM30" s="129">
        <v>8.2689999999999984</v>
      </c>
      <c r="AN30" s="129">
        <v>8.2739999999999991</v>
      </c>
      <c r="AO30" s="126" t="str">
        <f t="shared" si="4"/>
        <v/>
      </c>
      <c r="AR30" s="99" t="s">
        <v>136</v>
      </c>
    </row>
    <row r="31" spans="1:59" s="99" customFormat="1" ht="21" customHeight="1" x14ac:dyDescent="0.35">
      <c r="A31" s="99">
        <v>349</v>
      </c>
      <c r="B31" s="126" t="str">
        <f t="shared" si="6"/>
        <v>RM-J4/1D-002X595</v>
      </c>
      <c r="C31" s="126" t="s">
        <v>43</v>
      </c>
      <c r="D31" s="126" t="s">
        <v>43</v>
      </c>
      <c r="E31" s="143" t="s">
        <v>333</v>
      </c>
      <c r="F31" s="143" t="s">
        <v>334</v>
      </c>
      <c r="G31" s="126" t="s">
        <v>30</v>
      </c>
      <c r="H31" s="126" t="s">
        <v>139</v>
      </c>
      <c r="I31" s="127">
        <v>2.4</v>
      </c>
      <c r="J31" s="127"/>
      <c r="K31" s="127"/>
      <c r="L31" s="127"/>
      <c r="M31" s="144">
        <v>595</v>
      </c>
      <c r="N31" s="129">
        <v>8.2420000000000009</v>
      </c>
      <c r="O31" s="129"/>
      <c r="P31" s="129"/>
      <c r="Q31" s="130"/>
      <c r="R31" s="131"/>
      <c r="S31" s="131"/>
      <c r="T31" s="132"/>
      <c r="U31" s="132"/>
      <c r="V31" s="132"/>
      <c r="W31" s="132"/>
      <c r="X31" s="132"/>
      <c r="Y31" s="133"/>
      <c r="Z31" s="126" t="s">
        <v>64</v>
      </c>
      <c r="AA31" s="134" t="s">
        <v>322</v>
      </c>
      <c r="AB31" s="134" t="s">
        <v>323</v>
      </c>
      <c r="AC31" s="134">
        <v>44207</v>
      </c>
      <c r="AD31" s="134">
        <v>44224</v>
      </c>
      <c r="AE31" s="134"/>
      <c r="AF31" s="134">
        <f t="shared" ca="1" si="1"/>
        <v>44963</v>
      </c>
      <c r="AG31" s="126">
        <f t="shared" ca="1" si="2"/>
        <v>739</v>
      </c>
      <c r="AH31" s="126" t="str">
        <f t="shared" si="3"/>
        <v/>
      </c>
      <c r="AI31" s="134" t="s">
        <v>331</v>
      </c>
      <c r="AJ31" s="143" t="s">
        <v>328</v>
      </c>
      <c r="AK31" s="129">
        <v>8.2420000000000009</v>
      </c>
      <c r="AL31" s="129">
        <v>8.282</v>
      </c>
      <c r="AM31" s="129">
        <v>8.3069999999999986</v>
      </c>
      <c r="AN31" s="129">
        <v>8.3119999999999994</v>
      </c>
      <c r="AO31" s="126" t="str">
        <f t="shared" si="4"/>
        <v/>
      </c>
      <c r="AR31" s="99" t="s">
        <v>136</v>
      </c>
    </row>
    <row r="32" spans="1:59" s="99" customFormat="1" ht="21" customHeight="1" x14ac:dyDescent="0.35">
      <c r="A32" s="99">
        <v>349</v>
      </c>
      <c r="B32" s="126" t="str">
        <f t="shared" si="6"/>
        <v>RM-J4/1D-002X595</v>
      </c>
      <c r="C32" s="126" t="s">
        <v>43</v>
      </c>
      <c r="D32" s="126" t="s">
        <v>43</v>
      </c>
      <c r="E32" s="143" t="s">
        <v>335</v>
      </c>
      <c r="F32" s="143" t="s">
        <v>336</v>
      </c>
      <c r="G32" s="126" t="s">
        <v>30</v>
      </c>
      <c r="H32" s="126" t="s">
        <v>139</v>
      </c>
      <c r="I32" s="127">
        <v>2.4</v>
      </c>
      <c r="J32" s="127"/>
      <c r="K32" s="127"/>
      <c r="L32" s="127"/>
      <c r="M32" s="144">
        <v>595</v>
      </c>
      <c r="N32" s="129">
        <v>8.298</v>
      </c>
      <c r="O32" s="129"/>
      <c r="P32" s="129"/>
      <c r="Q32" s="130"/>
      <c r="R32" s="131"/>
      <c r="S32" s="131"/>
      <c r="T32" s="132"/>
      <c r="U32" s="132"/>
      <c r="V32" s="132"/>
      <c r="W32" s="132"/>
      <c r="X32" s="132"/>
      <c r="Y32" s="133"/>
      <c r="Z32" s="126" t="s">
        <v>64</v>
      </c>
      <c r="AA32" s="134" t="s">
        <v>322</v>
      </c>
      <c r="AB32" s="134" t="s">
        <v>323</v>
      </c>
      <c r="AC32" s="134">
        <v>44207</v>
      </c>
      <c r="AD32" s="134">
        <v>44224</v>
      </c>
      <c r="AE32" s="134"/>
      <c r="AF32" s="134">
        <f t="shared" ca="1" si="1"/>
        <v>44963</v>
      </c>
      <c r="AG32" s="126">
        <f t="shared" ca="1" si="2"/>
        <v>739</v>
      </c>
      <c r="AH32" s="126" t="str">
        <f t="shared" si="3"/>
        <v/>
      </c>
      <c r="AI32" s="134" t="s">
        <v>331</v>
      </c>
      <c r="AJ32" s="143" t="s">
        <v>332</v>
      </c>
      <c r="AK32" s="129">
        <v>8.298</v>
      </c>
      <c r="AL32" s="129">
        <v>8.3379999999999992</v>
      </c>
      <c r="AM32" s="129">
        <v>8.3629999999999978</v>
      </c>
      <c r="AN32" s="129">
        <v>8.3679999999999986</v>
      </c>
      <c r="AO32" s="126" t="str">
        <f t="shared" si="4"/>
        <v/>
      </c>
      <c r="AR32" s="99" t="s">
        <v>136</v>
      </c>
    </row>
    <row r="33" spans="1:59" s="99" customFormat="1" ht="21" customHeight="1" x14ac:dyDescent="0.35">
      <c r="A33" s="99">
        <v>355</v>
      </c>
      <c r="B33" s="126" t="str">
        <f t="shared" si="6"/>
        <v>RM-J2/1D-002X510</v>
      </c>
      <c r="C33" s="126" t="s">
        <v>43</v>
      </c>
      <c r="D33" s="126" t="s">
        <v>43</v>
      </c>
      <c r="E33" s="143" t="s">
        <v>337</v>
      </c>
      <c r="F33" s="143" t="s">
        <v>338</v>
      </c>
      <c r="G33" s="126" t="s">
        <v>28</v>
      </c>
      <c r="H33" s="126" t="s">
        <v>139</v>
      </c>
      <c r="I33" s="127">
        <v>2.2000000000000002</v>
      </c>
      <c r="J33" s="127"/>
      <c r="K33" s="127"/>
      <c r="L33" s="127"/>
      <c r="M33" s="144">
        <v>510</v>
      </c>
      <c r="N33" s="129">
        <v>8.1920000000000002</v>
      </c>
      <c r="O33" s="129"/>
      <c r="P33" s="129"/>
      <c r="Q33" s="130"/>
      <c r="R33" s="131"/>
      <c r="S33" s="131"/>
      <c r="T33" s="132"/>
      <c r="U33" s="132"/>
      <c r="V33" s="132"/>
      <c r="W33" s="132"/>
      <c r="X33" s="132"/>
      <c r="Y33" s="133"/>
      <c r="Z33" s="126" t="s">
        <v>64</v>
      </c>
      <c r="AA33" s="134" t="s">
        <v>322</v>
      </c>
      <c r="AB33" s="134" t="s">
        <v>339</v>
      </c>
      <c r="AC33" s="134">
        <v>44219</v>
      </c>
      <c r="AD33" s="134">
        <v>44243</v>
      </c>
      <c r="AE33" s="134"/>
      <c r="AF33" s="134">
        <f t="shared" ca="1" si="1"/>
        <v>44963</v>
      </c>
      <c r="AG33" s="126">
        <f t="shared" ca="1" si="2"/>
        <v>720</v>
      </c>
      <c r="AH33" s="126" t="str">
        <f t="shared" si="3"/>
        <v/>
      </c>
      <c r="AI33" s="134" t="s">
        <v>340</v>
      </c>
      <c r="AJ33" s="143" t="s">
        <v>341</v>
      </c>
      <c r="AK33" s="129">
        <v>8.1920000000000002</v>
      </c>
      <c r="AL33" s="129">
        <v>8.2319999999999993</v>
      </c>
      <c r="AM33" s="129">
        <v>8.2569999999999979</v>
      </c>
      <c r="AN33" s="129">
        <v>8.2619999999999987</v>
      </c>
      <c r="AO33" s="126" t="str">
        <f t="shared" si="4"/>
        <v/>
      </c>
      <c r="AR33" s="99" t="s">
        <v>136</v>
      </c>
    </row>
    <row r="34" spans="1:59" s="99" customFormat="1" ht="21" customHeight="1" x14ac:dyDescent="0.35">
      <c r="A34" s="99">
        <v>355</v>
      </c>
      <c r="B34" s="126" t="str">
        <f t="shared" si="6"/>
        <v>RM-J2/1D-002X510</v>
      </c>
      <c r="C34" s="126" t="s">
        <v>43</v>
      </c>
      <c r="D34" s="126" t="s">
        <v>43</v>
      </c>
      <c r="E34" s="143" t="s">
        <v>342</v>
      </c>
      <c r="F34" s="143" t="s">
        <v>343</v>
      </c>
      <c r="G34" s="126" t="s">
        <v>28</v>
      </c>
      <c r="H34" s="126" t="s">
        <v>139</v>
      </c>
      <c r="I34" s="127">
        <v>2.2000000000000002</v>
      </c>
      <c r="J34" s="127"/>
      <c r="K34" s="127"/>
      <c r="L34" s="127"/>
      <c r="M34" s="144">
        <v>510</v>
      </c>
      <c r="N34" s="129">
        <v>8.1839999999999993</v>
      </c>
      <c r="O34" s="129"/>
      <c r="P34" s="129"/>
      <c r="Q34" s="130"/>
      <c r="R34" s="131"/>
      <c r="S34" s="131"/>
      <c r="T34" s="132"/>
      <c r="U34" s="132"/>
      <c r="V34" s="132"/>
      <c r="W34" s="132"/>
      <c r="X34" s="132"/>
      <c r="Y34" s="133"/>
      <c r="Z34" s="126" t="s">
        <v>64</v>
      </c>
      <c r="AA34" s="134" t="s">
        <v>322</v>
      </c>
      <c r="AB34" s="134" t="s">
        <v>339</v>
      </c>
      <c r="AC34" s="134">
        <v>44219</v>
      </c>
      <c r="AD34" s="134">
        <v>44243</v>
      </c>
      <c r="AE34" s="134"/>
      <c r="AF34" s="134">
        <f t="shared" ca="1" si="1"/>
        <v>44963</v>
      </c>
      <c r="AG34" s="126">
        <f t="shared" ca="1" si="2"/>
        <v>720</v>
      </c>
      <c r="AH34" s="126" t="str">
        <f t="shared" si="3"/>
        <v/>
      </c>
      <c r="AI34" s="134" t="s">
        <v>340</v>
      </c>
      <c r="AJ34" s="143" t="s">
        <v>344</v>
      </c>
      <c r="AK34" s="129">
        <v>8.1839999999999993</v>
      </c>
      <c r="AL34" s="129">
        <v>8.2240000000000002</v>
      </c>
      <c r="AM34" s="129">
        <v>8.2489999999999988</v>
      </c>
      <c r="AN34" s="129">
        <v>8.2539999999999996</v>
      </c>
      <c r="AO34" s="126" t="str">
        <f t="shared" si="4"/>
        <v/>
      </c>
      <c r="AR34" s="99" t="s">
        <v>136</v>
      </c>
    </row>
    <row r="35" spans="1:59" s="99" customFormat="1" ht="21" customHeight="1" x14ac:dyDescent="0.35">
      <c r="A35" s="99">
        <v>355</v>
      </c>
      <c r="B35" s="126" t="str">
        <f t="shared" si="6"/>
        <v>RM-J2/1D-002X510</v>
      </c>
      <c r="C35" s="126" t="s">
        <v>43</v>
      </c>
      <c r="D35" s="126" t="s">
        <v>43</v>
      </c>
      <c r="E35" s="143" t="s">
        <v>345</v>
      </c>
      <c r="F35" s="143" t="s">
        <v>346</v>
      </c>
      <c r="G35" s="126" t="s">
        <v>28</v>
      </c>
      <c r="H35" s="126" t="s">
        <v>139</v>
      </c>
      <c r="I35" s="127">
        <v>2.2000000000000002</v>
      </c>
      <c r="J35" s="127"/>
      <c r="K35" s="127"/>
      <c r="L35" s="127"/>
      <c r="M35" s="144">
        <v>510</v>
      </c>
      <c r="N35" s="129">
        <v>8.2080000000000002</v>
      </c>
      <c r="O35" s="129"/>
      <c r="P35" s="129"/>
      <c r="Q35" s="130"/>
      <c r="R35" s="131"/>
      <c r="S35" s="131"/>
      <c r="T35" s="132"/>
      <c r="U35" s="132"/>
      <c r="V35" s="132"/>
      <c r="W35" s="132"/>
      <c r="X35" s="132"/>
      <c r="Y35" s="133"/>
      <c r="Z35" s="126" t="s">
        <v>64</v>
      </c>
      <c r="AA35" s="134" t="s">
        <v>322</v>
      </c>
      <c r="AB35" s="134" t="s">
        <v>339</v>
      </c>
      <c r="AC35" s="134">
        <v>44219</v>
      </c>
      <c r="AD35" s="134">
        <v>44243</v>
      </c>
      <c r="AE35" s="134"/>
      <c r="AF35" s="134">
        <f t="shared" ca="1" si="1"/>
        <v>44963</v>
      </c>
      <c r="AG35" s="126">
        <f t="shared" ca="1" si="2"/>
        <v>720</v>
      </c>
      <c r="AH35" s="126" t="str">
        <f t="shared" si="3"/>
        <v/>
      </c>
      <c r="AI35" s="134" t="s">
        <v>340</v>
      </c>
      <c r="AJ35" s="143" t="s">
        <v>347</v>
      </c>
      <c r="AK35" s="129">
        <v>8.2080000000000002</v>
      </c>
      <c r="AL35" s="129">
        <v>8.2479999999999993</v>
      </c>
      <c r="AM35" s="129">
        <v>8.2729999999999979</v>
      </c>
      <c r="AN35" s="129">
        <v>8.2779999999999987</v>
      </c>
      <c r="AO35" s="126" t="str">
        <f t="shared" si="4"/>
        <v/>
      </c>
      <c r="AR35" s="99" t="s">
        <v>136</v>
      </c>
    </row>
    <row r="36" spans="1:59" s="99" customFormat="1" ht="21" customHeight="1" x14ac:dyDescent="0.35">
      <c r="A36" s="99">
        <v>355</v>
      </c>
      <c r="B36" s="126" t="str">
        <f t="shared" si="6"/>
        <v>RM-J2/1D-002X510</v>
      </c>
      <c r="C36" s="126" t="s">
        <v>43</v>
      </c>
      <c r="D36" s="126" t="s">
        <v>43</v>
      </c>
      <c r="E36" s="143" t="s">
        <v>348</v>
      </c>
      <c r="F36" s="143" t="s">
        <v>349</v>
      </c>
      <c r="G36" s="126" t="s">
        <v>28</v>
      </c>
      <c r="H36" s="126" t="s">
        <v>139</v>
      </c>
      <c r="I36" s="127">
        <v>2.4</v>
      </c>
      <c r="J36" s="127"/>
      <c r="K36" s="127"/>
      <c r="L36" s="127"/>
      <c r="M36" s="144">
        <v>510</v>
      </c>
      <c r="N36" s="129">
        <v>8.2460000000000004</v>
      </c>
      <c r="O36" s="129"/>
      <c r="P36" s="129"/>
      <c r="Q36" s="130"/>
      <c r="R36" s="131"/>
      <c r="S36" s="131"/>
      <c r="T36" s="132"/>
      <c r="U36" s="132"/>
      <c r="V36" s="132"/>
      <c r="W36" s="132"/>
      <c r="X36" s="132"/>
      <c r="Y36" s="133"/>
      <c r="Z36" s="126" t="s">
        <v>64</v>
      </c>
      <c r="AA36" s="134" t="s">
        <v>322</v>
      </c>
      <c r="AB36" s="134" t="s">
        <v>339</v>
      </c>
      <c r="AC36" s="134">
        <v>44219</v>
      </c>
      <c r="AD36" s="134">
        <v>44243</v>
      </c>
      <c r="AE36" s="134"/>
      <c r="AF36" s="134">
        <f t="shared" ca="1" si="1"/>
        <v>44963</v>
      </c>
      <c r="AG36" s="126">
        <f t="shared" ca="1" si="2"/>
        <v>720</v>
      </c>
      <c r="AH36" s="126" t="str">
        <f t="shared" si="3"/>
        <v/>
      </c>
      <c r="AI36" s="134" t="s">
        <v>350</v>
      </c>
      <c r="AJ36" s="143" t="s">
        <v>351</v>
      </c>
      <c r="AK36" s="129">
        <v>8.2460000000000004</v>
      </c>
      <c r="AL36" s="129">
        <v>8.2859999999999996</v>
      </c>
      <c r="AM36" s="129">
        <v>8.3109999999999982</v>
      </c>
      <c r="AN36" s="129">
        <v>8.3159999999999989</v>
      </c>
      <c r="AO36" s="126" t="str">
        <f t="shared" si="4"/>
        <v/>
      </c>
      <c r="AR36" s="99" t="s">
        <v>136</v>
      </c>
    </row>
    <row r="37" spans="1:59" s="99" customFormat="1" ht="21" customHeight="1" x14ac:dyDescent="0.35">
      <c r="A37" s="99">
        <v>355</v>
      </c>
      <c r="B37" s="126" t="str">
        <f t="shared" si="6"/>
        <v>RM-J2/1D-002X510</v>
      </c>
      <c r="C37" s="126" t="s">
        <v>43</v>
      </c>
      <c r="D37" s="126" t="s">
        <v>43</v>
      </c>
      <c r="E37" s="143" t="s">
        <v>352</v>
      </c>
      <c r="F37" s="143" t="s">
        <v>353</v>
      </c>
      <c r="G37" s="126" t="s">
        <v>28</v>
      </c>
      <c r="H37" s="126" t="s">
        <v>139</v>
      </c>
      <c r="I37" s="127">
        <v>2.2000000000000002</v>
      </c>
      <c r="J37" s="127"/>
      <c r="K37" s="127"/>
      <c r="L37" s="127"/>
      <c r="M37" s="144">
        <v>510</v>
      </c>
      <c r="N37" s="129">
        <v>8.2620000000000005</v>
      </c>
      <c r="O37" s="129"/>
      <c r="P37" s="129"/>
      <c r="Q37" s="130"/>
      <c r="R37" s="131"/>
      <c r="S37" s="131"/>
      <c r="T37" s="132"/>
      <c r="U37" s="132"/>
      <c r="V37" s="132"/>
      <c r="W37" s="132"/>
      <c r="X37" s="132"/>
      <c r="Y37" s="133"/>
      <c r="Z37" s="126" t="s">
        <v>64</v>
      </c>
      <c r="AA37" s="134" t="s">
        <v>322</v>
      </c>
      <c r="AB37" s="134" t="s">
        <v>339</v>
      </c>
      <c r="AC37" s="134">
        <v>44219</v>
      </c>
      <c r="AD37" s="134">
        <v>44243</v>
      </c>
      <c r="AE37" s="134"/>
      <c r="AF37" s="134">
        <f t="shared" ca="1" si="1"/>
        <v>44963</v>
      </c>
      <c r="AG37" s="126">
        <f t="shared" ca="1" si="2"/>
        <v>720</v>
      </c>
      <c r="AH37" s="126" t="str">
        <f t="shared" si="3"/>
        <v/>
      </c>
      <c r="AI37" s="134" t="s">
        <v>350</v>
      </c>
      <c r="AJ37" s="143" t="s">
        <v>354</v>
      </c>
      <c r="AK37" s="129">
        <v>8.2620000000000005</v>
      </c>
      <c r="AL37" s="129">
        <v>8.3019999999999996</v>
      </c>
      <c r="AM37" s="129">
        <v>8.3269999999999982</v>
      </c>
      <c r="AN37" s="129">
        <v>8.331999999999999</v>
      </c>
      <c r="AO37" s="126" t="str">
        <f t="shared" si="4"/>
        <v/>
      </c>
      <c r="AR37" s="99" t="s">
        <v>136</v>
      </c>
    </row>
    <row r="38" spans="1:59" s="99" customFormat="1" ht="21" customHeight="1" x14ac:dyDescent="0.35">
      <c r="A38" s="99">
        <v>355</v>
      </c>
      <c r="B38" s="126" t="str">
        <f t="shared" si="6"/>
        <v>RM-J2/1D-002X510</v>
      </c>
      <c r="C38" s="126" t="s">
        <v>43</v>
      </c>
      <c r="D38" s="126" t="s">
        <v>43</v>
      </c>
      <c r="E38" s="143" t="s">
        <v>355</v>
      </c>
      <c r="F38" s="143" t="s">
        <v>356</v>
      </c>
      <c r="G38" s="126" t="s">
        <v>28</v>
      </c>
      <c r="H38" s="126" t="s">
        <v>139</v>
      </c>
      <c r="I38" s="127">
        <v>2.2000000000000002</v>
      </c>
      <c r="J38" s="127"/>
      <c r="K38" s="127"/>
      <c r="L38" s="127"/>
      <c r="M38" s="144">
        <v>510</v>
      </c>
      <c r="N38" s="129">
        <v>8.1959999999999997</v>
      </c>
      <c r="O38" s="129"/>
      <c r="P38" s="129"/>
      <c r="Q38" s="130"/>
      <c r="R38" s="131"/>
      <c r="S38" s="131"/>
      <c r="T38" s="132"/>
      <c r="U38" s="132"/>
      <c r="V38" s="132"/>
      <c r="W38" s="132"/>
      <c r="X38" s="132"/>
      <c r="Y38" s="133"/>
      <c r="Z38" s="126" t="s">
        <v>64</v>
      </c>
      <c r="AA38" s="134" t="s">
        <v>322</v>
      </c>
      <c r="AB38" s="134" t="s">
        <v>339</v>
      </c>
      <c r="AC38" s="134">
        <v>44219</v>
      </c>
      <c r="AD38" s="134">
        <v>44243</v>
      </c>
      <c r="AE38" s="134"/>
      <c r="AF38" s="134">
        <f t="shared" ca="1" si="1"/>
        <v>44963</v>
      </c>
      <c r="AG38" s="126">
        <f t="shared" ca="1" si="2"/>
        <v>720</v>
      </c>
      <c r="AH38" s="126" t="str">
        <f t="shared" si="3"/>
        <v/>
      </c>
      <c r="AI38" s="134" t="s">
        <v>350</v>
      </c>
      <c r="AJ38" s="143" t="s">
        <v>357</v>
      </c>
      <c r="AK38" s="129">
        <v>8.1959999999999997</v>
      </c>
      <c r="AL38" s="129">
        <v>8.2360000000000007</v>
      </c>
      <c r="AM38" s="129">
        <v>8.2609999999999992</v>
      </c>
      <c r="AN38" s="129">
        <v>8.266</v>
      </c>
      <c r="AO38" s="126" t="str">
        <f t="shared" si="4"/>
        <v/>
      </c>
      <c r="AR38" s="99" t="s">
        <v>136</v>
      </c>
    </row>
    <row r="39" spans="1:59" s="99" customFormat="1" ht="21" customHeight="1" x14ac:dyDescent="0.35">
      <c r="A39" s="99">
        <v>357</v>
      </c>
      <c r="B39" s="126" t="str">
        <f t="shared" si="6"/>
        <v>WIP-304/2B-001X690</v>
      </c>
      <c r="C39" s="126" t="s">
        <v>14</v>
      </c>
      <c r="D39" s="126" t="s">
        <v>358</v>
      </c>
      <c r="E39" s="143" t="s">
        <v>359</v>
      </c>
      <c r="F39" s="143" t="s">
        <v>360</v>
      </c>
      <c r="G39" s="126">
        <v>304</v>
      </c>
      <c r="H39" s="126" t="s">
        <v>116</v>
      </c>
      <c r="I39" s="127">
        <v>1</v>
      </c>
      <c r="J39" s="127">
        <v>0.5</v>
      </c>
      <c r="K39" s="127">
        <v>0.48</v>
      </c>
      <c r="L39" s="127">
        <v>0.5</v>
      </c>
      <c r="M39" s="144">
        <v>690</v>
      </c>
      <c r="N39" s="129">
        <v>8.33</v>
      </c>
      <c r="O39" s="129" t="s">
        <v>116</v>
      </c>
      <c r="P39" s="129"/>
      <c r="Q39" s="130" t="s">
        <v>232</v>
      </c>
      <c r="R39" s="130" t="s">
        <v>361</v>
      </c>
      <c r="S39" s="131" t="s">
        <v>362</v>
      </c>
      <c r="T39" s="132">
        <v>44617</v>
      </c>
      <c r="U39" s="132">
        <v>44618</v>
      </c>
      <c r="V39" s="132" t="s">
        <v>363</v>
      </c>
      <c r="W39" s="132" t="s">
        <v>364</v>
      </c>
      <c r="X39" s="132"/>
      <c r="Y39" s="133"/>
      <c r="Z39" s="126" t="s">
        <v>65</v>
      </c>
      <c r="AA39" s="134" t="s">
        <v>132</v>
      </c>
      <c r="AB39" s="134" t="s">
        <v>365</v>
      </c>
      <c r="AC39" s="134">
        <v>44228</v>
      </c>
      <c r="AD39" s="134">
        <v>44245</v>
      </c>
      <c r="AE39" s="134"/>
      <c r="AF39" s="134">
        <f t="shared" ca="1" si="1"/>
        <v>44963</v>
      </c>
      <c r="AG39" s="126">
        <f t="shared" ca="1" si="2"/>
        <v>718</v>
      </c>
      <c r="AH39" s="126" t="e">
        <f t="shared" ca="1" si="3"/>
        <v>#VALUE!</v>
      </c>
      <c r="AI39" s="134" t="s">
        <v>366</v>
      </c>
      <c r="AJ39" s="143" t="s">
        <v>367</v>
      </c>
      <c r="AK39" s="129">
        <v>8.4459999999999997</v>
      </c>
      <c r="AL39" s="129">
        <v>8.4809999999999999</v>
      </c>
      <c r="AM39" s="129">
        <v>8.5059999999999985</v>
      </c>
      <c r="AN39" s="129">
        <v>8.5109999999999992</v>
      </c>
      <c r="AO39" s="126">
        <f t="shared" ca="1" si="4"/>
        <v>345</v>
      </c>
      <c r="AR39" s="99" t="s">
        <v>136</v>
      </c>
      <c r="BG39" s="135" t="s">
        <v>137</v>
      </c>
    </row>
    <row r="40" spans="1:59" s="99" customFormat="1" ht="21" customHeight="1" x14ac:dyDescent="0.35">
      <c r="A40" s="99">
        <v>358</v>
      </c>
      <c r="B40" s="126" t="str">
        <f t="shared" si="6"/>
        <v>WIP-J3/FH-000X585</v>
      </c>
      <c r="C40" s="126" t="s">
        <v>13</v>
      </c>
      <c r="D40" s="126" t="s">
        <v>13</v>
      </c>
      <c r="E40" s="143" t="s">
        <v>368</v>
      </c>
      <c r="F40" s="143" t="s">
        <v>369</v>
      </c>
      <c r="G40" s="126" t="s">
        <v>29</v>
      </c>
      <c r="H40" s="126" t="s">
        <v>65</v>
      </c>
      <c r="I40" s="127">
        <v>0.65</v>
      </c>
      <c r="J40" s="127">
        <v>0.45</v>
      </c>
      <c r="K40" s="127"/>
      <c r="L40" s="127"/>
      <c r="M40" s="144">
        <v>585</v>
      </c>
      <c r="N40" s="129">
        <f>7.955-6.96</f>
        <v>0.99500000000000011</v>
      </c>
      <c r="O40" s="129" t="s">
        <v>116</v>
      </c>
      <c r="P40" s="129"/>
      <c r="Q40" s="130" t="s">
        <v>117</v>
      </c>
      <c r="R40" s="131" t="s">
        <v>160</v>
      </c>
      <c r="S40" s="131" t="s">
        <v>305</v>
      </c>
      <c r="T40" s="132" t="s">
        <v>370</v>
      </c>
      <c r="U40" s="132" t="s">
        <v>370</v>
      </c>
      <c r="V40" s="132">
        <v>44281</v>
      </c>
      <c r="W40" s="132">
        <v>44281</v>
      </c>
      <c r="X40" s="132"/>
      <c r="Y40" s="133"/>
      <c r="Z40" s="126" t="s">
        <v>64</v>
      </c>
      <c r="AA40" s="134" t="s">
        <v>322</v>
      </c>
      <c r="AB40" s="134" t="s">
        <v>371</v>
      </c>
      <c r="AC40" s="134">
        <v>44224</v>
      </c>
      <c r="AD40" s="134">
        <v>44247</v>
      </c>
      <c r="AE40" s="134"/>
      <c r="AF40" s="134">
        <f t="shared" ca="1" si="1"/>
        <v>44963</v>
      </c>
      <c r="AG40" s="126">
        <f t="shared" ca="1" si="2"/>
        <v>716</v>
      </c>
      <c r="AH40" s="126">
        <f t="shared" ca="1" si="3"/>
        <v>682</v>
      </c>
      <c r="AI40" s="134" t="s">
        <v>372</v>
      </c>
      <c r="AJ40" s="143" t="s">
        <v>373</v>
      </c>
      <c r="AK40" s="129">
        <v>8.23</v>
      </c>
      <c r="AL40" s="129">
        <v>8.27</v>
      </c>
      <c r="AM40" s="129">
        <v>8.2949999999999982</v>
      </c>
      <c r="AN40" s="129">
        <v>8.2999999999999989</v>
      </c>
      <c r="AO40" s="126" t="e">
        <f t="shared" ca="1" si="4"/>
        <v>#VALUE!</v>
      </c>
      <c r="AR40" s="99" t="s">
        <v>136</v>
      </c>
      <c r="BG40" s="135" t="s">
        <v>374</v>
      </c>
    </row>
    <row r="41" spans="1:59" s="99" customFormat="1" ht="21" customHeight="1" x14ac:dyDescent="0.35">
      <c r="A41" s="99">
        <v>360</v>
      </c>
      <c r="B41" s="126" t="str">
        <f t="shared" si="6"/>
        <v>WIP-304/304L/2B-001X770</v>
      </c>
      <c r="C41" s="126" t="s">
        <v>14</v>
      </c>
      <c r="D41" s="126" t="s">
        <v>113</v>
      </c>
      <c r="E41" s="143" t="s">
        <v>375</v>
      </c>
      <c r="F41" s="143" t="s">
        <v>376</v>
      </c>
      <c r="G41" s="126" t="s">
        <v>377</v>
      </c>
      <c r="H41" s="126" t="s">
        <v>116</v>
      </c>
      <c r="I41" s="127">
        <v>3.8</v>
      </c>
      <c r="J41" s="127">
        <v>1.2</v>
      </c>
      <c r="K41" s="127">
        <v>1.17</v>
      </c>
      <c r="L41" s="127">
        <v>1.2</v>
      </c>
      <c r="M41" s="144">
        <v>770</v>
      </c>
      <c r="N41" s="129">
        <v>1.62</v>
      </c>
      <c r="O41" s="129" t="s">
        <v>116</v>
      </c>
      <c r="P41" s="129"/>
      <c r="Q41" s="130" t="s">
        <v>117</v>
      </c>
      <c r="R41" s="130" t="s">
        <v>378</v>
      </c>
      <c r="S41" s="131" t="s">
        <v>379</v>
      </c>
      <c r="T41" s="132">
        <v>44266</v>
      </c>
      <c r="U41" s="132">
        <v>44267</v>
      </c>
      <c r="V41" s="132">
        <v>44269</v>
      </c>
      <c r="W41" s="132"/>
      <c r="X41" s="132"/>
      <c r="Y41" s="133"/>
      <c r="Z41" s="126" t="s">
        <v>64</v>
      </c>
      <c r="AA41" s="134" t="s">
        <v>154</v>
      </c>
      <c r="AB41" s="134" t="s">
        <v>380</v>
      </c>
      <c r="AC41" s="134"/>
      <c r="AD41" s="134">
        <v>44257</v>
      </c>
      <c r="AE41" s="134"/>
      <c r="AF41" s="134">
        <f t="shared" ca="1" si="1"/>
        <v>44963</v>
      </c>
      <c r="AG41" s="126">
        <f t="shared" ca="1" si="2"/>
        <v>706</v>
      </c>
      <c r="AH41" s="126">
        <f t="shared" ca="1" si="3"/>
        <v>694</v>
      </c>
      <c r="AI41" s="134"/>
      <c r="AJ41" s="143" t="s">
        <v>381</v>
      </c>
      <c r="AK41" s="129">
        <v>10.265000000000001</v>
      </c>
      <c r="AL41" s="129">
        <v>10.275</v>
      </c>
      <c r="AM41" s="129">
        <v>10.299999999999999</v>
      </c>
      <c r="AN41" s="129">
        <v>10.305</v>
      </c>
      <c r="AO41" s="126">
        <f t="shared" ca="1" si="4"/>
        <v>696</v>
      </c>
      <c r="AR41" s="99" t="s">
        <v>136</v>
      </c>
      <c r="AT41" s="147" t="s">
        <v>382</v>
      </c>
      <c r="BG41" s="135" t="s">
        <v>301</v>
      </c>
    </row>
    <row r="42" spans="1:59" s="99" customFormat="1" ht="21" customHeight="1" x14ac:dyDescent="0.35">
      <c r="A42" s="99">
        <v>360</v>
      </c>
      <c r="B42" s="126" t="str">
        <f t="shared" si="6"/>
        <v>WIP-304/2B-002X770</v>
      </c>
      <c r="C42" s="126" t="s">
        <v>14</v>
      </c>
      <c r="D42" s="126" t="s">
        <v>113</v>
      </c>
      <c r="E42" s="143" t="s">
        <v>383</v>
      </c>
      <c r="F42" s="143" t="s">
        <v>384</v>
      </c>
      <c r="G42" s="126">
        <v>304</v>
      </c>
      <c r="H42" s="126" t="s">
        <v>116</v>
      </c>
      <c r="I42" s="127">
        <v>3.51</v>
      </c>
      <c r="J42" s="127">
        <v>1.5</v>
      </c>
      <c r="K42" s="127"/>
      <c r="L42" s="127"/>
      <c r="M42" s="144">
        <v>770</v>
      </c>
      <c r="N42" s="129">
        <v>1.3049999999999999</v>
      </c>
      <c r="O42" s="129" t="s">
        <v>116</v>
      </c>
      <c r="P42" s="129"/>
      <c r="Q42" s="130" t="s">
        <v>117</v>
      </c>
      <c r="R42" s="130" t="s">
        <v>284</v>
      </c>
      <c r="S42" s="131" t="s">
        <v>385</v>
      </c>
      <c r="T42" s="132">
        <v>44260</v>
      </c>
      <c r="U42" s="132">
        <v>44260</v>
      </c>
      <c r="V42" s="132">
        <v>44517</v>
      </c>
      <c r="W42" s="132"/>
      <c r="X42" s="132"/>
      <c r="Y42" s="133"/>
      <c r="Z42" s="126" t="s">
        <v>64</v>
      </c>
      <c r="AA42" s="134" t="s">
        <v>154</v>
      </c>
      <c r="AB42" s="134" t="s">
        <v>380</v>
      </c>
      <c r="AC42" s="134"/>
      <c r="AD42" s="134">
        <v>44257</v>
      </c>
      <c r="AE42" s="134"/>
      <c r="AF42" s="134">
        <f t="shared" ca="1" si="1"/>
        <v>44963</v>
      </c>
      <c r="AG42" s="126">
        <f t="shared" ca="1" si="2"/>
        <v>706</v>
      </c>
      <c r="AH42" s="126">
        <f t="shared" ca="1" si="3"/>
        <v>446</v>
      </c>
      <c r="AI42" s="134"/>
      <c r="AJ42" s="143" t="s">
        <v>386</v>
      </c>
      <c r="AK42" s="129">
        <v>6.07</v>
      </c>
      <c r="AL42" s="129">
        <v>6.08</v>
      </c>
      <c r="AM42" s="129">
        <v>6.1050000000000004</v>
      </c>
      <c r="AN42" s="129">
        <v>6.11</v>
      </c>
      <c r="AO42" s="126">
        <f t="shared" ca="1" si="4"/>
        <v>703</v>
      </c>
      <c r="AR42" s="99" t="s">
        <v>136</v>
      </c>
      <c r="AT42" s="148">
        <v>304</v>
      </c>
      <c r="BG42" s="135" t="s">
        <v>137</v>
      </c>
    </row>
    <row r="43" spans="1:59" s="99" customFormat="1" ht="21" customHeight="1" x14ac:dyDescent="0.35">
      <c r="A43" s="99">
        <v>369</v>
      </c>
      <c r="B43" s="126" t="str">
        <f t="shared" si="6"/>
        <v>WIP-304/304L/2B-001X770</v>
      </c>
      <c r="C43" s="126" t="s">
        <v>14</v>
      </c>
      <c r="D43" s="126" t="s">
        <v>113</v>
      </c>
      <c r="E43" s="143" t="s">
        <v>387</v>
      </c>
      <c r="F43" s="143" t="s">
        <v>388</v>
      </c>
      <c r="G43" s="126" t="s">
        <v>377</v>
      </c>
      <c r="H43" s="126" t="s">
        <v>116</v>
      </c>
      <c r="I43" s="127">
        <v>1.2</v>
      </c>
      <c r="J43" s="127">
        <v>0.6</v>
      </c>
      <c r="K43" s="127">
        <v>0.6</v>
      </c>
      <c r="L43" s="127">
        <v>0.62</v>
      </c>
      <c r="M43" s="144">
        <v>770</v>
      </c>
      <c r="N43" s="129">
        <v>4.38</v>
      </c>
      <c r="O43" s="129" t="s">
        <v>116</v>
      </c>
      <c r="P43" s="129"/>
      <c r="Q43" s="130" t="s">
        <v>389</v>
      </c>
      <c r="R43" s="130" t="s">
        <v>390</v>
      </c>
      <c r="S43" s="131" t="s">
        <v>391</v>
      </c>
      <c r="T43" s="132" t="s">
        <v>392</v>
      </c>
      <c r="U43" s="132" t="s">
        <v>392</v>
      </c>
      <c r="V43" s="132" t="s">
        <v>393</v>
      </c>
      <c r="W43" s="132">
        <v>44295</v>
      </c>
      <c r="X43" s="132"/>
      <c r="Y43" s="133"/>
      <c r="Z43" s="126" t="s">
        <v>64</v>
      </c>
      <c r="AA43" s="134" t="s">
        <v>154</v>
      </c>
      <c r="AB43" s="134" t="s">
        <v>394</v>
      </c>
      <c r="AC43" s="134"/>
      <c r="AD43" s="134">
        <v>44283</v>
      </c>
      <c r="AE43" s="134"/>
      <c r="AF43" s="134">
        <f t="shared" ca="1" si="1"/>
        <v>44963</v>
      </c>
      <c r="AG43" s="126">
        <f t="shared" ca="1" si="2"/>
        <v>680</v>
      </c>
      <c r="AH43" s="126">
        <f t="shared" ca="1" si="3"/>
        <v>551</v>
      </c>
      <c r="AI43" s="134"/>
      <c r="AJ43" s="143" t="s">
        <v>395</v>
      </c>
      <c r="AK43" s="129">
        <v>8.6750000000000007</v>
      </c>
      <c r="AL43" s="129">
        <v>8.6950000000000003</v>
      </c>
      <c r="AM43" s="129">
        <v>8.7199999999999989</v>
      </c>
      <c r="AN43" s="129">
        <v>8.7249999999999996</v>
      </c>
      <c r="AO43" s="126">
        <f t="shared" ca="1" si="4"/>
        <v>582</v>
      </c>
      <c r="AR43" s="99" t="s">
        <v>136</v>
      </c>
      <c r="AT43" s="99" t="s">
        <v>377</v>
      </c>
      <c r="BG43" s="135" t="s">
        <v>221</v>
      </c>
    </row>
    <row r="44" spans="1:59" s="99" customFormat="1" ht="21" customHeight="1" x14ac:dyDescent="0.35">
      <c r="A44" s="99">
        <v>372</v>
      </c>
      <c r="B44" s="126" t="str">
        <f t="shared" si="6"/>
        <v>WIP-J3/2B-001X595</v>
      </c>
      <c r="C44" s="126" t="s">
        <v>14</v>
      </c>
      <c r="D44" s="126" t="s">
        <v>396</v>
      </c>
      <c r="E44" s="143" t="s">
        <v>397</v>
      </c>
      <c r="F44" s="143" t="s">
        <v>398</v>
      </c>
      <c r="G44" s="126" t="s">
        <v>29</v>
      </c>
      <c r="H44" s="126" t="s">
        <v>116</v>
      </c>
      <c r="I44" s="127">
        <v>2.4</v>
      </c>
      <c r="J44" s="127">
        <v>1.1599999999999999</v>
      </c>
      <c r="K44" s="127">
        <v>1.1499999999999999</v>
      </c>
      <c r="L44" s="127">
        <v>1.17</v>
      </c>
      <c r="M44" s="144">
        <v>595</v>
      </c>
      <c r="N44" s="129">
        <v>8.17</v>
      </c>
      <c r="O44" s="129" t="s">
        <v>116</v>
      </c>
      <c r="P44" s="129"/>
      <c r="Q44" s="130" t="s">
        <v>361</v>
      </c>
      <c r="R44" s="131" t="s">
        <v>284</v>
      </c>
      <c r="S44" s="131" t="s">
        <v>399</v>
      </c>
      <c r="T44" s="132">
        <v>44296</v>
      </c>
      <c r="U44" s="132">
        <v>44296</v>
      </c>
      <c r="V44" s="132">
        <v>44296</v>
      </c>
      <c r="W44" s="132">
        <v>44421</v>
      </c>
      <c r="X44" s="132"/>
      <c r="Y44" s="133"/>
      <c r="Z44" s="126" t="s">
        <v>64</v>
      </c>
      <c r="AA44" s="134" t="s">
        <v>132</v>
      </c>
      <c r="AB44" s="134" t="s">
        <v>365</v>
      </c>
      <c r="AC44" s="134">
        <v>44275</v>
      </c>
      <c r="AD44" s="134">
        <v>44294</v>
      </c>
      <c r="AE44" s="134"/>
      <c r="AF44" s="134">
        <f t="shared" ca="1" si="1"/>
        <v>44963</v>
      </c>
      <c r="AG44" s="126">
        <f t="shared" ca="1" si="2"/>
        <v>669</v>
      </c>
      <c r="AH44" s="126">
        <f t="shared" ca="1" si="3"/>
        <v>667</v>
      </c>
      <c r="AI44" s="134"/>
      <c r="AJ44" s="143" t="s">
        <v>400</v>
      </c>
      <c r="AK44" s="129">
        <v>8.1980000000000004</v>
      </c>
      <c r="AL44" s="129">
        <v>8.213000000000001</v>
      </c>
      <c r="AM44" s="129">
        <v>8.2379999999999995</v>
      </c>
      <c r="AN44" s="129">
        <v>8.2430000000000003</v>
      </c>
      <c r="AO44" s="126">
        <f t="shared" ca="1" si="4"/>
        <v>667</v>
      </c>
      <c r="AR44" s="99" t="s">
        <v>136</v>
      </c>
      <c r="BG44" s="135" t="s">
        <v>401</v>
      </c>
    </row>
    <row r="45" spans="1:59" s="99" customFormat="1" ht="21" customHeight="1" x14ac:dyDescent="0.35">
      <c r="A45" s="99">
        <v>376</v>
      </c>
      <c r="B45" s="126" t="str">
        <f t="shared" si="6"/>
        <v>WIP-J3/2B-001X590</v>
      </c>
      <c r="C45" s="126" t="s">
        <v>402</v>
      </c>
      <c r="D45" s="126" t="s">
        <v>403</v>
      </c>
      <c r="E45" s="143" t="s">
        <v>404</v>
      </c>
      <c r="F45" s="143" t="s">
        <v>405</v>
      </c>
      <c r="G45" s="126" t="s">
        <v>29</v>
      </c>
      <c r="H45" s="126" t="s">
        <v>116</v>
      </c>
      <c r="I45" s="127">
        <v>2.2000000000000002</v>
      </c>
      <c r="J45" s="127">
        <v>0.67</v>
      </c>
      <c r="K45" s="127">
        <v>0.65</v>
      </c>
      <c r="L45" s="127">
        <v>0.66</v>
      </c>
      <c r="M45" s="144">
        <v>590</v>
      </c>
      <c r="N45" s="129">
        <v>8.125</v>
      </c>
      <c r="O45" s="129" t="s">
        <v>116</v>
      </c>
      <c r="P45" s="129"/>
      <c r="Q45" s="130" t="s">
        <v>406</v>
      </c>
      <c r="R45" s="131"/>
      <c r="S45" s="131" t="s">
        <v>305</v>
      </c>
      <c r="T45" s="132">
        <v>44375</v>
      </c>
      <c r="U45" s="132">
        <v>44376</v>
      </c>
      <c r="V45" s="132">
        <v>44376</v>
      </c>
      <c r="W45" s="132">
        <v>44377</v>
      </c>
      <c r="X45" s="132"/>
      <c r="Y45" s="133"/>
      <c r="Z45" s="126" t="s">
        <v>64</v>
      </c>
      <c r="AA45" s="134" t="s">
        <v>322</v>
      </c>
      <c r="AB45" s="134"/>
      <c r="AC45" s="134"/>
      <c r="AD45" s="134">
        <v>44301</v>
      </c>
      <c r="AE45" s="134"/>
      <c r="AF45" s="134">
        <f t="shared" ca="1" si="1"/>
        <v>44963</v>
      </c>
      <c r="AG45" s="126">
        <f t="shared" ca="1" si="2"/>
        <v>662</v>
      </c>
      <c r="AH45" s="126">
        <f t="shared" ca="1" si="3"/>
        <v>587</v>
      </c>
      <c r="AI45" s="134" t="s">
        <v>407</v>
      </c>
      <c r="AJ45" s="143" t="s">
        <v>408</v>
      </c>
      <c r="AK45" s="129">
        <v>8.2520000000000007</v>
      </c>
      <c r="AL45" s="129">
        <v>8.2919999999999998</v>
      </c>
      <c r="AM45" s="129">
        <v>8.3169999999999984</v>
      </c>
      <c r="AN45" s="129">
        <v>8.3219999999999992</v>
      </c>
      <c r="AO45" s="126">
        <f t="shared" ca="1" si="4"/>
        <v>587</v>
      </c>
      <c r="AR45" s="99" t="s">
        <v>136</v>
      </c>
      <c r="BG45" s="135" t="s">
        <v>409</v>
      </c>
    </row>
    <row r="46" spans="1:59" s="99" customFormat="1" ht="21" customHeight="1" x14ac:dyDescent="0.35">
      <c r="A46" s="99">
        <v>376</v>
      </c>
      <c r="B46" s="126" t="str">
        <f t="shared" si="6"/>
        <v>HOLD SLT-J3/2B-001X595</v>
      </c>
      <c r="C46" s="126" t="s">
        <v>63</v>
      </c>
      <c r="D46" s="126" t="s">
        <v>63</v>
      </c>
      <c r="E46" s="143" t="s">
        <v>410</v>
      </c>
      <c r="F46" s="143" t="s">
        <v>411</v>
      </c>
      <c r="G46" s="126" t="s">
        <v>29</v>
      </c>
      <c r="H46" s="126" t="s">
        <v>116</v>
      </c>
      <c r="I46" s="127">
        <v>2.4</v>
      </c>
      <c r="J46" s="127">
        <v>0.95</v>
      </c>
      <c r="K46" s="127">
        <v>0.95</v>
      </c>
      <c r="L46" s="127">
        <v>0.98</v>
      </c>
      <c r="M46" s="144">
        <v>595</v>
      </c>
      <c r="N46" s="129">
        <v>4.0549999999999997</v>
      </c>
      <c r="O46" s="129" t="s">
        <v>116</v>
      </c>
      <c r="P46" s="129"/>
      <c r="Q46" s="130" t="s">
        <v>117</v>
      </c>
      <c r="R46" s="131" t="s">
        <v>412</v>
      </c>
      <c r="S46" s="131" t="s">
        <v>413</v>
      </c>
      <c r="T46" s="132">
        <v>44351</v>
      </c>
      <c r="U46" s="132">
        <v>44351</v>
      </c>
      <c r="V46" s="132">
        <v>44352</v>
      </c>
      <c r="W46" s="132">
        <v>44445</v>
      </c>
      <c r="X46" s="132"/>
      <c r="Y46" s="133"/>
      <c r="Z46" s="126" t="s">
        <v>64</v>
      </c>
      <c r="AA46" s="134" t="s">
        <v>322</v>
      </c>
      <c r="AB46" s="134"/>
      <c r="AC46" s="134"/>
      <c r="AD46" s="134">
        <v>44301</v>
      </c>
      <c r="AE46" s="134"/>
      <c r="AF46" s="134">
        <f t="shared" ca="1" si="1"/>
        <v>44963</v>
      </c>
      <c r="AG46" s="126">
        <f t="shared" ca="1" si="2"/>
        <v>662</v>
      </c>
      <c r="AH46" s="126">
        <f t="shared" ca="1" si="3"/>
        <v>611</v>
      </c>
      <c r="AI46" s="134" t="s">
        <v>414</v>
      </c>
      <c r="AJ46" s="143" t="s">
        <v>415</v>
      </c>
      <c r="AK46" s="129">
        <v>8.2080000000000002</v>
      </c>
      <c r="AL46" s="129">
        <v>8.2479999999999993</v>
      </c>
      <c r="AM46" s="129">
        <v>8.2729999999999979</v>
      </c>
      <c r="AN46" s="129">
        <v>8.2779999999999987</v>
      </c>
      <c r="AO46" s="126">
        <f t="shared" ca="1" si="4"/>
        <v>612</v>
      </c>
      <c r="AR46" s="99" t="s">
        <v>136</v>
      </c>
      <c r="BG46" s="135" t="s">
        <v>416</v>
      </c>
    </row>
    <row r="47" spans="1:59" s="99" customFormat="1" ht="21" customHeight="1" x14ac:dyDescent="0.35">
      <c r="A47" s="99">
        <v>376</v>
      </c>
      <c r="B47" s="126" t="str">
        <f t="shared" si="6"/>
        <v>HOLD SLT-J3/2B-000X585</v>
      </c>
      <c r="C47" s="126" t="s">
        <v>63</v>
      </c>
      <c r="D47" s="126" t="s">
        <v>63</v>
      </c>
      <c r="E47" s="143" t="s">
        <v>417</v>
      </c>
      <c r="F47" s="143" t="s">
        <v>418</v>
      </c>
      <c r="G47" s="126" t="s">
        <v>29</v>
      </c>
      <c r="H47" s="126" t="s">
        <v>116</v>
      </c>
      <c r="I47" s="127">
        <v>0.5</v>
      </c>
      <c r="J47" s="127">
        <v>0.3</v>
      </c>
      <c r="K47" s="127">
        <v>0.28999999999999998</v>
      </c>
      <c r="L47" s="127">
        <v>0.31</v>
      </c>
      <c r="M47" s="144">
        <v>585</v>
      </c>
      <c r="N47" s="129">
        <v>1.65</v>
      </c>
      <c r="O47" s="129" t="s">
        <v>116</v>
      </c>
      <c r="P47" s="129"/>
      <c r="Q47" s="130" t="s">
        <v>117</v>
      </c>
      <c r="R47" s="130" t="s">
        <v>419</v>
      </c>
      <c r="S47" s="131" t="s">
        <v>420</v>
      </c>
      <c r="T47" s="132" t="s">
        <v>421</v>
      </c>
      <c r="U47" s="132" t="s">
        <v>422</v>
      </c>
      <c r="V47" s="132" t="s">
        <v>423</v>
      </c>
      <c r="W47" s="132" t="s">
        <v>424</v>
      </c>
      <c r="X47" s="132"/>
      <c r="Y47" s="133"/>
      <c r="Z47" s="126" t="s">
        <v>64</v>
      </c>
      <c r="AA47" s="134" t="s">
        <v>322</v>
      </c>
      <c r="AB47" s="134"/>
      <c r="AC47" s="134"/>
      <c r="AD47" s="134">
        <v>44301</v>
      </c>
      <c r="AE47" s="134"/>
      <c r="AF47" s="134">
        <f t="shared" ca="1" si="1"/>
        <v>44963</v>
      </c>
      <c r="AG47" s="126">
        <f t="shared" ca="1" si="2"/>
        <v>662</v>
      </c>
      <c r="AH47" s="126" t="e">
        <f t="shared" ca="1" si="3"/>
        <v>#VALUE!</v>
      </c>
      <c r="AI47" s="134" t="s">
        <v>425</v>
      </c>
      <c r="AJ47" s="143" t="s">
        <v>426</v>
      </c>
      <c r="AK47" s="129">
        <v>8.1959999999999997</v>
      </c>
      <c r="AL47" s="129">
        <v>8.2359999999999989</v>
      </c>
      <c r="AM47" s="129">
        <v>8.2609999999999975</v>
      </c>
      <c r="AN47" s="129">
        <v>8.2659999999999982</v>
      </c>
      <c r="AO47" s="126" t="e">
        <f t="shared" ca="1" si="4"/>
        <v>#VALUE!</v>
      </c>
      <c r="AR47" s="99" t="s">
        <v>136</v>
      </c>
      <c r="BG47" s="135" t="s">
        <v>427</v>
      </c>
    </row>
    <row r="48" spans="1:59" s="99" customFormat="1" ht="21" customHeight="1" x14ac:dyDescent="0.35">
      <c r="A48" s="99">
        <v>377</v>
      </c>
      <c r="B48" s="126" t="str">
        <f t="shared" si="6"/>
        <v>WIP-J3/2B-001X590</v>
      </c>
      <c r="C48" s="126" t="s">
        <v>402</v>
      </c>
      <c r="D48" s="126" t="s">
        <v>403</v>
      </c>
      <c r="E48" s="143" t="s">
        <v>428</v>
      </c>
      <c r="F48" s="143" t="s">
        <v>429</v>
      </c>
      <c r="G48" s="126" t="s">
        <v>29</v>
      </c>
      <c r="H48" s="126" t="s">
        <v>116</v>
      </c>
      <c r="I48" s="127">
        <v>2.2000000000000002</v>
      </c>
      <c r="J48" s="127">
        <v>0.67</v>
      </c>
      <c r="K48" s="127">
        <v>0.67</v>
      </c>
      <c r="L48" s="127">
        <v>0.69</v>
      </c>
      <c r="M48" s="144">
        <v>590</v>
      </c>
      <c r="N48" s="129">
        <v>8.0950000000000006</v>
      </c>
      <c r="O48" s="129" t="s">
        <v>116</v>
      </c>
      <c r="P48" s="129"/>
      <c r="Q48" s="130" t="s">
        <v>406</v>
      </c>
      <c r="R48" s="131"/>
      <c r="S48" s="131" t="s">
        <v>305</v>
      </c>
      <c r="T48" s="132">
        <v>44376</v>
      </c>
      <c r="U48" s="132">
        <v>44376</v>
      </c>
      <c r="V48" s="132">
        <v>44377</v>
      </c>
      <c r="W48" s="132">
        <v>44377</v>
      </c>
      <c r="X48" s="132"/>
      <c r="Y48" s="133"/>
      <c r="Z48" s="126" t="s">
        <v>64</v>
      </c>
      <c r="AA48" s="134" t="s">
        <v>132</v>
      </c>
      <c r="AB48" s="134" t="s">
        <v>430</v>
      </c>
      <c r="AC48" s="134">
        <v>44280</v>
      </c>
      <c r="AD48" s="134">
        <v>44302</v>
      </c>
      <c r="AE48" s="134"/>
      <c r="AF48" s="134">
        <f t="shared" ca="1" si="1"/>
        <v>44963</v>
      </c>
      <c r="AG48" s="126">
        <f t="shared" ca="1" si="2"/>
        <v>661</v>
      </c>
      <c r="AH48" s="126">
        <f t="shared" ca="1" si="3"/>
        <v>586</v>
      </c>
      <c r="AI48" s="134"/>
      <c r="AJ48" s="143" t="s">
        <v>431</v>
      </c>
      <c r="AK48" s="129">
        <v>8.2119999999999997</v>
      </c>
      <c r="AL48" s="129">
        <v>8.2270000000000003</v>
      </c>
      <c r="AM48" s="129">
        <v>8.2519999999999989</v>
      </c>
      <c r="AN48" s="129">
        <v>8.2569999999999997</v>
      </c>
      <c r="AO48" s="126">
        <f t="shared" ca="1" si="4"/>
        <v>587</v>
      </c>
      <c r="AR48" s="99" t="s">
        <v>136</v>
      </c>
      <c r="BG48" s="135" t="s">
        <v>432</v>
      </c>
    </row>
    <row r="49" spans="1:59" s="99" customFormat="1" ht="21" customHeight="1" x14ac:dyDescent="0.35">
      <c r="A49" s="99">
        <v>380</v>
      </c>
      <c r="B49" s="126" t="str">
        <f t="shared" si="6"/>
        <v>WIP-J3/2B-001X595</v>
      </c>
      <c r="C49" s="126" t="s">
        <v>14</v>
      </c>
      <c r="D49" s="126" t="s">
        <v>396</v>
      </c>
      <c r="E49" s="143" t="s">
        <v>433</v>
      </c>
      <c r="F49" s="143" t="s">
        <v>434</v>
      </c>
      <c r="G49" s="126" t="s">
        <v>29</v>
      </c>
      <c r="H49" s="126" t="s">
        <v>116</v>
      </c>
      <c r="I49" s="127">
        <v>2.4</v>
      </c>
      <c r="J49" s="127">
        <v>0.95</v>
      </c>
      <c r="K49" s="127">
        <v>0.94</v>
      </c>
      <c r="L49" s="127">
        <v>0.96</v>
      </c>
      <c r="M49" s="144">
        <v>595</v>
      </c>
      <c r="N49" s="129">
        <v>8.25</v>
      </c>
      <c r="O49" s="129" t="s">
        <v>116</v>
      </c>
      <c r="P49" s="129"/>
      <c r="Q49" s="130" t="s">
        <v>361</v>
      </c>
      <c r="R49" s="131" t="s">
        <v>412</v>
      </c>
      <c r="S49" s="131" t="s">
        <v>435</v>
      </c>
      <c r="T49" s="132">
        <v>44549</v>
      </c>
      <c r="U49" s="132">
        <v>44549</v>
      </c>
      <c r="V49" s="132">
        <v>44555</v>
      </c>
      <c r="W49" s="132"/>
      <c r="X49" s="132"/>
      <c r="Y49" s="133"/>
      <c r="Z49" s="126" t="s">
        <v>64</v>
      </c>
      <c r="AA49" s="134" t="s">
        <v>322</v>
      </c>
      <c r="AB49" s="134"/>
      <c r="AC49" s="134"/>
      <c r="AD49" s="134">
        <v>44309</v>
      </c>
      <c r="AE49" s="134"/>
      <c r="AF49" s="134">
        <f t="shared" ca="1" si="1"/>
        <v>44963</v>
      </c>
      <c r="AG49" s="126">
        <f t="shared" ca="1" si="2"/>
        <v>654</v>
      </c>
      <c r="AH49" s="126">
        <f t="shared" ca="1" si="3"/>
        <v>408</v>
      </c>
      <c r="AI49" s="134" t="s">
        <v>436</v>
      </c>
      <c r="AJ49" s="143" t="s">
        <v>437</v>
      </c>
      <c r="AK49" s="129">
        <v>8.2720000000000002</v>
      </c>
      <c r="AL49" s="129">
        <v>8.3119999999999994</v>
      </c>
      <c r="AM49" s="129">
        <v>8.336999999999998</v>
      </c>
      <c r="AN49" s="129">
        <v>8.3419999999999987</v>
      </c>
      <c r="AO49" s="126">
        <f t="shared" ca="1" si="4"/>
        <v>414</v>
      </c>
      <c r="AR49" s="99" t="s">
        <v>136</v>
      </c>
    </row>
    <row r="50" spans="1:59" s="99" customFormat="1" ht="21" customHeight="1" x14ac:dyDescent="0.35">
      <c r="A50" s="99">
        <v>380</v>
      </c>
      <c r="B50" s="126" t="str">
        <f t="shared" si="6"/>
        <v>WIP-J3/2B-001X595</v>
      </c>
      <c r="C50" s="126" t="s">
        <v>14</v>
      </c>
      <c r="D50" s="126" t="s">
        <v>358</v>
      </c>
      <c r="E50" s="143" t="s">
        <v>438</v>
      </c>
      <c r="F50" s="143" t="s">
        <v>439</v>
      </c>
      <c r="G50" s="126" t="s">
        <v>29</v>
      </c>
      <c r="H50" s="126" t="s">
        <v>116</v>
      </c>
      <c r="I50" s="127">
        <v>2.4</v>
      </c>
      <c r="J50" s="127">
        <v>1.4</v>
      </c>
      <c r="K50" s="127">
        <v>1.4</v>
      </c>
      <c r="L50" s="127">
        <v>1.43</v>
      </c>
      <c r="M50" s="144">
        <v>595</v>
      </c>
      <c r="N50" s="129">
        <v>7.87</v>
      </c>
      <c r="O50" s="129" t="s">
        <v>116</v>
      </c>
      <c r="P50" s="129"/>
      <c r="Q50" s="130" t="s">
        <v>412</v>
      </c>
      <c r="R50" s="131"/>
      <c r="S50" s="131"/>
      <c r="T50" s="132">
        <v>44570</v>
      </c>
      <c r="U50" s="132">
        <v>44571</v>
      </c>
      <c r="V50" s="132">
        <v>44595</v>
      </c>
      <c r="W50" s="132"/>
      <c r="X50" s="132"/>
      <c r="Y50" s="133"/>
      <c r="Z50" s="126" t="s">
        <v>64</v>
      </c>
      <c r="AA50" s="134" t="s">
        <v>322</v>
      </c>
      <c r="AB50" s="134"/>
      <c r="AC50" s="134"/>
      <c r="AD50" s="134">
        <v>44309</v>
      </c>
      <c r="AE50" s="134"/>
      <c r="AF50" s="134">
        <f t="shared" ca="1" si="1"/>
        <v>44963</v>
      </c>
      <c r="AG50" s="126">
        <f t="shared" ca="1" si="2"/>
        <v>654</v>
      </c>
      <c r="AH50" s="126">
        <f t="shared" ca="1" si="3"/>
        <v>368</v>
      </c>
      <c r="AI50" s="134" t="s">
        <v>436</v>
      </c>
      <c r="AJ50" s="143" t="s">
        <v>440</v>
      </c>
      <c r="AK50" s="129">
        <v>7.8940000000000001</v>
      </c>
      <c r="AL50" s="129">
        <v>7.9340000000000002</v>
      </c>
      <c r="AM50" s="129">
        <v>7.9590000000000005</v>
      </c>
      <c r="AN50" s="129">
        <v>7.9640000000000004</v>
      </c>
      <c r="AO50" s="126">
        <f t="shared" ca="1" si="4"/>
        <v>392</v>
      </c>
      <c r="AR50" s="99" t="s">
        <v>136</v>
      </c>
    </row>
    <row r="51" spans="1:59" s="99" customFormat="1" ht="21" customHeight="1" x14ac:dyDescent="0.35">
      <c r="A51" s="99">
        <v>380</v>
      </c>
      <c r="B51" s="126" t="str">
        <f t="shared" si="6"/>
        <v>WIP-J3/2B-001X595</v>
      </c>
      <c r="C51" s="126" t="s">
        <v>14</v>
      </c>
      <c r="D51" s="126" t="s">
        <v>358</v>
      </c>
      <c r="E51" s="143" t="s">
        <v>441</v>
      </c>
      <c r="F51" s="143" t="s">
        <v>442</v>
      </c>
      <c r="G51" s="126" t="s">
        <v>29</v>
      </c>
      <c r="H51" s="126" t="s">
        <v>116</v>
      </c>
      <c r="I51" s="127">
        <v>2.4</v>
      </c>
      <c r="J51" s="127">
        <v>1.4</v>
      </c>
      <c r="K51" s="127">
        <v>1.37</v>
      </c>
      <c r="L51" s="127">
        <v>1.39</v>
      </c>
      <c r="M51" s="144">
        <v>595</v>
      </c>
      <c r="N51" s="129">
        <v>7.8550000000000004</v>
      </c>
      <c r="O51" s="129" t="s">
        <v>116</v>
      </c>
      <c r="P51" s="129"/>
      <c r="Q51" s="130" t="s">
        <v>412</v>
      </c>
      <c r="R51" s="131"/>
      <c r="S51" s="131"/>
      <c r="T51" s="132">
        <v>44571</v>
      </c>
      <c r="U51" s="132">
        <v>44571</v>
      </c>
      <c r="V51" s="132">
        <v>44595</v>
      </c>
      <c r="W51" s="132"/>
      <c r="X51" s="132"/>
      <c r="Y51" s="133"/>
      <c r="Z51" s="126" t="s">
        <v>64</v>
      </c>
      <c r="AA51" s="134" t="s">
        <v>322</v>
      </c>
      <c r="AB51" s="134"/>
      <c r="AC51" s="134"/>
      <c r="AD51" s="134">
        <v>44309</v>
      </c>
      <c r="AE51" s="134"/>
      <c r="AF51" s="134">
        <f t="shared" ca="1" si="1"/>
        <v>44963</v>
      </c>
      <c r="AG51" s="126">
        <f t="shared" ca="1" si="2"/>
        <v>654</v>
      </c>
      <c r="AH51" s="126">
        <f t="shared" ca="1" si="3"/>
        <v>368</v>
      </c>
      <c r="AI51" s="134" t="s">
        <v>443</v>
      </c>
      <c r="AJ51" s="143" t="s">
        <v>440</v>
      </c>
      <c r="AK51" s="129">
        <v>7.8819999999999997</v>
      </c>
      <c r="AL51" s="129">
        <v>7.9219999999999997</v>
      </c>
      <c r="AM51" s="129">
        <v>7.9470000000000001</v>
      </c>
      <c r="AN51" s="129">
        <v>7.952</v>
      </c>
      <c r="AO51" s="126">
        <f t="shared" ca="1" si="4"/>
        <v>392</v>
      </c>
      <c r="AR51" s="99" t="s">
        <v>136</v>
      </c>
    </row>
    <row r="52" spans="1:59" s="99" customFormat="1" ht="21" customHeight="1" x14ac:dyDescent="0.35">
      <c r="A52" s="99">
        <v>380</v>
      </c>
      <c r="B52" s="126" t="str">
        <f t="shared" si="6"/>
        <v>WIP-J3/2B-001X595</v>
      </c>
      <c r="C52" s="126" t="s">
        <v>14</v>
      </c>
      <c r="D52" s="126" t="s">
        <v>63</v>
      </c>
      <c r="E52" s="143" t="s">
        <v>444</v>
      </c>
      <c r="F52" s="143" t="s">
        <v>445</v>
      </c>
      <c r="G52" s="126" t="s">
        <v>29</v>
      </c>
      <c r="H52" s="126" t="s">
        <v>116</v>
      </c>
      <c r="I52" s="127">
        <v>2.4</v>
      </c>
      <c r="J52" s="127">
        <v>1.1200000000000001</v>
      </c>
      <c r="K52" s="127">
        <v>1.1299999999999999</v>
      </c>
      <c r="L52" s="127">
        <v>1.1599999999999999</v>
      </c>
      <c r="M52" s="144">
        <v>595</v>
      </c>
      <c r="N52" s="129">
        <v>8.07</v>
      </c>
      <c r="O52" s="129" t="s">
        <v>116</v>
      </c>
      <c r="P52" s="129"/>
      <c r="Q52" s="130" t="s">
        <v>412</v>
      </c>
      <c r="R52" s="130" t="s">
        <v>446</v>
      </c>
      <c r="S52" s="131" t="s">
        <v>447</v>
      </c>
      <c r="T52" s="132">
        <v>44553</v>
      </c>
      <c r="U52" s="132">
        <v>44553</v>
      </c>
      <c r="V52" s="132">
        <v>44615</v>
      </c>
      <c r="W52" s="132"/>
      <c r="X52" s="132"/>
      <c r="Y52" s="133"/>
      <c r="Z52" s="126" t="s">
        <v>64</v>
      </c>
      <c r="AA52" s="134" t="s">
        <v>322</v>
      </c>
      <c r="AB52" s="134"/>
      <c r="AC52" s="134"/>
      <c r="AD52" s="134">
        <v>44309</v>
      </c>
      <c r="AE52" s="134"/>
      <c r="AF52" s="134">
        <f t="shared" ca="1" si="1"/>
        <v>44963</v>
      </c>
      <c r="AG52" s="126">
        <f t="shared" ca="1" si="2"/>
        <v>654</v>
      </c>
      <c r="AH52" s="126">
        <f t="shared" ca="1" si="3"/>
        <v>348</v>
      </c>
      <c r="AI52" s="134" t="s">
        <v>448</v>
      </c>
      <c r="AJ52" s="143" t="s">
        <v>449</v>
      </c>
      <c r="AK52" s="129">
        <v>8.09</v>
      </c>
      <c r="AL52" s="129">
        <v>8.129999999999999</v>
      </c>
      <c r="AM52" s="129">
        <v>8.1549999999999976</v>
      </c>
      <c r="AN52" s="129">
        <v>8.1599999999999984</v>
      </c>
      <c r="AO52" s="126">
        <f t="shared" ca="1" si="4"/>
        <v>410</v>
      </c>
      <c r="AR52" s="99" t="s">
        <v>136</v>
      </c>
    </row>
    <row r="53" spans="1:59" s="99" customFormat="1" ht="21" customHeight="1" x14ac:dyDescent="0.35">
      <c r="A53" s="99">
        <v>381</v>
      </c>
      <c r="B53" s="126" t="str">
        <f t="shared" si="6"/>
        <v>WIP-J3/2B-001X587</v>
      </c>
      <c r="C53" s="126" t="s">
        <v>402</v>
      </c>
      <c r="D53" s="126" t="s">
        <v>403</v>
      </c>
      <c r="E53" s="143" t="s">
        <v>450</v>
      </c>
      <c r="F53" s="143" t="s">
        <v>451</v>
      </c>
      <c r="G53" s="126" t="s">
        <v>29</v>
      </c>
      <c r="H53" s="126" t="s">
        <v>116</v>
      </c>
      <c r="I53" s="127">
        <v>2.4</v>
      </c>
      <c r="J53" s="127">
        <v>0.65</v>
      </c>
      <c r="K53" s="127">
        <v>0.65</v>
      </c>
      <c r="L53" s="127">
        <v>0.68</v>
      </c>
      <c r="M53" s="144">
        <v>587</v>
      </c>
      <c r="N53" s="129">
        <v>7.4450000000000003</v>
      </c>
      <c r="O53" s="129" t="s">
        <v>116</v>
      </c>
      <c r="P53" s="129"/>
      <c r="Q53" s="130" t="s">
        <v>406</v>
      </c>
      <c r="R53" s="131"/>
      <c r="S53" s="131" t="s">
        <v>305</v>
      </c>
      <c r="T53" s="132">
        <v>44377</v>
      </c>
      <c r="U53" s="132">
        <v>44377</v>
      </c>
      <c r="V53" s="132">
        <v>44378</v>
      </c>
      <c r="W53" s="132">
        <v>44378</v>
      </c>
      <c r="X53" s="132"/>
      <c r="Y53" s="133"/>
      <c r="Z53" s="126" t="s">
        <v>64</v>
      </c>
      <c r="AA53" s="134" t="s">
        <v>322</v>
      </c>
      <c r="AB53" s="134"/>
      <c r="AC53" s="134"/>
      <c r="AD53" s="134">
        <v>44309</v>
      </c>
      <c r="AE53" s="134"/>
      <c r="AF53" s="134">
        <f t="shared" ca="1" si="1"/>
        <v>44963</v>
      </c>
      <c r="AG53" s="126">
        <f t="shared" ca="1" si="2"/>
        <v>654</v>
      </c>
      <c r="AH53" s="126">
        <f t="shared" ca="1" si="3"/>
        <v>585</v>
      </c>
      <c r="AI53" s="134" t="s">
        <v>452</v>
      </c>
      <c r="AJ53" s="143" t="s">
        <v>415</v>
      </c>
      <c r="AK53" s="129">
        <v>7.5940000000000003</v>
      </c>
      <c r="AL53" s="129">
        <v>7.6340000000000003</v>
      </c>
      <c r="AM53" s="129">
        <v>7.6590000000000007</v>
      </c>
      <c r="AN53" s="129">
        <v>7.6640000000000006</v>
      </c>
      <c r="AO53" s="126">
        <f t="shared" ca="1" si="4"/>
        <v>586</v>
      </c>
      <c r="AR53" s="99" t="s">
        <v>136</v>
      </c>
      <c r="BG53" s="135" t="s">
        <v>165</v>
      </c>
    </row>
    <row r="54" spans="1:59" s="99" customFormat="1" ht="21" customHeight="1" x14ac:dyDescent="0.35">
      <c r="A54" s="99">
        <v>381</v>
      </c>
      <c r="B54" s="126" t="str">
        <f t="shared" si="6"/>
        <v>RM-J3/1D-002X595</v>
      </c>
      <c r="C54" s="126" t="s">
        <v>43</v>
      </c>
      <c r="D54" s="126" t="s">
        <v>43</v>
      </c>
      <c r="E54" s="143" t="s">
        <v>453</v>
      </c>
      <c r="F54" s="143" t="s">
        <v>454</v>
      </c>
      <c r="G54" s="126" t="s">
        <v>29</v>
      </c>
      <c r="H54" s="126" t="s">
        <v>139</v>
      </c>
      <c r="I54" s="127">
        <v>2.2000000000000002</v>
      </c>
      <c r="J54" s="127"/>
      <c r="K54" s="127"/>
      <c r="L54" s="127"/>
      <c r="M54" s="144">
        <v>595</v>
      </c>
      <c r="N54" s="129">
        <v>8.1920000000000002</v>
      </c>
      <c r="O54" s="129"/>
      <c r="P54" s="129"/>
      <c r="Q54" s="130"/>
      <c r="R54" s="131"/>
      <c r="S54" s="131"/>
      <c r="T54" s="132"/>
      <c r="U54" s="132"/>
      <c r="V54" s="132"/>
      <c r="W54" s="132"/>
      <c r="X54" s="132"/>
      <c r="Y54" s="133"/>
      <c r="Z54" s="126" t="s">
        <v>64</v>
      </c>
      <c r="AA54" s="134" t="s">
        <v>322</v>
      </c>
      <c r="AB54" s="134"/>
      <c r="AC54" s="134"/>
      <c r="AD54" s="134">
        <v>44309</v>
      </c>
      <c r="AE54" s="134"/>
      <c r="AF54" s="134">
        <f t="shared" ca="1" si="1"/>
        <v>44963</v>
      </c>
      <c r="AG54" s="126">
        <f t="shared" ca="1" si="2"/>
        <v>654</v>
      </c>
      <c r="AH54" s="126" t="str">
        <f t="shared" si="3"/>
        <v/>
      </c>
      <c r="AI54" s="134" t="s">
        <v>455</v>
      </c>
      <c r="AJ54" s="143" t="s">
        <v>456</v>
      </c>
      <c r="AK54" s="129">
        <v>8.1920000000000002</v>
      </c>
      <c r="AL54" s="129">
        <v>8.2319999999999993</v>
      </c>
      <c r="AM54" s="129">
        <v>8.2569999999999979</v>
      </c>
      <c r="AN54" s="129">
        <v>8.2619999999999987</v>
      </c>
      <c r="AO54" s="126" t="str">
        <f t="shared" si="4"/>
        <v/>
      </c>
      <c r="AR54" s="99" t="s">
        <v>136</v>
      </c>
    </row>
    <row r="55" spans="1:59" s="99" customFormat="1" ht="21" customHeight="1" x14ac:dyDescent="0.35">
      <c r="A55" s="99">
        <v>381</v>
      </c>
      <c r="B55" s="126" t="str">
        <f t="shared" si="6"/>
        <v>RM-J3/1D-002X595</v>
      </c>
      <c r="C55" s="126" t="s">
        <v>43</v>
      </c>
      <c r="D55" s="126" t="s">
        <v>43</v>
      </c>
      <c r="E55" s="143" t="s">
        <v>457</v>
      </c>
      <c r="F55" s="143" t="s">
        <v>458</v>
      </c>
      <c r="G55" s="126" t="s">
        <v>29</v>
      </c>
      <c r="H55" s="126" t="s">
        <v>139</v>
      </c>
      <c r="I55" s="127">
        <v>2.2000000000000002</v>
      </c>
      <c r="J55" s="127"/>
      <c r="K55" s="127"/>
      <c r="L55" s="127"/>
      <c r="M55" s="144">
        <v>595</v>
      </c>
      <c r="N55" s="129">
        <v>8.2119999999999997</v>
      </c>
      <c r="O55" s="129"/>
      <c r="P55" s="129"/>
      <c r="Q55" s="130"/>
      <c r="R55" s="131"/>
      <c r="S55" s="131"/>
      <c r="T55" s="132"/>
      <c r="U55" s="132"/>
      <c r="V55" s="132"/>
      <c r="W55" s="132"/>
      <c r="X55" s="132"/>
      <c r="Y55" s="133"/>
      <c r="Z55" s="126" t="s">
        <v>64</v>
      </c>
      <c r="AA55" s="134" t="s">
        <v>322</v>
      </c>
      <c r="AB55" s="134"/>
      <c r="AC55" s="134"/>
      <c r="AD55" s="134">
        <v>44309</v>
      </c>
      <c r="AE55" s="134"/>
      <c r="AF55" s="134">
        <f t="shared" ca="1" si="1"/>
        <v>44963</v>
      </c>
      <c r="AG55" s="126">
        <f t="shared" ca="1" si="2"/>
        <v>654</v>
      </c>
      <c r="AH55" s="126" t="str">
        <f t="shared" si="3"/>
        <v/>
      </c>
      <c r="AI55" s="134" t="s">
        <v>459</v>
      </c>
      <c r="AJ55" s="143" t="s">
        <v>456</v>
      </c>
      <c r="AK55" s="129">
        <v>8.2119999999999997</v>
      </c>
      <c r="AL55" s="129">
        <v>8.2519999999999989</v>
      </c>
      <c r="AM55" s="129">
        <v>8.2769999999999975</v>
      </c>
      <c r="AN55" s="129">
        <v>8.2819999999999983</v>
      </c>
      <c r="AO55" s="126" t="str">
        <f t="shared" si="4"/>
        <v/>
      </c>
      <c r="AR55" s="99" t="s">
        <v>136</v>
      </c>
    </row>
    <row r="56" spans="1:59" s="99" customFormat="1" ht="21" customHeight="1" x14ac:dyDescent="0.35">
      <c r="A56" s="99">
        <v>381</v>
      </c>
      <c r="B56" s="126" t="str">
        <f t="shared" si="6"/>
        <v>WIP-J3/2B-001X595</v>
      </c>
      <c r="C56" s="126" t="s">
        <v>14</v>
      </c>
      <c r="D56" s="126" t="s">
        <v>113</v>
      </c>
      <c r="E56" s="143" t="s">
        <v>460</v>
      </c>
      <c r="F56" s="143" t="s">
        <v>461</v>
      </c>
      <c r="G56" s="126" t="s">
        <v>29</v>
      </c>
      <c r="H56" s="126" t="s">
        <v>116</v>
      </c>
      <c r="I56" s="127">
        <v>2.4</v>
      </c>
      <c r="J56" s="127">
        <v>1.45</v>
      </c>
      <c r="K56" s="127">
        <v>1.45</v>
      </c>
      <c r="L56" s="127">
        <v>1.47</v>
      </c>
      <c r="M56" s="144">
        <v>595</v>
      </c>
      <c r="N56" s="129">
        <v>3.01</v>
      </c>
      <c r="O56" s="129" t="s">
        <v>116</v>
      </c>
      <c r="P56" s="129"/>
      <c r="Q56" s="130" t="s">
        <v>117</v>
      </c>
      <c r="R56" s="130" t="s">
        <v>462</v>
      </c>
      <c r="S56" s="131"/>
      <c r="T56" s="132">
        <v>44515</v>
      </c>
      <c r="U56" s="132">
        <v>44515</v>
      </c>
      <c r="V56" s="132">
        <v>44540</v>
      </c>
      <c r="W56" s="132"/>
      <c r="X56" s="132"/>
      <c r="Y56" s="133"/>
      <c r="Z56" s="126" t="s">
        <v>64</v>
      </c>
      <c r="AA56" s="134" t="s">
        <v>322</v>
      </c>
      <c r="AB56" s="134"/>
      <c r="AC56" s="134"/>
      <c r="AD56" s="134">
        <v>44309</v>
      </c>
      <c r="AE56" s="134"/>
      <c r="AF56" s="134">
        <f t="shared" ca="1" si="1"/>
        <v>44963</v>
      </c>
      <c r="AG56" s="126">
        <f t="shared" ca="1" si="2"/>
        <v>654</v>
      </c>
      <c r="AH56" s="126">
        <f t="shared" ca="1" si="3"/>
        <v>423</v>
      </c>
      <c r="AI56" s="134" t="s">
        <v>463</v>
      </c>
      <c r="AJ56" s="143" t="s">
        <v>464</v>
      </c>
      <c r="AK56" s="129">
        <v>8.1780000000000008</v>
      </c>
      <c r="AL56" s="129">
        <v>8.218</v>
      </c>
      <c r="AM56" s="129">
        <v>8.2429999999999986</v>
      </c>
      <c r="AN56" s="129">
        <v>8.2479999999999993</v>
      </c>
      <c r="AO56" s="126">
        <f t="shared" ca="1" si="4"/>
        <v>448</v>
      </c>
      <c r="AR56" s="99" t="s">
        <v>136</v>
      </c>
      <c r="BG56" s="135" t="s">
        <v>465</v>
      </c>
    </row>
    <row r="57" spans="1:59" s="99" customFormat="1" ht="21" customHeight="1" x14ac:dyDescent="0.35">
      <c r="A57" s="99">
        <v>386</v>
      </c>
      <c r="B57" s="126" t="str">
        <f t="shared" si="6"/>
        <v>RM-J3/1D-002X595</v>
      </c>
      <c r="C57" s="126" t="s">
        <v>43</v>
      </c>
      <c r="D57" s="126" t="s">
        <v>43</v>
      </c>
      <c r="E57" s="143" t="s">
        <v>466</v>
      </c>
      <c r="F57" s="143" t="s">
        <v>467</v>
      </c>
      <c r="G57" s="126" t="s">
        <v>29</v>
      </c>
      <c r="H57" s="126" t="s">
        <v>139</v>
      </c>
      <c r="I57" s="127">
        <v>2.4</v>
      </c>
      <c r="J57" s="127"/>
      <c r="K57" s="127"/>
      <c r="L57" s="127"/>
      <c r="M57" s="144">
        <v>595</v>
      </c>
      <c r="N57" s="129">
        <v>8.1489999999999991</v>
      </c>
      <c r="O57" s="129"/>
      <c r="P57" s="129"/>
      <c r="Q57" s="130"/>
      <c r="R57" s="131"/>
      <c r="S57" s="131"/>
      <c r="T57" s="132"/>
      <c r="U57" s="132"/>
      <c r="V57" s="132"/>
      <c r="W57" s="132"/>
      <c r="X57" s="132"/>
      <c r="Y57" s="133"/>
      <c r="Z57" s="126" t="s">
        <v>64</v>
      </c>
      <c r="AA57" s="134" t="s">
        <v>468</v>
      </c>
      <c r="AB57" s="134"/>
      <c r="AC57" s="134"/>
      <c r="AD57" s="134">
        <v>44322</v>
      </c>
      <c r="AE57" s="134"/>
      <c r="AF57" s="134">
        <f t="shared" ca="1" si="1"/>
        <v>44963</v>
      </c>
      <c r="AG57" s="126">
        <f t="shared" ca="1" si="2"/>
        <v>641</v>
      </c>
      <c r="AH57" s="126" t="str">
        <f t="shared" si="3"/>
        <v/>
      </c>
      <c r="AI57" s="134" t="s">
        <v>469</v>
      </c>
      <c r="AJ57" s="143" t="s">
        <v>470</v>
      </c>
      <c r="AK57" s="129">
        <v>8.1489999999999991</v>
      </c>
      <c r="AL57" s="129">
        <v>8.1889999999999983</v>
      </c>
      <c r="AM57" s="129">
        <v>8.2139999999999969</v>
      </c>
      <c r="AN57" s="129">
        <v>8.2189999999999976</v>
      </c>
      <c r="AO57" s="126" t="str">
        <f t="shared" si="4"/>
        <v/>
      </c>
      <c r="AR57" s="99" t="s">
        <v>136</v>
      </c>
    </row>
    <row r="58" spans="1:59" s="99" customFormat="1" ht="21" customHeight="1" x14ac:dyDescent="0.35">
      <c r="A58" s="99">
        <v>386</v>
      </c>
      <c r="B58" s="126" t="str">
        <f t="shared" si="6"/>
        <v>RM-J3/1D-002X595</v>
      </c>
      <c r="C58" s="126" t="s">
        <v>43</v>
      </c>
      <c r="D58" s="126" t="s">
        <v>43</v>
      </c>
      <c r="E58" s="143" t="s">
        <v>471</v>
      </c>
      <c r="F58" s="143" t="s">
        <v>472</v>
      </c>
      <c r="G58" s="126" t="s">
        <v>29</v>
      </c>
      <c r="H58" s="126" t="s">
        <v>139</v>
      </c>
      <c r="I58" s="127">
        <v>2.4</v>
      </c>
      <c r="J58" s="127"/>
      <c r="K58" s="127"/>
      <c r="L58" s="127"/>
      <c r="M58" s="144">
        <v>595</v>
      </c>
      <c r="N58" s="129">
        <v>8.1750000000000007</v>
      </c>
      <c r="O58" s="129"/>
      <c r="P58" s="129"/>
      <c r="Q58" s="130"/>
      <c r="R58" s="131"/>
      <c r="S58" s="131"/>
      <c r="T58" s="132"/>
      <c r="U58" s="132"/>
      <c r="V58" s="132"/>
      <c r="W58" s="132"/>
      <c r="X58" s="132"/>
      <c r="Y58" s="133"/>
      <c r="Z58" s="126" t="s">
        <v>64</v>
      </c>
      <c r="AA58" s="134" t="s">
        <v>468</v>
      </c>
      <c r="AB58" s="134"/>
      <c r="AC58" s="134"/>
      <c r="AD58" s="134">
        <v>44322</v>
      </c>
      <c r="AE58" s="134"/>
      <c r="AF58" s="134">
        <f t="shared" ca="1" si="1"/>
        <v>44963</v>
      </c>
      <c r="AG58" s="126">
        <f t="shared" ca="1" si="2"/>
        <v>641</v>
      </c>
      <c r="AH58" s="126" t="str">
        <f t="shared" si="3"/>
        <v/>
      </c>
      <c r="AI58" s="134" t="s">
        <v>473</v>
      </c>
      <c r="AJ58" s="143" t="s">
        <v>474</v>
      </c>
      <c r="AK58" s="129">
        <v>8.1750000000000007</v>
      </c>
      <c r="AL58" s="129">
        <v>8.2149999999999999</v>
      </c>
      <c r="AM58" s="129">
        <v>8.2399999999999984</v>
      </c>
      <c r="AN58" s="129">
        <v>8.2449999999999992</v>
      </c>
      <c r="AO58" s="126" t="str">
        <f t="shared" si="4"/>
        <v/>
      </c>
      <c r="AR58" s="99" t="s">
        <v>136</v>
      </c>
    </row>
    <row r="59" spans="1:59" s="99" customFormat="1" ht="21" customHeight="1" x14ac:dyDescent="0.35">
      <c r="A59" s="99">
        <v>386</v>
      </c>
      <c r="B59" s="126" t="str">
        <f t="shared" si="6"/>
        <v>RM-J3/1D-002X595</v>
      </c>
      <c r="C59" s="126" t="s">
        <v>43</v>
      </c>
      <c r="D59" s="126" t="s">
        <v>43</v>
      </c>
      <c r="E59" s="143" t="s">
        <v>475</v>
      </c>
      <c r="F59" s="143" t="s">
        <v>476</v>
      </c>
      <c r="G59" s="126" t="s">
        <v>29</v>
      </c>
      <c r="H59" s="126" t="s">
        <v>139</v>
      </c>
      <c r="I59" s="127">
        <v>2.4</v>
      </c>
      <c r="J59" s="127"/>
      <c r="K59" s="127"/>
      <c r="L59" s="127"/>
      <c r="M59" s="144">
        <v>595</v>
      </c>
      <c r="N59" s="129">
        <v>8.2249999999999996</v>
      </c>
      <c r="O59" s="129"/>
      <c r="P59" s="129"/>
      <c r="Q59" s="130"/>
      <c r="R59" s="131"/>
      <c r="S59" s="131"/>
      <c r="T59" s="132"/>
      <c r="U59" s="132"/>
      <c r="V59" s="132"/>
      <c r="W59" s="132"/>
      <c r="X59" s="132"/>
      <c r="Y59" s="133"/>
      <c r="Z59" s="126" t="s">
        <v>64</v>
      </c>
      <c r="AA59" s="134" t="s">
        <v>468</v>
      </c>
      <c r="AB59" s="134"/>
      <c r="AC59" s="134"/>
      <c r="AD59" s="134">
        <v>44322</v>
      </c>
      <c r="AE59" s="134"/>
      <c r="AF59" s="134">
        <f t="shared" ca="1" si="1"/>
        <v>44963</v>
      </c>
      <c r="AG59" s="126">
        <f t="shared" ca="1" si="2"/>
        <v>641</v>
      </c>
      <c r="AH59" s="126" t="str">
        <f t="shared" si="3"/>
        <v/>
      </c>
      <c r="AI59" s="134" t="s">
        <v>477</v>
      </c>
      <c r="AJ59" s="143" t="s">
        <v>474</v>
      </c>
      <c r="AK59" s="129">
        <v>8.2249999999999996</v>
      </c>
      <c r="AL59" s="129">
        <v>8.2649999999999988</v>
      </c>
      <c r="AM59" s="129">
        <v>8.2899999999999974</v>
      </c>
      <c r="AN59" s="129">
        <v>8.2949999999999982</v>
      </c>
      <c r="AO59" s="126" t="str">
        <f t="shared" si="4"/>
        <v/>
      </c>
      <c r="AR59" s="99" t="s">
        <v>136</v>
      </c>
    </row>
    <row r="60" spans="1:59" s="99" customFormat="1" ht="21" customHeight="1" x14ac:dyDescent="0.35">
      <c r="A60" s="99">
        <v>386</v>
      </c>
      <c r="B60" s="126" t="str">
        <f t="shared" si="6"/>
        <v>RM-J3/1D-002X595</v>
      </c>
      <c r="C60" s="126" t="s">
        <v>43</v>
      </c>
      <c r="D60" s="126" t="s">
        <v>43</v>
      </c>
      <c r="E60" s="143" t="s">
        <v>478</v>
      </c>
      <c r="F60" s="143" t="s">
        <v>479</v>
      </c>
      <c r="G60" s="126" t="s">
        <v>29</v>
      </c>
      <c r="H60" s="126" t="s">
        <v>139</v>
      </c>
      <c r="I60" s="127">
        <v>2.4</v>
      </c>
      <c r="J60" s="127"/>
      <c r="K60" s="127"/>
      <c r="L60" s="127"/>
      <c r="M60" s="144">
        <v>595</v>
      </c>
      <c r="N60" s="129">
        <v>8.2170000000000005</v>
      </c>
      <c r="O60" s="129"/>
      <c r="P60" s="129"/>
      <c r="Q60" s="130"/>
      <c r="R60" s="131"/>
      <c r="S60" s="131"/>
      <c r="T60" s="132"/>
      <c r="U60" s="132"/>
      <c r="V60" s="132"/>
      <c r="W60" s="132"/>
      <c r="X60" s="132"/>
      <c r="Y60" s="133"/>
      <c r="Z60" s="126" t="s">
        <v>64</v>
      </c>
      <c r="AA60" s="134" t="s">
        <v>468</v>
      </c>
      <c r="AB60" s="134"/>
      <c r="AC60" s="134"/>
      <c r="AD60" s="134">
        <v>44322</v>
      </c>
      <c r="AE60" s="134"/>
      <c r="AF60" s="134">
        <f t="shared" ca="1" si="1"/>
        <v>44963</v>
      </c>
      <c r="AG60" s="126">
        <f t="shared" ca="1" si="2"/>
        <v>641</v>
      </c>
      <c r="AH60" s="126" t="str">
        <f t="shared" si="3"/>
        <v/>
      </c>
      <c r="AI60" s="134" t="s">
        <v>477</v>
      </c>
      <c r="AJ60" s="143" t="s">
        <v>480</v>
      </c>
      <c r="AK60" s="129">
        <v>8.2170000000000005</v>
      </c>
      <c r="AL60" s="129">
        <v>8.2569999999999997</v>
      </c>
      <c r="AM60" s="129">
        <v>8.2819999999999983</v>
      </c>
      <c r="AN60" s="129">
        <v>8.286999999999999</v>
      </c>
      <c r="AO60" s="126" t="str">
        <f t="shared" si="4"/>
        <v/>
      </c>
      <c r="AR60" s="99" t="s">
        <v>136</v>
      </c>
    </row>
    <row r="61" spans="1:59" s="99" customFormat="1" ht="21" customHeight="1" x14ac:dyDescent="0.35">
      <c r="A61" s="99">
        <v>386</v>
      </c>
      <c r="B61" s="126" t="str">
        <f t="shared" si="6"/>
        <v>WIP-J3/2B-001X595</v>
      </c>
      <c r="C61" s="126" t="s">
        <v>14</v>
      </c>
      <c r="D61" s="126" t="s">
        <v>358</v>
      </c>
      <c r="E61" s="143" t="s">
        <v>481</v>
      </c>
      <c r="F61" s="143" t="s">
        <v>482</v>
      </c>
      <c r="G61" s="126" t="s">
        <v>29</v>
      </c>
      <c r="H61" s="126" t="s">
        <v>116</v>
      </c>
      <c r="I61" s="127">
        <v>2.4</v>
      </c>
      <c r="J61" s="127">
        <v>1.4</v>
      </c>
      <c r="K61" s="127">
        <v>1.4</v>
      </c>
      <c r="L61" s="127">
        <v>1.43</v>
      </c>
      <c r="M61" s="144">
        <v>595</v>
      </c>
      <c r="N61" s="129">
        <v>8.1349999999999998</v>
      </c>
      <c r="O61" s="129" t="s">
        <v>116</v>
      </c>
      <c r="P61" s="129"/>
      <c r="Q61" s="130" t="s">
        <v>412</v>
      </c>
      <c r="R61" s="131"/>
      <c r="S61" s="131"/>
      <c r="T61" s="132">
        <v>44570</v>
      </c>
      <c r="U61" s="132">
        <v>44571</v>
      </c>
      <c r="V61" s="132">
        <v>44595</v>
      </c>
      <c r="W61" s="132"/>
      <c r="X61" s="132"/>
      <c r="Y61" s="133"/>
      <c r="Z61" s="126" t="s">
        <v>64</v>
      </c>
      <c r="AA61" s="134" t="s">
        <v>468</v>
      </c>
      <c r="AB61" s="134"/>
      <c r="AC61" s="134"/>
      <c r="AD61" s="134">
        <v>44322</v>
      </c>
      <c r="AE61" s="134"/>
      <c r="AF61" s="134">
        <f t="shared" ca="1" si="1"/>
        <v>44963</v>
      </c>
      <c r="AG61" s="126">
        <f t="shared" ca="1" si="2"/>
        <v>641</v>
      </c>
      <c r="AH61" s="126">
        <f t="shared" ca="1" si="3"/>
        <v>368</v>
      </c>
      <c r="AI61" s="134" t="s">
        <v>483</v>
      </c>
      <c r="AJ61" s="143" t="s">
        <v>474</v>
      </c>
      <c r="AK61" s="129">
        <v>8.1690000000000005</v>
      </c>
      <c r="AL61" s="129">
        <v>8.2089999999999996</v>
      </c>
      <c r="AM61" s="129">
        <v>8.2339999999999982</v>
      </c>
      <c r="AN61" s="129">
        <v>8.238999999999999</v>
      </c>
      <c r="AO61" s="126">
        <f t="shared" ca="1" si="4"/>
        <v>392</v>
      </c>
      <c r="AR61" s="99" t="s">
        <v>136</v>
      </c>
    </row>
    <row r="62" spans="1:59" s="99" customFormat="1" ht="21" customHeight="1" x14ac:dyDescent="0.35">
      <c r="A62" s="99">
        <v>386</v>
      </c>
      <c r="B62" s="126" t="str">
        <f t="shared" si="6"/>
        <v>RM-J3/1D-002X595</v>
      </c>
      <c r="C62" s="126" t="s">
        <v>43</v>
      </c>
      <c r="D62" s="126" t="s">
        <v>43</v>
      </c>
      <c r="E62" s="143" t="s">
        <v>484</v>
      </c>
      <c r="F62" s="143" t="s">
        <v>485</v>
      </c>
      <c r="G62" s="126" t="s">
        <v>29</v>
      </c>
      <c r="H62" s="126" t="s">
        <v>139</v>
      </c>
      <c r="I62" s="127">
        <v>2.4</v>
      </c>
      <c r="J62" s="127"/>
      <c r="K62" s="127"/>
      <c r="L62" s="127"/>
      <c r="M62" s="144">
        <v>595</v>
      </c>
      <c r="N62" s="129">
        <v>8.2289999999999992</v>
      </c>
      <c r="O62" s="129"/>
      <c r="P62" s="129"/>
      <c r="Q62" s="130"/>
      <c r="R62" s="131"/>
      <c r="S62" s="131"/>
      <c r="T62" s="132"/>
      <c r="U62" s="132"/>
      <c r="V62" s="132"/>
      <c r="W62" s="132"/>
      <c r="X62" s="132"/>
      <c r="Y62" s="133"/>
      <c r="Z62" s="126" t="s">
        <v>64</v>
      </c>
      <c r="AA62" s="134" t="s">
        <v>468</v>
      </c>
      <c r="AB62" s="134"/>
      <c r="AC62" s="134"/>
      <c r="AD62" s="134">
        <v>44322</v>
      </c>
      <c r="AE62" s="134"/>
      <c r="AF62" s="134">
        <f t="shared" ca="1" si="1"/>
        <v>44963</v>
      </c>
      <c r="AG62" s="126">
        <f t="shared" ca="1" si="2"/>
        <v>641</v>
      </c>
      <c r="AH62" s="126" t="str">
        <f t="shared" si="3"/>
        <v/>
      </c>
      <c r="AI62" s="134" t="s">
        <v>483</v>
      </c>
      <c r="AJ62" s="143" t="s">
        <v>474</v>
      </c>
      <c r="AK62" s="129">
        <v>8.2289999999999992</v>
      </c>
      <c r="AL62" s="129">
        <v>8.2689999999999984</v>
      </c>
      <c r="AM62" s="129">
        <v>8.2939999999999969</v>
      </c>
      <c r="AN62" s="129">
        <v>8.2989999999999977</v>
      </c>
      <c r="AO62" s="126" t="str">
        <f t="shared" si="4"/>
        <v/>
      </c>
      <c r="AR62" s="99" t="s">
        <v>136</v>
      </c>
    </row>
    <row r="63" spans="1:59" s="99" customFormat="1" ht="21" customHeight="1" x14ac:dyDescent="0.35">
      <c r="A63" s="99">
        <v>386</v>
      </c>
      <c r="B63" s="126" t="str">
        <f t="shared" si="6"/>
        <v>RM-J3/1D-002X595</v>
      </c>
      <c r="C63" s="126" t="s">
        <v>43</v>
      </c>
      <c r="D63" s="126" t="s">
        <v>43</v>
      </c>
      <c r="E63" s="143" t="s">
        <v>486</v>
      </c>
      <c r="F63" s="143" t="s">
        <v>487</v>
      </c>
      <c r="G63" s="126" t="s">
        <v>29</v>
      </c>
      <c r="H63" s="126" t="s">
        <v>139</v>
      </c>
      <c r="I63" s="127">
        <v>2.2000000000000002</v>
      </c>
      <c r="J63" s="127"/>
      <c r="K63" s="127"/>
      <c r="L63" s="127"/>
      <c r="M63" s="144">
        <v>595</v>
      </c>
      <c r="N63" s="129">
        <v>8.2050000000000001</v>
      </c>
      <c r="O63" s="129"/>
      <c r="P63" s="129"/>
      <c r="Q63" s="130"/>
      <c r="R63" s="131"/>
      <c r="S63" s="131"/>
      <c r="T63" s="132"/>
      <c r="U63" s="132"/>
      <c r="V63" s="132"/>
      <c r="W63" s="132"/>
      <c r="X63" s="132"/>
      <c r="Y63" s="133"/>
      <c r="Z63" s="126" t="s">
        <v>64</v>
      </c>
      <c r="AA63" s="134" t="s">
        <v>468</v>
      </c>
      <c r="AB63" s="134"/>
      <c r="AC63" s="134"/>
      <c r="AD63" s="134">
        <v>44322</v>
      </c>
      <c r="AE63" s="134"/>
      <c r="AF63" s="134">
        <f t="shared" ca="1" si="1"/>
        <v>44963</v>
      </c>
      <c r="AG63" s="126">
        <f t="shared" ca="1" si="2"/>
        <v>641</v>
      </c>
      <c r="AH63" s="126" t="str">
        <f t="shared" si="3"/>
        <v/>
      </c>
      <c r="AI63" s="134" t="s">
        <v>483</v>
      </c>
      <c r="AJ63" s="143" t="s">
        <v>488</v>
      </c>
      <c r="AK63" s="129">
        <v>8.2050000000000001</v>
      </c>
      <c r="AL63" s="129">
        <v>8.2449999999999992</v>
      </c>
      <c r="AM63" s="129">
        <v>8.2699999999999978</v>
      </c>
      <c r="AN63" s="129">
        <v>8.2749999999999986</v>
      </c>
      <c r="AO63" s="126" t="str">
        <f t="shared" si="4"/>
        <v/>
      </c>
      <c r="AR63" s="99" t="s">
        <v>136</v>
      </c>
    </row>
    <row r="64" spans="1:59" s="99" customFormat="1" ht="21" customHeight="1" x14ac:dyDescent="0.35">
      <c r="A64" s="99">
        <v>386</v>
      </c>
      <c r="B64" s="126" t="str">
        <f t="shared" si="6"/>
        <v>RM-J3/1D-002X595</v>
      </c>
      <c r="C64" s="126" t="s">
        <v>43</v>
      </c>
      <c r="D64" s="126" t="s">
        <v>43</v>
      </c>
      <c r="E64" s="143" t="s">
        <v>489</v>
      </c>
      <c r="F64" s="143" t="s">
        <v>490</v>
      </c>
      <c r="G64" s="126" t="s">
        <v>29</v>
      </c>
      <c r="H64" s="126" t="s">
        <v>139</v>
      </c>
      <c r="I64" s="127">
        <v>2.2000000000000002</v>
      </c>
      <c r="J64" s="127"/>
      <c r="K64" s="127"/>
      <c r="L64" s="127"/>
      <c r="M64" s="144">
        <v>595</v>
      </c>
      <c r="N64" s="129">
        <v>8.1129999999999995</v>
      </c>
      <c r="O64" s="129"/>
      <c r="P64" s="129"/>
      <c r="Q64" s="130"/>
      <c r="R64" s="131"/>
      <c r="S64" s="131"/>
      <c r="T64" s="132"/>
      <c r="U64" s="132"/>
      <c r="V64" s="132"/>
      <c r="W64" s="132"/>
      <c r="X64" s="132"/>
      <c r="Y64" s="133"/>
      <c r="Z64" s="126" t="s">
        <v>64</v>
      </c>
      <c r="AA64" s="134" t="s">
        <v>468</v>
      </c>
      <c r="AB64" s="134"/>
      <c r="AC64" s="134"/>
      <c r="AD64" s="134">
        <v>44322</v>
      </c>
      <c r="AE64" s="134"/>
      <c r="AF64" s="134">
        <f t="shared" ca="1" si="1"/>
        <v>44963</v>
      </c>
      <c r="AG64" s="126">
        <f t="shared" ca="1" si="2"/>
        <v>641</v>
      </c>
      <c r="AH64" s="126" t="str">
        <f t="shared" si="3"/>
        <v/>
      </c>
      <c r="AI64" s="134" t="s">
        <v>491</v>
      </c>
      <c r="AJ64" s="143" t="s">
        <v>492</v>
      </c>
      <c r="AK64" s="129">
        <v>8.1129999999999995</v>
      </c>
      <c r="AL64" s="129">
        <v>8.1529999999999987</v>
      </c>
      <c r="AM64" s="129">
        <v>8.1779999999999973</v>
      </c>
      <c r="AN64" s="129">
        <v>8.1829999999999981</v>
      </c>
      <c r="AO64" s="126" t="str">
        <f t="shared" si="4"/>
        <v/>
      </c>
      <c r="AR64" s="99" t="s">
        <v>136</v>
      </c>
    </row>
    <row r="65" spans="1:59" s="99" customFormat="1" ht="21" customHeight="1" x14ac:dyDescent="0.35">
      <c r="A65" s="99">
        <v>386</v>
      </c>
      <c r="B65" s="126" t="str">
        <f t="shared" si="6"/>
        <v>RM-J3/1D-002X595</v>
      </c>
      <c r="C65" s="126" t="s">
        <v>43</v>
      </c>
      <c r="D65" s="126" t="s">
        <v>43</v>
      </c>
      <c r="E65" s="143" t="s">
        <v>493</v>
      </c>
      <c r="F65" s="143" t="s">
        <v>494</v>
      </c>
      <c r="G65" s="126" t="s">
        <v>29</v>
      </c>
      <c r="H65" s="126" t="s">
        <v>139</v>
      </c>
      <c r="I65" s="127">
        <v>2.2000000000000002</v>
      </c>
      <c r="J65" s="127"/>
      <c r="K65" s="127"/>
      <c r="L65" s="127"/>
      <c r="M65" s="144">
        <v>595</v>
      </c>
      <c r="N65" s="129">
        <v>8.2330000000000005</v>
      </c>
      <c r="O65" s="129"/>
      <c r="P65" s="129"/>
      <c r="Q65" s="130"/>
      <c r="R65" s="131"/>
      <c r="S65" s="131"/>
      <c r="T65" s="132"/>
      <c r="U65" s="132"/>
      <c r="V65" s="132"/>
      <c r="W65" s="132"/>
      <c r="X65" s="132"/>
      <c r="Y65" s="133"/>
      <c r="Z65" s="126" t="s">
        <v>64</v>
      </c>
      <c r="AA65" s="134" t="s">
        <v>468</v>
      </c>
      <c r="AB65" s="134"/>
      <c r="AC65" s="134"/>
      <c r="AD65" s="134">
        <v>44322</v>
      </c>
      <c r="AE65" s="134"/>
      <c r="AF65" s="134">
        <f t="shared" ca="1" si="1"/>
        <v>44963</v>
      </c>
      <c r="AG65" s="126">
        <f t="shared" ca="1" si="2"/>
        <v>641</v>
      </c>
      <c r="AH65" s="126" t="str">
        <f t="shared" si="3"/>
        <v/>
      </c>
      <c r="AI65" s="134" t="s">
        <v>491</v>
      </c>
      <c r="AJ65" s="143" t="s">
        <v>495</v>
      </c>
      <c r="AK65" s="129">
        <v>8.2330000000000005</v>
      </c>
      <c r="AL65" s="129">
        <v>8.2729999999999997</v>
      </c>
      <c r="AM65" s="129">
        <v>8.2979999999999983</v>
      </c>
      <c r="AN65" s="129">
        <v>8.302999999999999</v>
      </c>
      <c r="AO65" s="126" t="str">
        <f t="shared" si="4"/>
        <v/>
      </c>
      <c r="AR65" s="99" t="s">
        <v>136</v>
      </c>
    </row>
    <row r="66" spans="1:59" s="99" customFormat="1" ht="21" customHeight="1" x14ac:dyDescent="0.35">
      <c r="A66" s="99">
        <v>386</v>
      </c>
      <c r="B66" s="126" t="str">
        <f t="shared" si="6"/>
        <v>RM-J3/1D-002X595</v>
      </c>
      <c r="C66" s="126" t="s">
        <v>43</v>
      </c>
      <c r="D66" s="126" t="s">
        <v>43</v>
      </c>
      <c r="E66" s="143" t="s">
        <v>496</v>
      </c>
      <c r="F66" s="143" t="s">
        <v>497</v>
      </c>
      <c r="G66" s="126" t="s">
        <v>29</v>
      </c>
      <c r="H66" s="126" t="s">
        <v>139</v>
      </c>
      <c r="I66" s="127">
        <v>2.2000000000000002</v>
      </c>
      <c r="J66" s="127"/>
      <c r="K66" s="127"/>
      <c r="L66" s="127"/>
      <c r="M66" s="144">
        <v>595</v>
      </c>
      <c r="N66" s="129">
        <v>8.2070000000000007</v>
      </c>
      <c r="O66" s="129"/>
      <c r="P66" s="129"/>
      <c r="Q66" s="130"/>
      <c r="R66" s="131"/>
      <c r="S66" s="131"/>
      <c r="T66" s="132"/>
      <c r="U66" s="132"/>
      <c r="V66" s="132"/>
      <c r="W66" s="132"/>
      <c r="X66" s="132"/>
      <c r="Y66" s="133"/>
      <c r="Z66" s="126" t="s">
        <v>64</v>
      </c>
      <c r="AA66" s="134" t="s">
        <v>468</v>
      </c>
      <c r="AB66" s="134"/>
      <c r="AC66" s="134"/>
      <c r="AD66" s="134">
        <v>44322</v>
      </c>
      <c r="AE66" s="134"/>
      <c r="AF66" s="134">
        <f t="shared" ca="1" si="1"/>
        <v>44963</v>
      </c>
      <c r="AG66" s="126">
        <f t="shared" ca="1" si="2"/>
        <v>641</v>
      </c>
      <c r="AH66" s="126" t="str">
        <f t="shared" si="3"/>
        <v/>
      </c>
      <c r="AI66" s="134" t="s">
        <v>498</v>
      </c>
      <c r="AJ66" s="143" t="s">
        <v>499</v>
      </c>
      <c r="AK66" s="129">
        <v>8.2070000000000007</v>
      </c>
      <c r="AL66" s="129">
        <v>8.2469999999999999</v>
      </c>
      <c r="AM66" s="129">
        <v>8.2719999999999985</v>
      </c>
      <c r="AN66" s="129">
        <v>8.2769999999999992</v>
      </c>
      <c r="AO66" s="126" t="str">
        <f t="shared" si="4"/>
        <v/>
      </c>
      <c r="AR66" s="99" t="s">
        <v>136</v>
      </c>
    </row>
    <row r="67" spans="1:59" s="99" customFormat="1" ht="21" customHeight="1" x14ac:dyDescent="0.35">
      <c r="A67" s="99">
        <v>386</v>
      </c>
      <c r="B67" s="126" t="str">
        <f t="shared" si="6"/>
        <v>RM-J3/1D-002X595</v>
      </c>
      <c r="C67" s="126" t="s">
        <v>43</v>
      </c>
      <c r="D67" s="126" t="s">
        <v>43</v>
      </c>
      <c r="E67" s="143" t="s">
        <v>500</v>
      </c>
      <c r="F67" s="143" t="s">
        <v>501</v>
      </c>
      <c r="G67" s="126" t="s">
        <v>29</v>
      </c>
      <c r="H67" s="126" t="s">
        <v>139</v>
      </c>
      <c r="I67" s="127">
        <v>2.2000000000000002</v>
      </c>
      <c r="J67" s="127"/>
      <c r="K67" s="127"/>
      <c r="L67" s="127"/>
      <c r="M67" s="144">
        <v>595</v>
      </c>
      <c r="N67" s="129">
        <v>8.1910000000000007</v>
      </c>
      <c r="O67" s="129"/>
      <c r="P67" s="129"/>
      <c r="Q67" s="130"/>
      <c r="R67" s="131"/>
      <c r="S67" s="131"/>
      <c r="T67" s="132"/>
      <c r="U67" s="132"/>
      <c r="V67" s="132"/>
      <c r="W67" s="132"/>
      <c r="X67" s="132"/>
      <c r="Y67" s="133"/>
      <c r="Z67" s="126" t="s">
        <v>64</v>
      </c>
      <c r="AA67" s="134" t="s">
        <v>468</v>
      </c>
      <c r="AB67" s="134"/>
      <c r="AC67" s="134"/>
      <c r="AD67" s="134">
        <v>44322</v>
      </c>
      <c r="AE67" s="134"/>
      <c r="AF67" s="134">
        <f t="shared" ca="1" si="1"/>
        <v>44963</v>
      </c>
      <c r="AG67" s="126">
        <f t="shared" ca="1" si="2"/>
        <v>641</v>
      </c>
      <c r="AH67" s="126" t="str">
        <f t="shared" si="3"/>
        <v/>
      </c>
      <c r="AI67" s="134" t="s">
        <v>498</v>
      </c>
      <c r="AJ67" s="143" t="s">
        <v>499</v>
      </c>
      <c r="AK67" s="129">
        <v>8.1910000000000007</v>
      </c>
      <c r="AL67" s="129">
        <v>8.2309999999999999</v>
      </c>
      <c r="AM67" s="129">
        <v>8.2559999999999985</v>
      </c>
      <c r="AN67" s="129">
        <v>8.2609999999999992</v>
      </c>
      <c r="AO67" s="126" t="str">
        <f t="shared" si="4"/>
        <v/>
      </c>
      <c r="AR67" s="99" t="s">
        <v>136</v>
      </c>
    </row>
    <row r="68" spans="1:59" s="99" customFormat="1" ht="21" customHeight="1" x14ac:dyDescent="0.35">
      <c r="A68" s="99">
        <v>386</v>
      </c>
      <c r="B68" s="126" t="str">
        <f t="shared" si="6"/>
        <v>RM-J3/1D-002X595</v>
      </c>
      <c r="C68" s="126" t="s">
        <v>43</v>
      </c>
      <c r="D68" s="126" t="s">
        <v>43</v>
      </c>
      <c r="E68" s="143" t="s">
        <v>502</v>
      </c>
      <c r="F68" s="143" t="s">
        <v>503</v>
      </c>
      <c r="G68" s="126" t="s">
        <v>29</v>
      </c>
      <c r="H68" s="126" t="s">
        <v>139</v>
      </c>
      <c r="I68" s="127">
        <v>2.4</v>
      </c>
      <c r="J68" s="127"/>
      <c r="K68" s="127"/>
      <c r="L68" s="127"/>
      <c r="M68" s="144">
        <v>595</v>
      </c>
      <c r="N68" s="129">
        <v>8.2189999999999994</v>
      </c>
      <c r="O68" s="129"/>
      <c r="P68" s="129"/>
      <c r="Q68" s="130"/>
      <c r="R68" s="131"/>
      <c r="S68" s="131"/>
      <c r="T68" s="132"/>
      <c r="U68" s="132"/>
      <c r="V68" s="132"/>
      <c r="W68" s="132"/>
      <c r="X68" s="132"/>
      <c r="Y68" s="133"/>
      <c r="Z68" s="126" t="s">
        <v>64</v>
      </c>
      <c r="AA68" s="134" t="s">
        <v>468</v>
      </c>
      <c r="AB68" s="134"/>
      <c r="AC68" s="134"/>
      <c r="AD68" s="134">
        <v>44322</v>
      </c>
      <c r="AE68" s="134"/>
      <c r="AF68" s="134">
        <f t="shared" ca="1" si="1"/>
        <v>44963</v>
      </c>
      <c r="AG68" s="126">
        <f t="shared" ca="1" si="2"/>
        <v>641</v>
      </c>
      <c r="AH68" s="126" t="str">
        <f t="shared" si="3"/>
        <v/>
      </c>
      <c r="AI68" s="134" t="s">
        <v>504</v>
      </c>
      <c r="AJ68" s="143" t="s">
        <v>505</v>
      </c>
      <c r="AK68" s="129">
        <v>8.2189999999999994</v>
      </c>
      <c r="AL68" s="129">
        <v>8.2589999999999986</v>
      </c>
      <c r="AM68" s="129">
        <v>8.2839999999999971</v>
      </c>
      <c r="AN68" s="129">
        <v>8.2889999999999979</v>
      </c>
      <c r="AO68" s="126" t="str">
        <f t="shared" si="4"/>
        <v/>
      </c>
      <c r="AR68" s="99" t="s">
        <v>136</v>
      </c>
    </row>
    <row r="69" spans="1:59" s="99" customFormat="1" ht="21" customHeight="1" x14ac:dyDescent="0.35">
      <c r="A69" s="99">
        <v>386</v>
      </c>
      <c r="B69" s="126" t="str">
        <f t="shared" si="6"/>
        <v>RM-J3/1D-002X595</v>
      </c>
      <c r="C69" s="126" t="s">
        <v>43</v>
      </c>
      <c r="D69" s="126" t="s">
        <v>43</v>
      </c>
      <c r="E69" s="143" t="s">
        <v>506</v>
      </c>
      <c r="F69" s="143" t="s">
        <v>507</v>
      </c>
      <c r="G69" s="126" t="s">
        <v>29</v>
      </c>
      <c r="H69" s="126" t="s">
        <v>139</v>
      </c>
      <c r="I69" s="127">
        <v>2.4</v>
      </c>
      <c r="J69" s="127"/>
      <c r="K69" s="127"/>
      <c r="L69" s="127"/>
      <c r="M69" s="144">
        <v>595</v>
      </c>
      <c r="N69" s="129">
        <v>8.2050000000000001</v>
      </c>
      <c r="O69" s="129"/>
      <c r="P69" s="129"/>
      <c r="Q69" s="130"/>
      <c r="R69" s="131"/>
      <c r="S69" s="131"/>
      <c r="T69" s="132"/>
      <c r="U69" s="132"/>
      <c r="V69" s="132"/>
      <c r="W69" s="132"/>
      <c r="X69" s="132"/>
      <c r="Y69" s="133"/>
      <c r="Z69" s="126" t="s">
        <v>64</v>
      </c>
      <c r="AA69" s="134" t="s">
        <v>468</v>
      </c>
      <c r="AB69" s="134"/>
      <c r="AC69" s="134"/>
      <c r="AD69" s="134">
        <v>44322</v>
      </c>
      <c r="AE69" s="134"/>
      <c r="AF69" s="134">
        <f t="shared" ref="AF69:AF132" ca="1" si="7">TODAY()</f>
        <v>44963</v>
      </c>
      <c r="AG69" s="126">
        <f t="shared" ref="AG69:AG132" ca="1" si="8">IF(AD69&lt;&gt;0,AF69-AD69,0)</f>
        <v>641</v>
      </c>
      <c r="AH69" s="126" t="str">
        <f t="shared" ref="AH69:AH132" si="9">IF(ISNUMBER(V69)=TRUE,AF69-V69,IF(V69="","",(AF69)-(MID(RIGHT(V69,10),4,2)&amp;"/"&amp;LEFT((RIGHT(V69,10)),2)&amp;"/"&amp;RIGHT(V69,4))))</f>
        <v/>
      </c>
      <c r="AI69" s="134" t="s">
        <v>508</v>
      </c>
      <c r="AJ69" s="143" t="s">
        <v>509</v>
      </c>
      <c r="AK69" s="129">
        <v>8.2050000000000001</v>
      </c>
      <c r="AL69" s="129">
        <v>8.2449999999999992</v>
      </c>
      <c r="AM69" s="129">
        <v>8.2699999999999978</v>
      </c>
      <c r="AN69" s="129">
        <v>8.2749999999999986</v>
      </c>
      <c r="AO69" s="126" t="str">
        <f t="shared" ref="AO69:AO132" si="10">IF(ISNUMBER(U69)=TRUE,AF69-U69,IF(U69="","",(AF69)-(MID(RIGHT(U69,10),4,2)&amp;"/"&amp;LEFT((RIGHT(U69,10)),2)&amp;"/"&amp;RIGHT(U69,4))))</f>
        <v/>
      </c>
      <c r="AR69" s="99" t="s">
        <v>136</v>
      </c>
    </row>
    <row r="70" spans="1:59" s="99" customFormat="1" ht="21" customHeight="1" x14ac:dyDescent="0.35">
      <c r="A70" s="99">
        <v>386</v>
      </c>
      <c r="B70" s="126" t="str">
        <f t="shared" si="6"/>
        <v>RM-J3/1D-002X595</v>
      </c>
      <c r="C70" s="126" t="s">
        <v>43</v>
      </c>
      <c r="D70" s="126" t="s">
        <v>43</v>
      </c>
      <c r="E70" s="143" t="s">
        <v>510</v>
      </c>
      <c r="F70" s="143" t="s">
        <v>511</v>
      </c>
      <c r="G70" s="126" t="s">
        <v>29</v>
      </c>
      <c r="H70" s="126" t="s">
        <v>139</v>
      </c>
      <c r="I70" s="127">
        <v>2.4</v>
      </c>
      <c r="J70" s="127"/>
      <c r="K70" s="127"/>
      <c r="L70" s="127"/>
      <c r="M70" s="144">
        <v>595</v>
      </c>
      <c r="N70" s="129">
        <v>8.1790000000000003</v>
      </c>
      <c r="O70" s="129"/>
      <c r="P70" s="129"/>
      <c r="Q70" s="130"/>
      <c r="R70" s="131"/>
      <c r="S70" s="131"/>
      <c r="T70" s="132"/>
      <c r="U70" s="132"/>
      <c r="V70" s="132"/>
      <c r="W70" s="132"/>
      <c r="X70" s="132"/>
      <c r="Y70" s="133"/>
      <c r="Z70" s="126" t="s">
        <v>64</v>
      </c>
      <c r="AA70" s="134" t="s">
        <v>468</v>
      </c>
      <c r="AB70" s="134"/>
      <c r="AC70" s="134"/>
      <c r="AD70" s="134">
        <v>44322</v>
      </c>
      <c r="AE70" s="134"/>
      <c r="AF70" s="134">
        <f t="shared" ca="1" si="7"/>
        <v>44963</v>
      </c>
      <c r="AG70" s="126">
        <f t="shared" ca="1" si="8"/>
        <v>641</v>
      </c>
      <c r="AH70" s="126" t="str">
        <f t="shared" si="9"/>
        <v/>
      </c>
      <c r="AI70" s="134" t="s">
        <v>512</v>
      </c>
      <c r="AJ70" s="143" t="s">
        <v>513</v>
      </c>
      <c r="AK70" s="129">
        <v>8.1790000000000003</v>
      </c>
      <c r="AL70" s="129">
        <v>8.2189999999999994</v>
      </c>
      <c r="AM70" s="129">
        <v>8.243999999999998</v>
      </c>
      <c r="AN70" s="129">
        <v>8.2489999999999988</v>
      </c>
      <c r="AO70" s="126" t="str">
        <f t="shared" si="10"/>
        <v/>
      </c>
      <c r="AR70" s="99" t="s">
        <v>136</v>
      </c>
    </row>
    <row r="71" spans="1:59" s="99" customFormat="1" ht="21" customHeight="1" x14ac:dyDescent="0.35">
      <c r="A71" s="99">
        <v>386</v>
      </c>
      <c r="B71" s="126" t="str">
        <f t="shared" si="6"/>
        <v>WIP-J3/2B-001X595</v>
      </c>
      <c r="C71" s="126" t="s">
        <v>14</v>
      </c>
      <c r="D71" s="126" t="s">
        <v>358</v>
      </c>
      <c r="E71" s="143" t="s">
        <v>514</v>
      </c>
      <c r="F71" s="143" t="s">
        <v>515</v>
      </c>
      <c r="G71" s="126" t="s">
        <v>29</v>
      </c>
      <c r="H71" s="126" t="s">
        <v>116</v>
      </c>
      <c r="I71" s="127">
        <v>2.4</v>
      </c>
      <c r="J71" s="127">
        <v>1.1200000000000001</v>
      </c>
      <c r="K71" s="127">
        <v>1.1100000000000001</v>
      </c>
      <c r="L71" s="127">
        <v>1.1499999999999999</v>
      </c>
      <c r="M71" s="144">
        <v>595</v>
      </c>
      <c r="N71" s="129">
        <v>8.0500000000000007</v>
      </c>
      <c r="O71" s="129" t="s">
        <v>116</v>
      </c>
      <c r="P71" s="129"/>
      <c r="Q71" s="130" t="s">
        <v>446</v>
      </c>
      <c r="R71" s="131"/>
      <c r="S71" s="131"/>
      <c r="T71" s="132">
        <v>44572</v>
      </c>
      <c r="U71" s="132">
        <v>44572</v>
      </c>
      <c r="V71" s="132">
        <v>44597</v>
      </c>
      <c r="W71" s="132"/>
      <c r="X71" s="132"/>
      <c r="Y71" s="133"/>
      <c r="Z71" s="126" t="s">
        <v>64</v>
      </c>
      <c r="AA71" s="134" t="s">
        <v>468</v>
      </c>
      <c r="AB71" s="134"/>
      <c r="AC71" s="134"/>
      <c r="AD71" s="134">
        <v>44322</v>
      </c>
      <c r="AE71" s="134"/>
      <c r="AF71" s="134">
        <f t="shared" ca="1" si="7"/>
        <v>44963</v>
      </c>
      <c r="AG71" s="126">
        <f t="shared" ca="1" si="8"/>
        <v>641</v>
      </c>
      <c r="AH71" s="126">
        <f t="shared" ca="1" si="9"/>
        <v>366</v>
      </c>
      <c r="AI71" s="134" t="s">
        <v>516</v>
      </c>
      <c r="AJ71" s="143" t="s">
        <v>517</v>
      </c>
      <c r="AK71" s="129">
        <v>8.0890000000000004</v>
      </c>
      <c r="AL71" s="129">
        <v>8.1289999999999996</v>
      </c>
      <c r="AM71" s="129">
        <v>8.1539999999999981</v>
      </c>
      <c r="AN71" s="129">
        <v>8.1589999999999989</v>
      </c>
      <c r="AO71" s="126">
        <f t="shared" ca="1" si="10"/>
        <v>391</v>
      </c>
      <c r="AR71" s="99" t="s">
        <v>136</v>
      </c>
    </row>
    <row r="72" spans="1:59" s="99" customFormat="1" ht="21" customHeight="1" x14ac:dyDescent="0.35">
      <c r="A72" s="99">
        <v>386</v>
      </c>
      <c r="B72" s="126" t="str">
        <f t="shared" si="6"/>
        <v>RM-J3/1D-002X595</v>
      </c>
      <c r="C72" s="126" t="s">
        <v>43</v>
      </c>
      <c r="D72" s="126" t="s">
        <v>43</v>
      </c>
      <c r="E72" s="143" t="s">
        <v>518</v>
      </c>
      <c r="F72" s="143" t="s">
        <v>519</v>
      </c>
      <c r="G72" s="126" t="s">
        <v>29</v>
      </c>
      <c r="H72" s="126" t="s">
        <v>139</v>
      </c>
      <c r="I72" s="127">
        <v>2.4</v>
      </c>
      <c r="J72" s="127"/>
      <c r="K72" s="127"/>
      <c r="L72" s="127"/>
      <c r="M72" s="144">
        <v>595</v>
      </c>
      <c r="N72" s="129">
        <v>8.1760000000000002</v>
      </c>
      <c r="O72" s="129"/>
      <c r="P72" s="129"/>
      <c r="Q72" s="130"/>
      <c r="R72" s="131"/>
      <c r="S72" s="131"/>
      <c r="T72" s="132"/>
      <c r="U72" s="132"/>
      <c r="V72" s="132"/>
      <c r="W72" s="132"/>
      <c r="X72" s="132"/>
      <c r="Y72" s="133"/>
      <c r="Z72" s="126" t="s">
        <v>64</v>
      </c>
      <c r="AA72" s="134" t="s">
        <v>468</v>
      </c>
      <c r="AB72" s="134"/>
      <c r="AC72" s="134"/>
      <c r="AD72" s="134">
        <v>44322</v>
      </c>
      <c r="AE72" s="134"/>
      <c r="AF72" s="134">
        <f t="shared" ca="1" si="7"/>
        <v>44963</v>
      </c>
      <c r="AG72" s="126">
        <f t="shared" ca="1" si="8"/>
        <v>641</v>
      </c>
      <c r="AH72" s="126" t="str">
        <f t="shared" si="9"/>
        <v/>
      </c>
      <c r="AI72" s="134" t="s">
        <v>520</v>
      </c>
      <c r="AJ72" s="143" t="s">
        <v>495</v>
      </c>
      <c r="AK72" s="129">
        <v>8.1760000000000002</v>
      </c>
      <c r="AL72" s="129">
        <v>8.2159999999999993</v>
      </c>
      <c r="AM72" s="129">
        <v>8.2409999999999979</v>
      </c>
      <c r="AN72" s="129">
        <v>8.2459999999999987</v>
      </c>
      <c r="AO72" s="126" t="str">
        <f t="shared" si="10"/>
        <v/>
      </c>
      <c r="AR72" s="99" t="s">
        <v>136</v>
      </c>
    </row>
    <row r="73" spans="1:59" s="99" customFormat="1" ht="21" customHeight="1" x14ac:dyDescent="0.35">
      <c r="A73" s="99">
        <v>386</v>
      </c>
      <c r="B73" s="126" t="str">
        <f t="shared" si="6"/>
        <v>RM-J3/1D-002X595</v>
      </c>
      <c r="C73" s="126" t="s">
        <v>43</v>
      </c>
      <c r="D73" s="126" t="s">
        <v>43</v>
      </c>
      <c r="E73" s="143" t="s">
        <v>521</v>
      </c>
      <c r="F73" s="143" t="s">
        <v>522</v>
      </c>
      <c r="G73" s="126" t="s">
        <v>29</v>
      </c>
      <c r="H73" s="126" t="s">
        <v>139</v>
      </c>
      <c r="I73" s="127">
        <v>2.4</v>
      </c>
      <c r="J73" s="127"/>
      <c r="K73" s="127"/>
      <c r="L73" s="127"/>
      <c r="M73" s="144">
        <v>595</v>
      </c>
      <c r="N73" s="129">
        <v>8.2409999999999997</v>
      </c>
      <c r="O73" s="129"/>
      <c r="P73" s="129"/>
      <c r="Q73" s="130"/>
      <c r="R73" s="131"/>
      <c r="S73" s="131"/>
      <c r="T73" s="132"/>
      <c r="U73" s="132"/>
      <c r="V73" s="132"/>
      <c r="W73" s="132"/>
      <c r="X73" s="132"/>
      <c r="Y73" s="133"/>
      <c r="Z73" s="126" t="s">
        <v>64</v>
      </c>
      <c r="AA73" s="134" t="s">
        <v>468</v>
      </c>
      <c r="AB73" s="134"/>
      <c r="AC73" s="134"/>
      <c r="AD73" s="134">
        <v>44322</v>
      </c>
      <c r="AE73" s="134"/>
      <c r="AF73" s="134">
        <f t="shared" ca="1" si="7"/>
        <v>44963</v>
      </c>
      <c r="AG73" s="126">
        <f t="shared" ca="1" si="8"/>
        <v>641</v>
      </c>
      <c r="AH73" s="126" t="str">
        <f t="shared" si="9"/>
        <v/>
      </c>
      <c r="AI73" s="134" t="s">
        <v>523</v>
      </c>
      <c r="AJ73" s="143" t="s">
        <v>524</v>
      </c>
      <c r="AK73" s="129">
        <v>8.2409999999999997</v>
      </c>
      <c r="AL73" s="129">
        <v>8.2809999999999988</v>
      </c>
      <c r="AM73" s="129">
        <v>8.3059999999999974</v>
      </c>
      <c r="AN73" s="129">
        <v>8.3109999999999982</v>
      </c>
      <c r="AO73" s="126" t="str">
        <f t="shared" si="10"/>
        <v/>
      </c>
      <c r="AR73" s="99" t="s">
        <v>136</v>
      </c>
    </row>
    <row r="74" spans="1:59" s="99" customFormat="1" ht="21" customHeight="1" x14ac:dyDescent="0.35">
      <c r="A74" s="99">
        <v>386</v>
      </c>
      <c r="B74" s="126" t="str">
        <f t="shared" si="6"/>
        <v>RM-J3/1D-002X595</v>
      </c>
      <c r="C74" s="126" t="s">
        <v>43</v>
      </c>
      <c r="D74" s="126" t="s">
        <v>43</v>
      </c>
      <c r="E74" s="143" t="s">
        <v>525</v>
      </c>
      <c r="F74" s="143" t="s">
        <v>526</v>
      </c>
      <c r="G74" s="126" t="s">
        <v>29</v>
      </c>
      <c r="H74" s="126" t="s">
        <v>139</v>
      </c>
      <c r="I74" s="127">
        <v>2.4</v>
      </c>
      <c r="J74" s="127"/>
      <c r="K74" s="127"/>
      <c r="L74" s="127"/>
      <c r="M74" s="144">
        <v>595</v>
      </c>
      <c r="N74" s="129">
        <v>8.1829999999999998</v>
      </c>
      <c r="O74" s="129"/>
      <c r="P74" s="129"/>
      <c r="Q74" s="130"/>
      <c r="R74" s="131"/>
      <c r="S74" s="131"/>
      <c r="T74" s="132"/>
      <c r="U74" s="132"/>
      <c r="V74" s="132"/>
      <c r="W74" s="132"/>
      <c r="X74" s="132"/>
      <c r="Y74" s="133"/>
      <c r="Z74" s="126" t="s">
        <v>64</v>
      </c>
      <c r="AA74" s="134" t="s">
        <v>468</v>
      </c>
      <c r="AB74" s="134"/>
      <c r="AC74" s="134"/>
      <c r="AD74" s="134">
        <v>44322</v>
      </c>
      <c r="AE74" s="134"/>
      <c r="AF74" s="134">
        <f t="shared" ca="1" si="7"/>
        <v>44963</v>
      </c>
      <c r="AG74" s="126">
        <f t="shared" ca="1" si="8"/>
        <v>641</v>
      </c>
      <c r="AH74" s="126" t="str">
        <f t="shared" si="9"/>
        <v/>
      </c>
      <c r="AI74" s="134" t="s">
        <v>523</v>
      </c>
      <c r="AJ74" s="143" t="s">
        <v>499</v>
      </c>
      <c r="AK74" s="129">
        <v>8.1829999999999998</v>
      </c>
      <c r="AL74" s="129">
        <v>8.222999999999999</v>
      </c>
      <c r="AM74" s="129">
        <v>8.2479999999999976</v>
      </c>
      <c r="AN74" s="129">
        <v>8.2529999999999983</v>
      </c>
      <c r="AO74" s="126" t="str">
        <f t="shared" si="10"/>
        <v/>
      </c>
      <c r="AR74" s="99" t="s">
        <v>136</v>
      </c>
    </row>
    <row r="75" spans="1:59" s="99" customFormat="1" ht="21" customHeight="1" x14ac:dyDescent="0.35">
      <c r="A75" s="99">
        <v>386</v>
      </c>
      <c r="B75" s="126" t="str">
        <f t="shared" si="6"/>
        <v>RM-J3/1D-002X595</v>
      </c>
      <c r="C75" s="126" t="s">
        <v>43</v>
      </c>
      <c r="D75" s="126" t="s">
        <v>43</v>
      </c>
      <c r="E75" s="143" t="s">
        <v>527</v>
      </c>
      <c r="F75" s="143" t="s">
        <v>528</v>
      </c>
      <c r="G75" s="126" t="s">
        <v>29</v>
      </c>
      <c r="H75" s="126" t="s">
        <v>139</v>
      </c>
      <c r="I75" s="127">
        <v>2.4</v>
      </c>
      <c r="J75" s="127"/>
      <c r="K75" s="127"/>
      <c r="L75" s="127"/>
      <c r="M75" s="144">
        <v>595</v>
      </c>
      <c r="N75" s="129">
        <v>8.2390000000000008</v>
      </c>
      <c r="O75" s="129"/>
      <c r="P75" s="129"/>
      <c r="Q75" s="130"/>
      <c r="R75" s="131"/>
      <c r="S75" s="131"/>
      <c r="T75" s="132"/>
      <c r="U75" s="132"/>
      <c r="V75" s="132"/>
      <c r="W75" s="132"/>
      <c r="X75" s="132"/>
      <c r="Y75" s="133"/>
      <c r="Z75" s="126" t="s">
        <v>64</v>
      </c>
      <c r="AA75" s="134" t="s">
        <v>468</v>
      </c>
      <c r="AB75" s="134"/>
      <c r="AC75" s="134"/>
      <c r="AD75" s="134">
        <v>44322</v>
      </c>
      <c r="AE75" s="134"/>
      <c r="AF75" s="134">
        <f t="shared" ca="1" si="7"/>
        <v>44963</v>
      </c>
      <c r="AG75" s="126">
        <f t="shared" ca="1" si="8"/>
        <v>641</v>
      </c>
      <c r="AH75" s="126" t="str">
        <f t="shared" si="9"/>
        <v/>
      </c>
      <c r="AI75" s="134" t="s">
        <v>523</v>
      </c>
      <c r="AJ75" s="143" t="s">
        <v>499</v>
      </c>
      <c r="AK75" s="129">
        <v>8.2390000000000008</v>
      </c>
      <c r="AL75" s="129">
        <v>8.2789999999999999</v>
      </c>
      <c r="AM75" s="129">
        <v>8.3039999999999985</v>
      </c>
      <c r="AN75" s="129">
        <v>8.3089999999999993</v>
      </c>
      <c r="AO75" s="126" t="str">
        <f t="shared" si="10"/>
        <v/>
      </c>
      <c r="AR75" s="99" t="s">
        <v>136</v>
      </c>
    </row>
    <row r="76" spans="1:59" s="99" customFormat="1" ht="21" customHeight="1" x14ac:dyDescent="0.35">
      <c r="A76" s="99">
        <v>386</v>
      </c>
      <c r="B76" s="126" t="str">
        <f t="shared" si="6"/>
        <v>RM-J3/1D-002X595</v>
      </c>
      <c r="C76" s="126" t="s">
        <v>43</v>
      </c>
      <c r="D76" s="126" t="s">
        <v>43</v>
      </c>
      <c r="E76" s="143" t="s">
        <v>529</v>
      </c>
      <c r="F76" s="143" t="s">
        <v>530</v>
      </c>
      <c r="G76" s="126" t="s">
        <v>29</v>
      </c>
      <c r="H76" s="126" t="s">
        <v>139</v>
      </c>
      <c r="I76" s="127">
        <v>2.4</v>
      </c>
      <c r="J76" s="127"/>
      <c r="K76" s="127"/>
      <c r="L76" s="127"/>
      <c r="M76" s="144">
        <v>595</v>
      </c>
      <c r="N76" s="129">
        <v>8.1769999999999996</v>
      </c>
      <c r="O76" s="129"/>
      <c r="P76" s="129"/>
      <c r="Q76" s="130"/>
      <c r="R76" s="131"/>
      <c r="S76" s="131"/>
      <c r="T76" s="132"/>
      <c r="U76" s="132"/>
      <c r="V76" s="132"/>
      <c r="W76" s="132"/>
      <c r="X76" s="132"/>
      <c r="Y76" s="133"/>
      <c r="Z76" s="126" t="s">
        <v>64</v>
      </c>
      <c r="AA76" s="134" t="s">
        <v>468</v>
      </c>
      <c r="AB76" s="134"/>
      <c r="AC76" s="134"/>
      <c r="AD76" s="134">
        <v>44322</v>
      </c>
      <c r="AE76" s="134"/>
      <c r="AF76" s="134">
        <f t="shared" ca="1" si="7"/>
        <v>44963</v>
      </c>
      <c r="AG76" s="126">
        <f t="shared" ca="1" si="8"/>
        <v>641</v>
      </c>
      <c r="AH76" s="126" t="str">
        <f t="shared" si="9"/>
        <v/>
      </c>
      <c r="AI76" s="134" t="s">
        <v>531</v>
      </c>
      <c r="AJ76" s="143" t="s">
        <v>499</v>
      </c>
      <c r="AK76" s="129">
        <v>8.1769999999999996</v>
      </c>
      <c r="AL76" s="129">
        <v>8.2169999999999987</v>
      </c>
      <c r="AM76" s="129">
        <v>8.2419999999999973</v>
      </c>
      <c r="AN76" s="129">
        <v>8.2469999999999981</v>
      </c>
      <c r="AO76" s="126" t="str">
        <f t="shared" si="10"/>
        <v/>
      </c>
      <c r="AR76" s="99" t="s">
        <v>136</v>
      </c>
      <c r="BG76" s="135" t="s">
        <v>532</v>
      </c>
    </row>
    <row r="77" spans="1:59" s="99" customFormat="1" ht="21" customHeight="1" x14ac:dyDescent="0.35">
      <c r="A77" s="99">
        <v>386</v>
      </c>
      <c r="B77" s="126" t="str">
        <f t="shared" si="6"/>
        <v>RM-J3/1D-002X595</v>
      </c>
      <c r="C77" s="126" t="s">
        <v>43</v>
      </c>
      <c r="D77" s="126" t="s">
        <v>43</v>
      </c>
      <c r="E77" s="143" t="s">
        <v>533</v>
      </c>
      <c r="F77" s="143" t="s">
        <v>534</v>
      </c>
      <c r="G77" s="126" t="s">
        <v>29</v>
      </c>
      <c r="H77" s="126" t="s">
        <v>139</v>
      </c>
      <c r="I77" s="127">
        <v>2.4</v>
      </c>
      <c r="J77" s="127"/>
      <c r="K77" s="127"/>
      <c r="L77" s="127"/>
      <c r="M77" s="144">
        <v>595</v>
      </c>
      <c r="N77" s="129">
        <v>8.1790000000000003</v>
      </c>
      <c r="O77" s="129"/>
      <c r="P77" s="129"/>
      <c r="Q77" s="130"/>
      <c r="R77" s="131"/>
      <c r="S77" s="131"/>
      <c r="T77" s="132"/>
      <c r="U77" s="132"/>
      <c r="V77" s="132"/>
      <c r="W77" s="132"/>
      <c r="X77" s="132"/>
      <c r="Y77" s="133"/>
      <c r="Z77" s="126" t="s">
        <v>64</v>
      </c>
      <c r="AA77" s="134" t="s">
        <v>468</v>
      </c>
      <c r="AB77" s="134"/>
      <c r="AC77" s="134"/>
      <c r="AD77" s="134">
        <v>44322</v>
      </c>
      <c r="AE77" s="134"/>
      <c r="AF77" s="134">
        <f t="shared" ca="1" si="7"/>
        <v>44963</v>
      </c>
      <c r="AG77" s="126">
        <f t="shared" ca="1" si="8"/>
        <v>641</v>
      </c>
      <c r="AH77" s="126" t="str">
        <f t="shared" si="9"/>
        <v/>
      </c>
      <c r="AI77" s="134" t="s">
        <v>535</v>
      </c>
      <c r="AJ77" s="143" t="s">
        <v>536</v>
      </c>
      <c r="AK77" s="129">
        <v>8.1790000000000003</v>
      </c>
      <c r="AL77" s="129">
        <v>8.2189999999999994</v>
      </c>
      <c r="AM77" s="129">
        <v>8.243999999999998</v>
      </c>
      <c r="AN77" s="129">
        <v>8.2489999999999988</v>
      </c>
      <c r="AO77" s="126" t="str">
        <f t="shared" si="10"/>
        <v/>
      </c>
      <c r="AR77" s="99" t="s">
        <v>136</v>
      </c>
    </row>
    <row r="78" spans="1:59" s="99" customFormat="1" ht="21" customHeight="1" x14ac:dyDescent="0.35">
      <c r="A78" s="99">
        <v>386</v>
      </c>
      <c r="B78" s="126" t="str">
        <f t="shared" si="6"/>
        <v>RM-J3/1D-002X595</v>
      </c>
      <c r="C78" s="126" t="s">
        <v>43</v>
      </c>
      <c r="D78" s="126" t="s">
        <v>43</v>
      </c>
      <c r="E78" s="143" t="s">
        <v>537</v>
      </c>
      <c r="F78" s="143" t="s">
        <v>538</v>
      </c>
      <c r="G78" s="126" t="s">
        <v>29</v>
      </c>
      <c r="H78" s="126" t="s">
        <v>139</v>
      </c>
      <c r="I78" s="127">
        <v>2.4</v>
      </c>
      <c r="J78" s="127"/>
      <c r="K78" s="127"/>
      <c r="L78" s="127"/>
      <c r="M78" s="144">
        <v>595</v>
      </c>
      <c r="N78" s="129">
        <v>8.1989999999999998</v>
      </c>
      <c r="O78" s="129"/>
      <c r="P78" s="129"/>
      <c r="Q78" s="130"/>
      <c r="R78" s="131"/>
      <c r="S78" s="131"/>
      <c r="T78" s="132"/>
      <c r="U78" s="132"/>
      <c r="V78" s="132"/>
      <c r="W78" s="132"/>
      <c r="X78" s="132"/>
      <c r="Y78" s="133"/>
      <c r="Z78" s="126" t="s">
        <v>64</v>
      </c>
      <c r="AA78" s="134" t="s">
        <v>468</v>
      </c>
      <c r="AB78" s="134"/>
      <c r="AC78" s="134"/>
      <c r="AD78" s="134">
        <v>44322</v>
      </c>
      <c r="AE78" s="134"/>
      <c r="AF78" s="134">
        <f t="shared" ca="1" si="7"/>
        <v>44963</v>
      </c>
      <c r="AG78" s="126">
        <f t="shared" ca="1" si="8"/>
        <v>641</v>
      </c>
      <c r="AH78" s="126" t="str">
        <f t="shared" si="9"/>
        <v/>
      </c>
      <c r="AI78" s="134" t="s">
        <v>535</v>
      </c>
      <c r="AJ78" s="143" t="s">
        <v>536</v>
      </c>
      <c r="AK78" s="129">
        <v>8.1989999999999998</v>
      </c>
      <c r="AL78" s="129">
        <v>8.238999999999999</v>
      </c>
      <c r="AM78" s="129">
        <v>8.2639999999999976</v>
      </c>
      <c r="AN78" s="129">
        <v>8.2689999999999984</v>
      </c>
      <c r="AO78" s="126" t="str">
        <f t="shared" si="10"/>
        <v/>
      </c>
      <c r="AR78" s="99" t="s">
        <v>136</v>
      </c>
    </row>
    <row r="79" spans="1:59" s="99" customFormat="1" ht="21" customHeight="1" x14ac:dyDescent="0.35">
      <c r="A79" s="99">
        <v>386</v>
      </c>
      <c r="B79" s="126" t="str">
        <f t="shared" si="6"/>
        <v>RM-J3/1D-002X595</v>
      </c>
      <c r="C79" s="126" t="s">
        <v>43</v>
      </c>
      <c r="D79" s="126" t="s">
        <v>43</v>
      </c>
      <c r="E79" s="143" t="s">
        <v>539</v>
      </c>
      <c r="F79" s="143" t="s">
        <v>540</v>
      </c>
      <c r="G79" s="126" t="s">
        <v>29</v>
      </c>
      <c r="H79" s="126" t="s">
        <v>139</v>
      </c>
      <c r="I79" s="127">
        <v>2.4</v>
      </c>
      <c r="J79" s="127"/>
      <c r="K79" s="127"/>
      <c r="L79" s="127"/>
      <c r="M79" s="144">
        <v>595</v>
      </c>
      <c r="N79" s="129">
        <v>8.2050000000000001</v>
      </c>
      <c r="O79" s="129"/>
      <c r="P79" s="129"/>
      <c r="Q79" s="130"/>
      <c r="R79" s="131"/>
      <c r="S79" s="131"/>
      <c r="T79" s="132"/>
      <c r="U79" s="132"/>
      <c r="V79" s="132"/>
      <c r="W79" s="132"/>
      <c r="X79" s="132"/>
      <c r="Y79" s="133"/>
      <c r="Z79" s="126" t="s">
        <v>64</v>
      </c>
      <c r="AA79" s="134" t="s">
        <v>468</v>
      </c>
      <c r="AB79" s="134"/>
      <c r="AC79" s="134"/>
      <c r="AD79" s="134">
        <v>44322</v>
      </c>
      <c r="AE79" s="134"/>
      <c r="AF79" s="134">
        <f t="shared" ca="1" si="7"/>
        <v>44963</v>
      </c>
      <c r="AG79" s="126">
        <f t="shared" ca="1" si="8"/>
        <v>641</v>
      </c>
      <c r="AH79" s="126" t="str">
        <f t="shared" si="9"/>
        <v/>
      </c>
      <c r="AI79" s="134" t="s">
        <v>541</v>
      </c>
      <c r="AJ79" s="143" t="s">
        <v>542</v>
      </c>
      <c r="AK79" s="129">
        <v>8.2050000000000001</v>
      </c>
      <c r="AL79" s="129">
        <v>8.2449999999999992</v>
      </c>
      <c r="AM79" s="129">
        <v>8.2699999999999978</v>
      </c>
      <c r="AN79" s="129">
        <v>8.2749999999999986</v>
      </c>
      <c r="AO79" s="126" t="str">
        <f t="shared" si="10"/>
        <v/>
      </c>
      <c r="AR79" s="99" t="s">
        <v>136</v>
      </c>
    </row>
    <row r="80" spans="1:59" s="99" customFormat="1" ht="21" customHeight="1" x14ac:dyDescent="0.35">
      <c r="A80" s="99">
        <v>386</v>
      </c>
      <c r="B80" s="126" t="str">
        <f t="shared" si="6"/>
        <v>RM-J3/1D-002X595</v>
      </c>
      <c r="C80" s="126" t="s">
        <v>43</v>
      </c>
      <c r="D80" s="126" t="s">
        <v>43</v>
      </c>
      <c r="E80" s="143" t="s">
        <v>543</v>
      </c>
      <c r="F80" s="143" t="s">
        <v>544</v>
      </c>
      <c r="G80" s="126" t="s">
        <v>29</v>
      </c>
      <c r="H80" s="126" t="s">
        <v>139</v>
      </c>
      <c r="I80" s="127">
        <v>2.4</v>
      </c>
      <c r="J80" s="127"/>
      <c r="K80" s="127"/>
      <c r="L80" s="127"/>
      <c r="M80" s="144">
        <v>595</v>
      </c>
      <c r="N80" s="129">
        <v>8.18</v>
      </c>
      <c r="O80" s="129"/>
      <c r="P80" s="129"/>
      <c r="Q80" s="130"/>
      <c r="R80" s="131"/>
      <c r="S80" s="131"/>
      <c r="T80" s="132"/>
      <c r="U80" s="132"/>
      <c r="V80" s="132"/>
      <c r="W80" s="132"/>
      <c r="X80" s="132"/>
      <c r="Y80" s="133"/>
      <c r="Z80" s="126" t="s">
        <v>64</v>
      </c>
      <c r="AA80" s="134" t="s">
        <v>468</v>
      </c>
      <c r="AB80" s="134"/>
      <c r="AC80" s="134"/>
      <c r="AD80" s="134">
        <v>44322</v>
      </c>
      <c r="AE80" s="134"/>
      <c r="AF80" s="134">
        <f t="shared" ca="1" si="7"/>
        <v>44963</v>
      </c>
      <c r="AG80" s="126">
        <f t="shared" ca="1" si="8"/>
        <v>641</v>
      </c>
      <c r="AH80" s="126" t="str">
        <f t="shared" si="9"/>
        <v/>
      </c>
      <c r="AI80" s="134" t="s">
        <v>545</v>
      </c>
      <c r="AJ80" s="143" t="s">
        <v>546</v>
      </c>
      <c r="AK80" s="129">
        <v>8.18</v>
      </c>
      <c r="AL80" s="129">
        <v>8.2199999999999989</v>
      </c>
      <c r="AM80" s="129">
        <v>8.2449999999999974</v>
      </c>
      <c r="AN80" s="129">
        <v>8.2499999999999982</v>
      </c>
      <c r="AO80" s="126" t="str">
        <f t="shared" si="10"/>
        <v/>
      </c>
      <c r="AR80" s="99" t="s">
        <v>136</v>
      </c>
    </row>
    <row r="81" spans="1:59" s="99" customFormat="1" ht="21" customHeight="1" x14ac:dyDescent="0.35">
      <c r="A81" s="99">
        <v>386</v>
      </c>
      <c r="B81" s="126" t="str">
        <f t="shared" si="6"/>
        <v>RM-J3/1D-002X595</v>
      </c>
      <c r="C81" s="126" t="s">
        <v>43</v>
      </c>
      <c r="D81" s="126" t="s">
        <v>43</v>
      </c>
      <c r="E81" s="143" t="s">
        <v>547</v>
      </c>
      <c r="F81" s="143" t="s">
        <v>548</v>
      </c>
      <c r="G81" s="126" t="s">
        <v>29</v>
      </c>
      <c r="H81" s="126" t="s">
        <v>139</v>
      </c>
      <c r="I81" s="127">
        <v>2.4</v>
      </c>
      <c r="J81" s="127"/>
      <c r="K81" s="127"/>
      <c r="L81" s="127"/>
      <c r="M81" s="144">
        <v>595</v>
      </c>
      <c r="N81" s="129">
        <v>8.1829999999999998</v>
      </c>
      <c r="O81" s="129"/>
      <c r="P81" s="129"/>
      <c r="Q81" s="130"/>
      <c r="R81" s="131"/>
      <c r="S81" s="131"/>
      <c r="T81" s="132"/>
      <c r="U81" s="132"/>
      <c r="V81" s="132"/>
      <c r="W81" s="132"/>
      <c r="X81" s="132"/>
      <c r="Y81" s="133"/>
      <c r="Z81" s="126" t="s">
        <v>64</v>
      </c>
      <c r="AA81" s="134" t="s">
        <v>468</v>
      </c>
      <c r="AB81" s="134"/>
      <c r="AC81" s="134"/>
      <c r="AD81" s="134">
        <v>44322</v>
      </c>
      <c r="AE81" s="134"/>
      <c r="AF81" s="134">
        <f t="shared" ca="1" si="7"/>
        <v>44963</v>
      </c>
      <c r="AG81" s="126">
        <f t="shared" ca="1" si="8"/>
        <v>641</v>
      </c>
      <c r="AH81" s="126" t="str">
        <f t="shared" si="9"/>
        <v/>
      </c>
      <c r="AI81" s="134" t="s">
        <v>545</v>
      </c>
      <c r="AJ81" s="143" t="s">
        <v>542</v>
      </c>
      <c r="AK81" s="129">
        <v>8.1829999999999998</v>
      </c>
      <c r="AL81" s="129">
        <v>8.222999999999999</v>
      </c>
      <c r="AM81" s="129">
        <v>8.2479999999999976</v>
      </c>
      <c r="AN81" s="129">
        <v>8.2529999999999983</v>
      </c>
      <c r="AO81" s="126" t="str">
        <f t="shared" si="10"/>
        <v/>
      </c>
      <c r="AR81" s="99" t="s">
        <v>136</v>
      </c>
    </row>
    <row r="82" spans="1:59" s="99" customFormat="1" ht="21" customHeight="1" x14ac:dyDescent="0.35">
      <c r="A82" s="99">
        <v>387</v>
      </c>
      <c r="B82" s="126" t="str">
        <f t="shared" si="6"/>
        <v>RM-301/1D-003X625</v>
      </c>
      <c r="C82" s="126" t="s">
        <v>43</v>
      </c>
      <c r="D82" s="126" t="s">
        <v>43</v>
      </c>
      <c r="E82" s="143" t="s">
        <v>549</v>
      </c>
      <c r="F82" s="143" t="s">
        <v>550</v>
      </c>
      <c r="G82" s="126">
        <v>301</v>
      </c>
      <c r="H82" s="126" t="s">
        <v>139</v>
      </c>
      <c r="I82" s="127">
        <v>2.5</v>
      </c>
      <c r="J82" s="127"/>
      <c r="K82" s="127"/>
      <c r="L82" s="127"/>
      <c r="M82" s="144">
        <v>625</v>
      </c>
      <c r="N82" s="129">
        <v>10.86</v>
      </c>
      <c r="O82" s="129"/>
      <c r="P82" s="129"/>
      <c r="Q82" s="130"/>
      <c r="R82" s="131"/>
      <c r="S82" s="131"/>
      <c r="T82" s="132"/>
      <c r="U82" s="132"/>
      <c r="V82" s="132"/>
      <c r="W82" s="132"/>
      <c r="X82" s="132"/>
      <c r="Y82" s="133"/>
      <c r="Z82" s="126" t="s">
        <v>64</v>
      </c>
      <c r="AA82" s="134" t="s">
        <v>132</v>
      </c>
      <c r="AB82" s="134" t="s">
        <v>551</v>
      </c>
      <c r="AC82" s="134">
        <v>44308</v>
      </c>
      <c r="AD82" s="134">
        <v>44327</v>
      </c>
      <c r="AE82" s="134"/>
      <c r="AF82" s="134">
        <f t="shared" ca="1" si="7"/>
        <v>44963</v>
      </c>
      <c r="AG82" s="126">
        <f t="shared" ca="1" si="8"/>
        <v>636</v>
      </c>
      <c r="AH82" s="126" t="str">
        <f t="shared" si="9"/>
        <v/>
      </c>
      <c r="AI82" s="134" t="s">
        <v>552</v>
      </c>
      <c r="AJ82" s="143" t="s">
        <v>553</v>
      </c>
      <c r="AK82" s="129">
        <v>10.86</v>
      </c>
      <c r="AL82" s="129">
        <v>10.875</v>
      </c>
      <c r="AM82" s="129">
        <v>10.899999999999999</v>
      </c>
      <c r="AN82" s="129">
        <v>10.904999999999999</v>
      </c>
      <c r="AO82" s="126" t="str">
        <f t="shared" si="10"/>
        <v/>
      </c>
      <c r="AR82" s="99" t="s">
        <v>136</v>
      </c>
    </row>
    <row r="83" spans="1:59" s="99" customFormat="1" ht="21" customHeight="1" x14ac:dyDescent="0.35">
      <c r="A83" s="99">
        <v>387</v>
      </c>
      <c r="B83" s="126" t="str">
        <f t="shared" si="6"/>
        <v>RM-301/1D-003X625</v>
      </c>
      <c r="C83" s="126" t="s">
        <v>43</v>
      </c>
      <c r="D83" s="126" t="s">
        <v>43</v>
      </c>
      <c r="E83" s="143" t="s">
        <v>554</v>
      </c>
      <c r="F83" s="143" t="s">
        <v>555</v>
      </c>
      <c r="G83" s="126">
        <v>301</v>
      </c>
      <c r="H83" s="126" t="s">
        <v>139</v>
      </c>
      <c r="I83" s="127">
        <v>2.5</v>
      </c>
      <c r="J83" s="127"/>
      <c r="K83" s="127"/>
      <c r="L83" s="127"/>
      <c r="M83" s="144">
        <v>625</v>
      </c>
      <c r="N83" s="129">
        <v>10.95</v>
      </c>
      <c r="O83" s="129"/>
      <c r="P83" s="129"/>
      <c r="Q83" s="130"/>
      <c r="R83" s="131"/>
      <c r="S83" s="131"/>
      <c r="T83" s="132"/>
      <c r="U83" s="132"/>
      <c r="V83" s="132"/>
      <c r="W83" s="132"/>
      <c r="X83" s="132"/>
      <c r="Y83" s="133"/>
      <c r="Z83" s="126" t="s">
        <v>64</v>
      </c>
      <c r="AA83" s="134" t="s">
        <v>132</v>
      </c>
      <c r="AB83" s="134" t="s">
        <v>551</v>
      </c>
      <c r="AC83" s="134">
        <v>44308</v>
      </c>
      <c r="AD83" s="134">
        <v>44327</v>
      </c>
      <c r="AE83" s="134"/>
      <c r="AF83" s="134">
        <f t="shared" ca="1" si="7"/>
        <v>44963</v>
      </c>
      <c r="AG83" s="126">
        <f t="shared" ca="1" si="8"/>
        <v>636</v>
      </c>
      <c r="AH83" s="126" t="str">
        <f t="shared" si="9"/>
        <v/>
      </c>
      <c r="AI83" s="134" t="s">
        <v>552</v>
      </c>
      <c r="AJ83" s="143" t="s">
        <v>556</v>
      </c>
      <c r="AK83" s="129">
        <v>10.95</v>
      </c>
      <c r="AL83" s="129">
        <v>10.965</v>
      </c>
      <c r="AM83" s="129">
        <v>10.989999999999998</v>
      </c>
      <c r="AN83" s="129">
        <v>10.994999999999999</v>
      </c>
      <c r="AO83" s="126" t="str">
        <f t="shared" si="10"/>
        <v/>
      </c>
      <c r="AR83" s="99" t="s">
        <v>136</v>
      </c>
    </row>
    <row r="84" spans="1:59" s="99" customFormat="1" ht="21" customHeight="1" x14ac:dyDescent="0.35">
      <c r="A84" s="99">
        <v>387</v>
      </c>
      <c r="B84" s="126" t="str">
        <f t="shared" si="6"/>
        <v>RM-301/1D-003X625</v>
      </c>
      <c r="C84" s="126" t="s">
        <v>43</v>
      </c>
      <c r="D84" s="126" t="s">
        <v>43</v>
      </c>
      <c r="E84" s="143" t="s">
        <v>557</v>
      </c>
      <c r="F84" s="143" t="s">
        <v>558</v>
      </c>
      <c r="G84" s="126">
        <v>301</v>
      </c>
      <c r="H84" s="126" t="s">
        <v>139</v>
      </c>
      <c r="I84" s="127">
        <v>2.5</v>
      </c>
      <c r="J84" s="127"/>
      <c r="K84" s="127"/>
      <c r="L84" s="127"/>
      <c r="M84" s="144">
        <v>625</v>
      </c>
      <c r="N84" s="129">
        <v>10.824999999999999</v>
      </c>
      <c r="O84" s="129"/>
      <c r="P84" s="129"/>
      <c r="Q84" s="130"/>
      <c r="R84" s="131"/>
      <c r="S84" s="131"/>
      <c r="T84" s="132"/>
      <c r="U84" s="132"/>
      <c r="V84" s="132"/>
      <c r="W84" s="132"/>
      <c r="X84" s="132"/>
      <c r="Y84" s="133"/>
      <c r="Z84" s="126" t="s">
        <v>64</v>
      </c>
      <c r="AA84" s="134" t="s">
        <v>132</v>
      </c>
      <c r="AB84" s="134" t="s">
        <v>551</v>
      </c>
      <c r="AC84" s="134">
        <v>44308</v>
      </c>
      <c r="AD84" s="134">
        <v>44327</v>
      </c>
      <c r="AE84" s="134"/>
      <c r="AF84" s="134">
        <f t="shared" ca="1" si="7"/>
        <v>44963</v>
      </c>
      <c r="AG84" s="126">
        <f t="shared" ca="1" si="8"/>
        <v>636</v>
      </c>
      <c r="AH84" s="126" t="str">
        <f t="shared" si="9"/>
        <v/>
      </c>
      <c r="AI84" s="134" t="s">
        <v>559</v>
      </c>
      <c r="AJ84" s="143" t="s">
        <v>556</v>
      </c>
      <c r="AK84" s="129">
        <v>10.824999999999999</v>
      </c>
      <c r="AL84" s="129">
        <v>10.84</v>
      </c>
      <c r="AM84" s="129">
        <v>10.864999999999998</v>
      </c>
      <c r="AN84" s="129">
        <v>10.87</v>
      </c>
      <c r="AO84" s="126" t="str">
        <f t="shared" si="10"/>
        <v/>
      </c>
      <c r="AR84" s="99" t="s">
        <v>136</v>
      </c>
    </row>
    <row r="85" spans="1:59" s="99" customFormat="1" ht="21" customHeight="1" x14ac:dyDescent="0.35">
      <c r="A85" s="99">
        <v>387</v>
      </c>
      <c r="B85" s="126" t="str">
        <f t="shared" ref="B85:B148" si="11">IF(C85="HOLD RM","HOLD RM",IF(C85="BAL","WIP",IF(C85="HOLD SLT","HOLD SLT",IF(C85="MILL","RM",IF(C85="RE SLT","WIP",IF(C85="RM","RM",IF(C85="RM BAL","RM",IF(C85="RM SLT","RM",IF(C85="RR","WIP",IF(C85="SKP","WIP",IF(C85="SLT","WIP",IF(C85="CTL","WIP",IF(C85="RM SLT RUST","RM SLT RUST",0)))))))))))))&amp;"-"&amp;G85&amp;"/"&amp;IF(H85="2B","2B",IF(H85="NO.1","1D",IF(H85="FH","FH",0)))&amp;"-"&amp;IF(J85="",(TEXT(I85,"0.00")),TEXT(J85,"0.00"))&amp;"X"&amp;M85</f>
        <v>RM-301/1D-003X625</v>
      </c>
      <c r="C85" s="126" t="s">
        <v>43</v>
      </c>
      <c r="D85" s="126" t="s">
        <v>43</v>
      </c>
      <c r="E85" s="143" t="s">
        <v>560</v>
      </c>
      <c r="F85" s="143" t="s">
        <v>561</v>
      </c>
      <c r="G85" s="126">
        <v>301</v>
      </c>
      <c r="H85" s="126" t="s">
        <v>139</v>
      </c>
      <c r="I85" s="127">
        <v>2.5</v>
      </c>
      <c r="J85" s="127"/>
      <c r="K85" s="127"/>
      <c r="L85" s="127"/>
      <c r="M85" s="144">
        <v>625</v>
      </c>
      <c r="N85" s="129">
        <v>10.88</v>
      </c>
      <c r="O85" s="129"/>
      <c r="P85" s="129"/>
      <c r="Q85" s="130"/>
      <c r="R85" s="131"/>
      <c r="S85" s="131"/>
      <c r="T85" s="132"/>
      <c r="U85" s="132"/>
      <c r="V85" s="132"/>
      <c r="W85" s="132"/>
      <c r="X85" s="132"/>
      <c r="Y85" s="133"/>
      <c r="Z85" s="126" t="s">
        <v>64</v>
      </c>
      <c r="AA85" s="134" t="s">
        <v>132</v>
      </c>
      <c r="AB85" s="134" t="s">
        <v>551</v>
      </c>
      <c r="AC85" s="134">
        <v>44308</v>
      </c>
      <c r="AD85" s="134">
        <v>44327</v>
      </c>
      <c r="AE85" s="134"/>
      <c r="AF85" s="134">
        <f t="shared" ca="1" si="7"/>
        <v>44963</v>
      </c>
      <c r="AG85" s="126">
        <f t="shared" ca="1" si="8"/>
        <v>636</v>
      </c>
      <c r="AH85" s="126" t="str">
        <f t="shared" si="9"/>
        <v/>
      </c>
      <c r="AI85" s="134" t="s">
        <v>562</v>
      </c>
      <c r="AJ85" s="143" t="s">
        <v>563</v>
      </c>
      <c r="AK85" s="129">
        <v>10.88</v>
      </c>
      <c r="AL85" s="129">
        <v>10.895000000000001</v>
      </c>
      <c r="AM85" s="129">
        <v>10.92</v>
      </c>
      <c r="AN85" s="129">
        <v>10.925000000000001</v>
      </c>
      <c r="AO85" s="126" t="str">
        <f t="shared" si="10"/>
        <v/>
      </c>
      <c r="AR85" s="99" t="s">
        <v>136</v>
      </c>
    </row>
    <row r="86" spans="1:59" s="99" customFormat="1" ht="21" customHeight="1" x14ac:dyDescent="0.35">
      <c r="A86" s="99">
        <v>387</v>
      </c>
      <c r="B86" s="126" t="str">
        <f t="shared" si="11"/>
        <v>RM-301/1D-003X625</v>
      </c>
      <c r="C86" s="126" t="s">
        <v>43</v>
      </c>
      <c r="D86" s="126" t="s">
        <v>43</v>
      </c>
      <c r="E86" s="143" t="s">
        <v>564</v>
      </c>
      <c r="F86" s="143" t="s">
        <v>565</v>
      </c>
      <c r="G86" s="126">
        <v>301</v>
      </c>
      <c r="H86" s="126" t="s">
        <v>139</v>
      </c>
      <c r="I86" s="127">
        <v>2.5</v>
      </c>
      <c r="J86" s="127"/>
      <c r="K86" s="127"/>
      <c r="L86" s="127"/>
      <c r="M86" s="144">
        <v>625</v>
      </c>
      <c r="N86" s="129">
        <v>10.858000000000001</v>
      </c>
      <c r="O86" s="129"/>
      <c r="P86" s="129"/>
      <c r="Q86" s="130"/>
      <c r="R86" s="131"/>
      <c r="S86" s="131"/>
      <c r="T86" s="132"/>
      <c r="U86" s="132"/>
      <c r="V86" s="132"/>
      <c r="W86" s="132"/>
      <c r="X86" s="132"/>
      <c r="Y86" s="133"/>
      <c r="Z86" s="126" t="s">
        <v>64</v>
      </c>
      <c r="AA86" s="134" t="s">
        <v>132</v>
      </c>
      <c r="AB86" s="134" t="s">
        <v>551</v>
      </c>
      <c r="AC86" s="134">
        <v>44308</v>
      </c>
      <c r="AD86" s="134">
        <v>44327</v>
      </c>
      <c r="AE86" s="134"/>
      <c r="AF86" s="134">
        <f t="shared" ca="1" si="7"/>
        <v>44963</v>
      </c>
      <c r="AG86" s="126">
        <f t="shared" ca="1" si="8"/>
        <v>636</v>
      </c>
      <c r="AH86" s="126" t="str">
        <f t="shared" si="9"/>
        <v/>
      </c>
      <c r="AI86" s="134" t="s">
        <v>559</v>
      </c>
      <c r="AJ86" s="143" t="s">
        <v>563</v>
      </c>
      <c r="AK86" s="129">
        <v>10.858000000000001</v>
      </c>
      <c r="AL86" s="129">
        <v>10.873000000000001</v>
      </c>
      <c r="AM86" s="129">
        <v>10.898</v>
      </c>
      <c r="AN86" s="129">
        <v>10.903</v>
      </c>
      <c r="AO86" s="126" t="str">
        <f t="shared" si="10"/>
        <v/>
      </c>
      <c r="AR86" s="99" t="s">
        <v>136</v>
      </c>
    </row>
    <row r="87" spans="1:59" s="99" customFormat="1" ht="21" customHeight="1" x14ac:dyDescent="0.35">
      <c r="A87" s="99">
        <v>388</v>
      </c>
      <c r="B87" s="126" t="str">
        <f t="shared" si="11"/>
        <v>WIP-J3/FH-000X590</v>
      </c>
      <c r="C87" s="126" t="s">
        <v>13</v>
      </c>
      <c r="D87" s="126" t="s">
        <v>13</v>
      </c>
      <c r="E87" s="143" t="s">
        <v>566</v>
      </c>
      <c r="F87" s="143" t="s">
        <v>567</v>
      </c>
      <c r="G87" s="126" t="s">
        <v>29</v>
      </c>
      <c r="H87" s="126" t="s">
        <v>65</v>
      </c>
      <c r="I87" s="127">
        <v>0.65</v>
      </c>
      <c r="J87" s="127">
        <v>0.39</v>
      </c>
      <c r="K87" s="127"/>
      <c r="L87" s="127"/>
      <c r="M87" s="144">
        <v>590</v>
      </c>
      <c r="N87" s="129">
        <v>8.07</v>
      </c>
      <c r="O87" s="129" t="s">
        <v>116</v>
      </c>
      <c r="P87" s="129"/>
      <c r="Q87" s="130" t="s">
        <v>568</v>
      </c>
      <c r="R87" s="131"/>
      <c r="S87" s="131" t="s">
        <v>305</v>
      </c>
      <c r="T87" s="132" t="s">
        <v>569</v>
      </c>
      <c r="U87" s="132" t="s">
        <v>570</v>
      </c>
      <c r="V87" s="132">
        <v>44377</v>
      </c>
      <c r="W87" s="132">
        <v>44377</v>
      </c>
      <c r="X87" s="132"/>
      <c r="Y87" s="133"/>
      <c r="Z87" s="126" t="s">
        <v>64</v>
      </c>
      <c r="AA87" s="134" t="s">
        <v>132</v>
      </c>
      <c r="AB87" s="134" t="s">
        <v>571</v>
      </c>
      <c r="AC87" s="134">
        <v>44304</v>
      </c>
      <c r="AD87" s="134">
        <v>44327</v>
      </c>
      <c r="AE87" s="134"/>
      <c r="AF87" s="134">
        <f t="shared" ca="1" si="7"/>
        <v>44963</v>
      </c>
      <c r="AG87" s="126">
        <f t="shared" ca="1" si="8"/>
        <v>636</v>
      </c>
      <c r="AH87" s="126">
        <f t="shared" ca="1" si="9"/>
        <v>586</v>
      </c>
      <c r="AI87" s="134"/>
      <c r="AJ87" s="143" t="s">
        <v>572</v>
      </c>
      <c r="AK87" s="129">
        <v>8.2070000000000007</v>
      </c>
      <c r="AL87" s="129">
        <v>8.2220000000000013</v>
      </c>
      <c r="AM87" s="129">
        <v>8.2469999999999999</v>
      </c>
      <c r="AN87" s="129">
        <v>8.2520000000000007</v>
      </c>
      <c r="AO87" s="126">
        <f t="shared" ca="1" si="10"/>
        <v>544</v>
      </c>
      <c r="AR87" s="99" t="s">
        <v>136</v>
      </c>
      <c r="BG87" s="135" t="s">
        <v>573</v>
      </c>
    </row>
    <row r="88" spans="1:59" s="99" customFormat="1" ht="21" customHeight="1" x14ac:dyDescent="0.35">
      <c r="A88" s="99">
        <v>388</v>
      </c>
      <c r="B88" s="126" t="str">
        <f t="shared" si="11"/>
        <v>RM-J3/1D-002X595</v>
      </c>
      <c r="C88" s="126" t="s">
        <v>43</v>
      </c>
      <c r="D88" s="126" t="s">
        <v>43</v>
      </c>
      <c r="E88" s="143" t="s">
        <v>574</v>
      </c>
      <c r="F88" s="143" t="s">
        <v>575</v>
      </c>
      <c r="G88" s="126" t="s">
        <v>29</v>
      </c>
      <c r="H88" s="126" t="s">
        <v>139</v>
      </c>
      <c r="I88" s="127">
        <v>2.2000000000000002</v>
      </c>
      <c r="J88" s="127"/>
      <c r="K88" s="127"/>
      <c r="L88" s="127"/>
      <c r="M88" s="144">
        <v>595</v>
      </c>
      <c r="N88" s="129">
        <v>8.2430000000000003</v>
      </c>
      <c r="O88" s="129"/>
      <c r="P88" s="129"/>
      <c r="Q88" s="130"/>
      <c r="R88" s="131"/>
      <c r="S88" s="131"/>
      <c r="T88" s="132"/>
      <c r="U88" s="132"/>
      <c r="V88" s="132"/>
      <c r="W88" s="132"/>
      <c r="X88" s="132"/>
      <c r="Y88" s="133"/>
      <c r="Z88" s="126" t="s">
        <v>64</v>
      </c>
      <c r="AA88" s="134" t="s">
        <v>132</v>
      </c>
      <c r="AB88" s="134" t="s">
        <v>571</v>
      </c>
      <c r="AC88" s="134">
        <v>44304</v>
      </c>
      <c r="AD88" s="134">
        <v>44327</v>
      </c>
      <c r="AE88" s="134"/>
      <c r="AF88" s="134">
        <f t="shared" ca="1" si="7"/>
        <v>44963</v>
      </c>
      <c r="AG88" s="126">
        <f t="shared" ca="1" si="8"/>
        <v>636</v>
      </c>
      <c r="AH88" s="126" t="str">
        <f t="shared" si="9"/>
        <v/>
      </c>
      <c r="AI88" s="134"/>
      <c r="AJ88" s="143" t="s">
        <v>576</v>
      </c>
      <c r="AK88" s="129">
        <v>8.2430000000000003</v>
      </c>
      <c r="AL88" s="129">
        <v>8.2580000000000009</v>
      </c>
      <c r="AM88" s="129">
        <v>8.2829999999999995</v>
      </c>
      <c r="AN88" s="129">
        <v>8.2880000000000003</v>
      </c>
      <c r="AO88" s="126" t="str">
        <f t="shared" si="10"/>
        <v/>
      </c>
      <c r="AR88" s="99" t="s">
        <v>136</v>
      </c>
    </row>
    <row r="89" spans="1:59" s="99" customFormat="1" ht="21" customHeight="1" x14ac:dyDescent="0.35">
      <c r="A89" s="99">
        <v>389</v>
      </c>
      <c r="B89" s="126" t="str">
        <f t="shared" si="11"/>
        <v>WIP-J3/2B-001X595</v>
      </c>
      <c r="C89" s="126" t="s">
        <v>14</v>
      </c>
      <c r="D89" s="126" t="s">
        <v>358</v>
      </c>
      <c r="E89" s="143" t="s">
        <v>577</v>
      </c>
      <c r="F89" s="143" t="s">
        <v>578</v>
      </c>
      <c r="G89" s="126" t="s">
        <v>29</v>
      </c>
      <c r="H89" s="126" t="s">
        <v>116</v>
      </c>
      <c r="I89" s="127">
        <v>2.2000000000000002</v>
      </c>
      <c r="J89" s="127">
        <v>0.72</v>
      </c>
      <c r="K89" s="127">
        <v>0.72</v>
      </c>
      <c r="L89" s="127">
        <v>0.74</v>
      </c>
      <c r="M89" s="144">
        <v>595</v>
      </c>
      <c r="N89" s="129">
        <v>5.6349999999999998</v>
      </c>
      <c r="O89" s="129" t="s">
        <v>116</v>
      </c>
      <c r="P89" s="129"/>
      <c r="Q89" s="130" t="s">
        <v>412</v>
      </c>
      <c r="R89" s="130" t="s">
        <v>579</v>
      </c>
      <c r="S89" s="131"/>
      <c r="T89" s="132">
        <v>44574</v>
      </c>
      <c r="U89" s="132">
        <v>44574</v>
      </c>
      <c r="V89" s="132">
        <v>44578</v>
      </c>
      <c r="W89" s="132"/>
      <c r="X89" s="132"/>
      <c r="Y89" s="133"/>
      <c r="Z89" s="126" t="s">
        <v>64</v>
      </c>
      <c r="AA89" s="134" t="s">
        <v>132</v>
      </c>
      <c r="AB89" s="134" t="s">
        <v>580</v>
      </c>
      <c r="AC89" s="134">
        <v>44303</v>
      </c>
      <c r="AD89" s="134">
        <v>44327</v>
      </c>
      <c r="AE89" s="134"/>
      <c r="AF89" s="134">
        <f t="shared" ca="1" si="7"/>
        <v>44963</v>
      </c>
      <c r="AG89" s="126">
        <f t="shared" ca="1" si="8"/>
        <v>636</v>
      </c>
      <c r="AH89" s="126">
        <f t="shared" ca="1" si="9"/>
        <v>385</v>
      </c>
      <c r="AI89" s="134" t="s">
        <v>581</v>
      </c>
      <c r="AJ89" s="143" t="s">
        <v>582</v>
      </c>
      <c r="AK89" s="129">
        <v>8.25</v>
      </c>
      <c r="AL89" s="129">
        <v>8.2650000000000006</v>
      </c>
      <c r="AM89" s="129">
        <v>8.2899999999999991</v>
      </c>
      <c r="AN89" s="129">
        <v>8.2949999999999999</v>
      </c>
      <c r="AO89" s="126">
        <f t="shared" ca="1" si="10"/>
        <v>389</v>
      </c>
      <c r="AR89" s="99" t="s">
        <v>136</v>
      </c>
    </row>
    <row r="90" spans="1:59" s="99" customFormat="1" ht="21" customHeight="1" x14ac:dyDescent="0.35">
      <c r="A90" s="99">
        <v>389</v>
      </c>
      <c r="B90" s="126" t="str">
        <f t="shared" si="11"/>
        <v>RM-J3/1D-002X595</v>
      </c>
      <c r="C90" s="126" t="s">
        <v>43</v>
      </c>
      <c r="D90" s="126" t="s">
        <v>43</v>
      </c>
      <c r="E90" s="143" t="s">
        <v>583</v>
      </c>
      <c r="F90" s="143" t="s">
        <v>584</v>
      </c>
      <c r="G90" s="126" t="s">
        <v>29</v>
      </c>
      <c r="H90" s="126" t="s">
        <v>139</v>
      </c>
      <c r="I90" s="127">
        <v>2.4</v>
      </c>
      <c r="J90" s="127"/>
      <c r="K90" s="127"/>
      <c r="L90" s="127"/>
      <c r="M90" s="144">
        <v>595</v>
      </c>
      <c r="N90" s="129">
        <v>8.2289999999999992</v>
      </c>
      <c r="O90" s="129"/>
      <c r="P90" s="129"/>
      <c r="Q90" s="130"/>
      <c r="R90" s="131"/>
      <c r="S90" s="131"/>
      <c r="T90" s="132"/>
      <c r="U90" s="132"/>
      <c r="V90" s="132"/>
      <c r="W90" s="132"/>
      <c r="X90" s="132"/>
      <c r="Y90" s="133"/>
      <c r="Z90" s="126" t="s">
        <v>64</v>
      </c>
      <c r="AA90" s="134" t="s">
        <v>132</v>
      </c>
      <c r="AB90" s="134" t="s">
        <v>580</v>
      </c>
      <c r="AC90" s="134">
        <v>44303</v>
      </c>
      <c r="AD90" s="134">
        <v>44327</v>
      </c>
      <c r="AE90" s="134"/>
      <c r="AF90" s="134">
        <f t="shared" ca="1" si="7"/>
        <v>44963</v>
      </c>
      <c r="AG90" s="126">
        <f t="shared" ca="1" si="8"/>
        <v>636</v>
      </c>
      <c r="AH90" s="126" t="str">
        <f t="shared" si="9"/>
        <v/>
      </c>
      <c r="AI90" s="134" t="s">
        <v>585</v>
      </c>
      <c r="AJ90" s="143" t="s">
        <v>586</v>
      </c>
      <c r="AK90" s="129">
        <v>8.2289999999999992</v>
      </c>
      <c r="AL90" s="129">
        <v>8.2439999999999998</v>
      </c>
      <c r="AM90" s="129">
        <v>8.2689999999999984</v>
      </c>
      <c r="AN90" s="129">
        <v>8.2739999999999991</v>
      </c>
      <c r="AO90" s="126" t="str">
        <f t="shared" si="10"/>
        <v/>
      </c>
      <c r="AR90" s="99" t="s">
        <v>136</v>
      </c>
    </row>
    <row r="91" spans="1:59" s="99" customFormat="1" ht="21" customHeight="1" x14ac:dyDescent="0.35">
      <c r="A91" s="99">
        <v>389</v>
      </c>
      <c r="B91" s="126" t="str">
        <f t="shared" si="11"/>
        <v>RM-J3/1D-002X595</v>
      </c>
      <c r="C91" s="126" t="s">
        <v>43</v>
      </c>
      <c r="D91" s="126" t="s">
        <v>43</v>
      </c>
      <c r="E91" s="143" t="s">
        <v>587</v>
      </c>
      <c r="F91" s="143" t="s">
        <v>588</v>
      </c>
      <c r="G91" s="126" t="s">
        <v>29</v>
      </c>
      <c r="H91" s="126" t="s">
        <v>139</v>
      </c>
      <c r="I91" s="127">
        <v>2.2000000000000002</v>
      </c>
      <c r="J91" s="127"/>
      <c r="K91" s="127"/>
      <c r="L91" s="127"/>
      <c r="M91" s="144">
        <v>595</v>
      </c>
      <c r="N91" s="129">
        <v>8.2430000000000003</v>
      </c>
      <c r="O91" s="129"/>
      <c r="P91" s="129"/>
      <c r="Q91" s="130"/>
      <c r="R91" s="131"/>
      <c r="S91" s="131"/>
      <c r="T91" s="132"/>
      <c r="U91" s="132"/>
      <c r="V91" s="132"/>
      <c r="W91" s="132"/>
      <c r="X91" s="132"/>
      <c r="Y91" s="133"/>
      <c r="Z91" s="126" t="s">
        <v>64</v>
      </c>
      <c r="AA91" s="134" t="s">
        <v>132</v>
      </c>
      <c r="AB91" s="134" t="s">
        <v>580</v>
      </c>
      <c r="AC91" s="134">
        <v>44303</v>
      </c>
      <c r="AD91" s="134">
        <v>44327</v>
      </c>
      <c r="AE91" s="134"/>
      <c r="AF91" s="134">
        <f t="shared" ca="1" si="7"/>
        <v>44963</v>
      </c>
      <c r="AG91" s="126">
        <f t="shared" ca="1" si="8"/>
        <v>636</v>
      </c>
      <c r="AH91" s="126" t="str">
        <f t="shared" si="9"/>
        <v/>
      </c>
      <c r="AI91" s="134" t="s">
        <v>581</v>
      </c>
      <c r="AJ91" s="143" t="s">
        <v>495</v>
      </c>
      <c r="AK91" s="129">
        <v>8.2430000000000003</v>
      </c>
      <c r="AL91" s="129">
        <v>8.2580000000000009</v>
      </c>
      <c r="AM91" s="129">
        <v>8.2829999999999995</v>
      </c>
      <c r="AN91" s="129">
        <v>8.2880000000000003</v>
      </c>
      <c r="AO91" s="126" t="str">
        <f t="shared" si="10"/>
        <v/>
      </c>
      <c r="AR91" s="99" t="s">
        <v>136</v>
      </c>
    </row>
    <row r="92" spans="1:59" s="99" customFormat="1" ht="21" customHeight="1" x14ac:dyDescent="0.35">
      <c r="A92" s="99">
        <v>389</v>
      </c>
      <c r="B92" s="126" t="str">
        <f t="shared" si="11"/>
        <v>WIP-J3/2B-001X595</v>
      </c>
      <c r="C92" s="126" t="s">
        <v>14</v>
      </c>
      <c r="D92" s="126" t="s">
        <v>358</v>
      </c>
      <c r="E92" s="143" t="s">
        <v>589</v>
      </c>
      <c r="F92" s="143" t="s">
        <v>590</v>
      </c>
      <c r="G92" s="126" t="s">
        <v>29</v>
      </c>
      <c r="H92" s="126" t="s">
        <v>116</v>
      </c>
      <c r="I92" s="127">
        <v>2.4</v>
      </c>
      <c r="J92" s="127">
        <v>1.1200000000000001</v>
      </c>
      <c r="K92" s="127">
        <v>1.1100000000000001</v>
      </c>
      <c r="L92" s="127">
        <v>1.1299999999999999</v>
      </c>
      <c r="M92" s="144">
        <v>595</v>
      </c>
      <c r="N92" s="129">
        <v>8.18</v>
      </c>
      <c r="O92" s="129" t="s">
        <v>116</v>
      </c>
      <c r="P92" s="129"/>
      <c r="Q92" s="130" t="s">
        <v>446</v>
      </c>
      <c r="R92" s="131"/>
      <c r="S92" s="131"/>
      <c r="T92" s="132">
        <v>44572</v>
      </c>
      <c r="U92" s="132">
        <v>44572</v>
      </c>
      <c r="V92" s="132">
        <v>44597</v>
      </c>
      <c r="W92" s="132"/>
      <c r="X92" s="132"/>
      <c r="Y92" s="133"/>
      <c r="Z92" s="126" t="s">
        <v>64</v>
      </c>
      <c r="AA92" s="134" t="s">
        <v>132</v>
      </c>
      <c r="AB92" s="134" t="s">
        <v>580</v>
      </c>
      <c r="AC92" s="134">
        <v>44303</v>
      </c>
      <c r="AD92" s="134">
        <v>44327</v>
      </c>
      <c r="AE92" s="134"/>
      <c r="AF92" s="134">
        <f t="shared" ca="1" si="7"/>
        <v>44963</v>
      </c>
      <c r="AG92" s="126">
        <f t="shared" ca="1" si="8"/>
        <v>636</v>
      </c>
      <c r="AH92" s="126">
        <f t="shared" ca="1" si="9"/>
        <v>366</v>
      </c>
      <c r="AI92" s="134" t="s">
        <v>581</v>
      </c>
      <c r="AJ92" s="143" t="s">
        <v>495</v>
      </c>
      <c r="AK92" s="129">
        <v>8.2170000000000005</v>
      </c>
      <c r="AL92" s="129">
        <v>8.2320000000000011</v>
      </c>
      <c r="AM92" s="129">
        <v>8.2569999999999997</v>
      </c>
      <c r="AN92" s="129">
        <v>8.2620000000000005</v>
      </c>
      <c r="AO92" s="126">
        <f t="shared" ca="1" si="10"/>
        <v>391</v>
      </c>
      <c r="AR92" s="99" t="s">
        <v>136</v>
      </c>
    </row>
    <row r="93" spans="1:59" s="99" customFormat="1" ht="21" customHeight="1" x14ac:dyDescent="0.35">
      <c r="A93" s="99">
        <v>389</v>
      </c>
      <c r="B93" s="126" t="str">
        <f t="shared" si="11"/>
        <v>RM-J3/1D-002X595</v>
      </c>
      <c r="C93" s="126" t="s">
        <v>43</v>
      </c>
      <c r="D93" s="126" t="s">
        <v>43</v>
      </c>
      <c r="E93" s="143" t="s">
        <v>591</v>
      </c>
      <c r="F93" s="143" t="s">
        <v>592</v>
      </c>
      <c r="G93" s="126" t="s">
        <v>29</v>
      </c>
      <c r="H93" s="126" t="s">
        <v>139</v>
      </c>
      <c r="I93" s="127">
        <v>2.4</v>
      </c>
      <c r="J93" s="127"/>
      <c r="K93" s="127"/>
      <c r="L93" s="127"/>
      <c r="M93" s="144">
        <v>595</v>
      </c>
      <c r="N93" s="129">
        <v>8.2230000000000008</v>
      </c>
      <c r="O93" s="129"/>
      <c r="P93" s="129"/>
      <c r="Q93" s="130"/>
      <c r="R93" s="131"/>
      <c r="S93" s="131"/>
      <c r="T93" s="132"/>
      <c r="U93" s="132"/>
      <c r="V93" s="132"/>
      <c r="W93" s="132"/>
      <c r="X93" s="132"/>
      <c r="Y93" s="133"/>
      <c r="Z93" s="126" t="s">
        <v>64</v>
      </c>
      <c r="AA93" s="134" t="s">
        <v>132</v>
      </c>
      <c r="AB93" s="134" t="s">
        <v>580</v>
      </c>
      <c r="AC93" s="134">
        <v>44303</v>
      </c>
      <c r="AD93" s="134">
        <v>44327</v>
      </c>
      <c r="AE93" s="134"/>
      <c r="AF93" s="134">
        <f t="shared" ca="1" si="7"/>
        <v>44963</v>
      </c>
      <c r="AG93" s="126">
        <f t="shared" ca="1" si="8"/>
        <v>636</v>
      </c>
      <c r="AH93" s="126" t="str">
        <f t="shared" si="9"/>
        <v/>
      </c>
      <c r="AI93" s="134" t="s">
        <v>593</v>
      </c>
      <c r="AJ93" s="143" t="s">
        <v>594</v>
      </c>
      <c r="AK93" s="129">
        <v>8.2230000000000008</v>
      </c>
      <c r="AL93" s="129">
        <v>8.2380000000000013</v>
      </c>
      <c r="AM93" s="129">
        <v>8.2629999999999999</v>
      </c>
      <c r="AN93" s="129">
        <v>8.2680000000000007</v>
      </c>
      <c r="AO93" s="126" t="str">
        <f t="shared" si="10"/>
        <v/>
      </c>
      <c r="AR93" s="99" t="s">
        <v>136</v>
      </c>
    </row>
    <row r="94" spans="1:59" s="99" customFormat="1" ht="21" customHeight="1" x14ac:dyDescent="0.35">
      <c r="A94" s="99">
        <v>389</v>
      </c>
      <c r="B94" s="126" t="str">
        <f t="shared" si="11"/>
        <v>WIP-J3/2B-001X595</v>
      </c>
      <c r="C94" s="126" t="s">
        <v>14</v>
      </c>
      <c r="D94" s="126" t="s">
        <v>113</v>
      </c>
      <c r="E94" s="143" t="s">
        <v>595</v>
      </c>
      <c r="F94" s="143" t="s">
        <v>596</v>
      </c>
      <c r="G94" s="126" t="s">
        <v>29</v>
      </c>
      <c r="H94" s="126" t="s">
        <v>116</v>
      </c>
      <c r="I94" s="127">
        <v>2.4</v>
      </c>
      <c r="J94" s="127">
        <v>1.45</v>
      </c>
      <c r="K94" s="127">
        <v>1.43</v>
      </c>
      <c r="L94" s="127">
        <v>1.47</v>
      </c>
      <c r="M94" s="144">
        <v>595</v>
      </c>
      <c r="N94" s="129">
        <v>4.0250000000000004</v>
      </c>
      <c r="O94" s="129" t="s">
        <v>116</v>
      </c>
      <c r="P94" s="129"/>
      <c r="Q94" s="130" t="s">
        <v>291</v>
      </c>
      <c r="R94" s="131"/>
      <c r="S94" s="131"/>
      <c r="T94" s="132" t="s">
        <v>597</v>
      </c>
      <c r="U94" s="132">
        <v>44405</v>
      </c>
      <c r="V94" s="132">
        <v>44420</v>
      </c>
      <c r="W94" s="132"/>
      <c r="X94" s="132"/>
      <c r="Y94" s="133"/>
      <c r="Z94" s="126" t="s">
        <v>64</v>
      </c>
      <c r="AA94" s="134" t="s">
        <v>132</v>
      </c>
      <c r="AB94" s="134" t="s">
        <v>580</v>
      </c>
      <c r="AC94" s="134">
        <v>44303</v>
      </c>
      <c r="AD94" s="134">
        <v>44327</v>
      </c>
      <c r="AE94" s="134"/>
      <c r="AF94" s="134">
        <f t="shared" ca="1" si="7"/>
        <v>44963</v>
      </c>
      <c r="AG94" s="126">
        <f t="shared" ca="1" si="8"/>
        <v>636</v>
      </c>
      <c r="AH94" s="126">
        <f t="shared" ca="1" si="9"/>
        <v>543</v>
      </c>
      <c r="AI94" s="134" t="s">
        <v>598</v>
      </c>
      <c r="AJ94" s="143" t="s">
        <v>513</v>
      </c>
      <c r="AK94" s="129">
        <v>8.2289999999999992</v>
      </c>
      <c r="AL94" s="129">
        <v>8.2439999999999998</v>
      </c>
      <c r="AM94" s="129">
        <v>8.2689999999999984</v>
      </c>
      <c r="AN94" s="129">
        <v>8.2739999999999991</v>
      </c>
      <c r="AO94" s="126">
        <f t="shared" ca="1" si="10"/>
        <v>558</v>
      </c>
      <c r="AR94" s="99" t="s">
        <v>136</v>
      </c>
      <c r="BG94" s="135" t="s">
        <v>599</v>
      </c>
    </row>
    <row r="95" spans="1:59" s="99" customFormat="1" ht="21" customHeight="1" x14ac:dyDescent="0.35">
      <c r="A95" s="99">
        <v>389</v>
      </c>
      <c r="B95" s="126" t="str">
        <f t="shared" si="11"/>
        <v>RM-J3/1D-002X595</v>
      </c>
      <c r="C95" s="126" t="s">
        <v>43</v>
      </c>
      <c r="D95" s="126" t="s">
        <v>43</v>
      </c>
      <c r="E95" s="143" t="s">
        <v>600</v>
      </c>
      <c r="F95" s="143" t="s">
        <v>601</v>
      </c>
      <c r="G95" s="126" t="s">
        <v>29</v>
      </c>
      <c r="H95" s="126" t="s">
        <v>139</v>
      </c>
      <c r="I95" s="127">
        <v>2.4</v>
      </c>
      <c r="J95" s="127"/>
      <c r="K95" s="127"/>
      <c r="L95" s="127"/>
      <c r="M95" s="144">
        <v>595</v>
      </c>
      <c r="N95" s="129">
        <v>8.1850000000000005</v>
      </c>
      <c r="O95" s="129"/>
      <c r="P95" s="129"/>
      <c r="Q95" s="130"/>
      <c r="R95" s="131"/>
      <c r="S95" s="131"/>
      <c r="T95" s="132"/>
      <c r="U95" s="132"/>
      <c r="V95" s="132"/>
      <c r="W95" s="132"/>
      <c r="X95" s="132"/>
      <c r="Y95" s="133"/>
      <c r="Z95" s="126" t="s">
        <v>64</v>
      </c>
      <c r="AA95" s="134" t="s">
        <v>132</v>
      </c>
      <c r="AB95" s="134" t="s">
        <v>580</v>
      </c>
      <c r="AC95" s="134">
        <v>44303</v>
      </c>
      <c r="AD95" s="134">
        <v>44327</v>
      </c>
      <c r="AE95" s="134"/>
      <c r="AF95" s="134">
        <f t="shared" ca="1" si="7"/>
        <v>44963</v>
      </c>
      <c r="AG95" s="126">
        <f t="shared" ca="1" si="8"/>
        <v>636</v>
      </c>
      <c r="AH95" s="126" t="str">
        <f t="shared" si="9"/>
        <v/>
      </c>
      <c r="AI95" s="134" t="s">
        <v>602</v>
      </c>
      <c r="AJ95" s="143" t="s">
        <v>603</v>
      </c>
      <c r="AK95" s="129">
        <v>8.1850000000000005</v>
      </c>
      <c r="AL95" s="129">
        <v>8.2000000000000011</v>
      </c>
      <c r="AM95" s="129">
        <v>8.2249999999999996</v>
      </c>
      <c r="AN95" s="129">
        <v>8.23</v>
      </c>
      <c r="AO95" s="126" t="str">
        <f t="shared" si="10"/>
        <v/>
      </c>
      <c r="AR95" s="99" t="s">
        <v>136</v>
      </c>
    </row>
    <row r="96" spans="1:59" s="99" customFormat="1" ht="21" customHeight="1" x14ac:dyDescent="0.35">
      <c r="A96" s="99">
        <v>389</v>
      </c>
      <c r="B96" s="126" t="str">
        <f t="shared" si="11"/>
        <v>WIP-J3/2B-001X595</v>
      </c>
      <c r="C96" s="126" t="s">
        <v>14</v>
      </c>
      <c r="D96" s="126" t="s">
        <v>396</v>
      </c>
      <c r="E96" s="143" t="s">
        <v>604</v>
      </c>
      <c r="F96" s="143" t="s">
        <v>605</v>
      </c>
      <c r="G96" s="126" t="s">
        <v>29</v>
      </c>
      <c r="H96" s="126" t="s">
        <v>116</v>
      </c>
      <c r="I96" s="127">
        <v>2.4</v>
      </c>
      <c r="J96" s="127">
        <v>0.95</v>
      </c>
      <c r="K96" s="127">
        <v>0.94</v>
      </c>
      <c r="L96" s="127">
        <v>0.95</v>
      </c>
      <c r="M96" s="144">
        <v>595</v>
      </c>
      <c r="N96" s="99">
        <v>4.1849999999999996</v>
      </c>
      <c r="O96" s="129" t="s">
        <v>116</v>
      </c>
      <c r="P96" s="129"/>
      <c r="Q96" s="130" t="s">
        <v>361</v>
      </c>
      <c r="R96" s="130" t="s">
        <v>291</v>
      </c>
      <c r="S96" s="131"/>
      <c r="T96" s="132">
        <v>44426</v>
      </c>
      <c r="U96" s="132">
        <v>44427</v>
      </c>
      <c r="V96" s="132">
        <v>44529</v>
      </c>
      <c r="W96" s="132"/>
      <c r="X96" s="132"/>
      <c r="Y96" s="133"/>
      <c r="Z96" s="126" t="s">
        <v>64</v>
      </c>
      <c r="AA96" s="134" t="s">
        <v>132</v>
      </c>
      <c r="AB96" s="134" t="s">
        <v>580</v>
      </c>
      <c r="AC96" s="134">
        <v>44303</v>
      </c>
      <c r="AD96" s="134">
        <v>44327</v>
      </c>
      <c r="AE96" s="134"/>
      <c r="AF96" s="134">
        <f t="shared" ca="1" si="7"/>
        <v>44963</v>
      </c>
      <c r="AG96" s="126">
        <f t="shared" ca="1" si="8"/>
        <v>636</v>
      </c>
      <c r="AH96" s="126">
        <f t="shared" ca="1" si="9"/>
        <v>434</v>
      </c>
      <c r="AI96" s="134" t="s">
        <v>606</v>
      </c>
      <c r="AJ96" s="143" t="s">
        <v>607</v>
      </c>
      <c r="AK96" s="129">
        <v>8.1869999999999994</v>
      </c>
      <c r="AL96" s="129">
        <v>8.202</v>
      </c>
      <c r="AM96" s="129">
        <v>8.2269999999999985</v>
      </c>
      <c r="AN96" s="129">
        <v>8.2319999999999993</v>
      </c>
      <c r="AO96" s="126">
        <f t="shared" ca="1" si="10"/>
        <v>536</v>
      </c>
      <c r="AR96" s="99" t="s">
        <v>136</v>
      </c>
      <c r="BG96" s="135" t="s">
        <v>273</v>
      </c>
    </row>
    <row r="97" spans="1:59" s="99" customFormat="1" ht="21" customHeight="1" x14ac:dyDescent="0.35">
      <c r="A97" s="99">
        <v>389</v>
      </c>
      <c r="B97" s="126" t="str">
        <f t="shared" si="11"/>
        <v>RM-J3/1D-002X595</v>
      </c>
      <c r="C97" s="126" t="s">
        <v>43</v>
      </c>
      <c r="D97" s="126" t="s">
        <v>43</v>
      </c>
      <c r="E97" s="143" t="s">
        <v>608</v>
      </c>
      <c r="F97" s="143" t="s">
        <v>609</v>
      </c>
      <c r="G97" s="126" t="s">
        <v>29</v>
      </c>
      <c r="H97" s="126" t="s">
        <v>139</v>
      </c>
      <c r="I97" s="127">
        <v>2.4</v>
      </c>
      <c r="J97" s="127"/>
      <c r="K97" s="127"/>
      <c r="L97" s="127"/>
      <c r="M97" s="144">
        <v>595</v>
      </c>
      <c r="N97" s="129">
        <v>8.2129999999999992</v>
      </c>
      <c r="O97" s="129"/>
      <c r="P97" s="129"/>
      <c r="Q97" s="130"/>
      <c r="R97" s="131"/>
      <c r="S97" s="131"/>
      <c r="T97" s="132"/>
      <c r="U97" s="132"/>
      <c r="V97" s="132"/>
      <c r="W97" s="132"/>
      <c r="X97" s="132"/>
      <c r="Y97" s="133"/>
      <c r="Z97" s="126" t="s">
        <v>64</v>
      </c>
      <c r="AA97" s="134" t="s">
        <v>132</v>
      </c>
      <c r="AB97" s="134" t="s">
        <v>580</v>
      </c>
      <c r="AC97" s="134">
        <v>44303</v>
      </c>
      <c r="AD97" s="134">
        <v>44327</v>
      </c>
      <c r="AE97" s="134"/>
      <c r="AF97" s="134">
        <f t="shared" ca="1" si="7"/>
        <v>44963</v>
      </c>
      <c r="AG97" s="126">
        <f t="shared" ca="1" si="8"/>
        <v>636</v>
      </c>
      <c r="AH97" s="126" t="str">
        <f t="shared" si="9"/>
        <v/>
      </c>
      <c r="AI97" s="134" t="s">
        <v>610</v>
      </c>
      <c r="AJ97" s="143" t="s">
        <v>611</v>
      </c>
      <c r="AK97" s="129">
        <v>8.2129999999999992</v>
      </c>
      <c r="AL97" s="129">
        <v>8.2279999999999998</v>
      </c>
      <c r="AM97" s="129">
        <v>8.2529999999999983</v>
      </c>
      <c r="AN97" s="129">
        <v>8.2579999999999991</v>
      </c>
      <c r="AO97" s="126" t="str">
        <f t="shared" si="10"/>
        <v/>
      </c>
      <c r="AR97" s="99" t="s">
        <v>136</v>
      </c>
    </row>
    <row r="98" spans="1:59" s="99" customFormat="1" ht="21" customHeight="1" x14ac:dyDescent="0.35">
      <c r="A98" s="99">
        <v>389</v>
      </c>
      <c r="B98" s="126" t="str">
        <f t="shared" si="11"/>
        <v>RM-J3/1D-002X595</v>
      </c>
      <c r="C98" s="126" t="s">
        <v>43</v>
      </c>
      <c r="D98" s="126" t="s">
        <v>43</v>
      </c>
      <c r="E98" s="143" t="s">
        <v>612</v>
      </c>
      <c r="F98" s="143" t="s">
        <v>613</v>
      </c>
      <c r="G98" s="126" t="s">
        <v>29</v>
      </c>
      <c r="H98" s="126" t="s">
        <v>139</v>
      </c>
      <c r="I98" s="127">
        <v>2.4</v>
      </c>
      <c r="J98" s="127"/>
      <c r="K98" s="127"/>
      <c r="L98" s="127"/>
      <c r="M98" s="144">
        <v>595</v>
      </c>
      <c r="N98" s="129">
        <v>8.2490000000000006</v>
      </c>
      <c r="O98" s="129"/>
      <c r="P98" s="129"/>
      <c r="Q98" s="130"/>
      <c r="R98" s="131"/>
      <c r="S98" s="131"/>
      <c r="T98" s="132"/>
      <c r="U98" s="132"/>
      <c r="V98" s="132"/>
      <c r="W98" s="132"/>
      <c r="X98" s="132"/>
      <c r="Y98" s="133"/>
      <c r="Z98" s="126" t="s">
        <v>64</v>
      </c>
      <c r="AA98" s="134" t="s">
        <v>132</v>
      </c>
      <c r="AB98" s="134" t="s">
        <v>580</v>
      </c>
      <c r="AC98" s="134">
        <v>44303</v>
      </c>
      <c r="AD98" s="134">
        <v>44327</v>
      </c>
      <c r="AE98" s="134"/>
      <c r="AF98" s="134">
        <f t="shared" ca="1" si="7"/>
        <v>44963</v>
      </c>
      <c r="AG98" s="126">
        <f t="shared" ca="1" si="8"/>
        <v>636</v>
      </c>
      <c r="AH98" s="126" t="str">
        <f t="shared" si="9"/>
        <v/>
      </c>
      <c r="AI98" s="134" t="s">
        <v>602</v>
      </c>
      <c r="AJ98" s="143" t="s">
        <v>614</v>
      </c>
      <c r="AK98" s="129">
        <v>8.2490000000000006</v>
      </c>
      <c r="AL98" s="129">
        <v>8.2640000000000011</v>
      </c>
      <c r="AM98" s="129">
        <v>8.2889999999999997</v>
      </c>
      <c r="AN98" s="129">
        <v>8.2940000000000005</v>
      </c>
      <c r="AO98" s="126" t="str">
        <f t="shared" si="10"/>
        <v/>
      </c>
      <c r="AR98" s="99" t="s">
        <v>136</v>
      </c>
    </row>
    <row r="99" spans="1:59" s="99" customFormat="1" ht="21" customHeight="1" x14ac:dyDescent="0.35">
      <c r="A99" s="99">
        <v>389</v>
      </c>
      <c r="B99" s="126" t="str">
        <f t="shared" si="11"/>
        <v>RM-J3/1D-002X595</v>
      </c>
      <c r="C99" s="126" t="s">
        <v>43</v>
      </c>
      <c r="D99" s="126" t="s">
        <v>43</v>
      </c>
      <c r="E99" s="143" t="s">
        <v>615</v>
      </c>
      <c r="F99" s="143" t="s">
        <v>616</v>
      </c>
      <c r="G99" s="126" t="s">
        <v>29</v>
      </c>
      <c r="H99" s="126" t="s">
        <v>139</v>
      </c>
      <c r="I99" s="127">
        <v>2.2000000000000002</v>
      </c>
      <c r="J99" s="127"/>
      <c r="K99" s="127"/>
      <c r="L99" s="127"/>
      <c r="M99" s="144">
        <v>595</v>
      </c>
      <c r="N99" s="129">
        <v>8.2129999999999992</v>
      </c>
      <c r="O99" s="129"/>
      <c r="P99" s="129"/>
      <c r="Q99" s="130"/>
      <c r="R99" s="131"/>
      <c r="S99" s="131"/>
      <c r="T99" s="132"/>
      <c r="U99" s="132"/>
      <c r="V99" s="132"/>
      <c r="W99" s="132"/>
      <c r="X99" s="132"/>
      <c r="Y99" s="133"/>
      <c r="Z99" s="126" t="s">
        <v>64</v>
      </c>
      <c r="AA99" s="134" t="s">
        <v>132</v>
      </c>
      <c r="AB99" s="134" t="s">
        <v>580</v>
      </c>
      <c r="AC99" s="134">
        <v>44303</v>
      </c>
      <c r="AD99" s="134">
        <v>44327</v>
      </c>
      <c r="AE99" s="134"/>
      <c r="AF99" s="134">
        <f t="shared" ca="1" si="7"/>
        <v>44963</v>
      </c>
      <c r="AG99" s="126">
        <f t="shared" ca="1" si="8"/>
        <v>636</v>
      </c>
      <c r="AH99" s="126" t="str">
        <f t="shared" si="9"/>
        <v/>
      </c>
      <c r="AI99" s="134" t="s">
        <v>602</v>
      </c>
      <c r="AJ99" s="143" t="s">
        <v>617</v>
      </c>
      <c r="AK99" s="129">
        <v>8.2129999999999992</v>
      </c>
      <c r="AL99" s="129">
        <v>8.2279999999999998</v>
      </c>
      <c r="AM99" s="129">
        <v>8.2529999999999983</v>
      </c>
      <c r="AN99" s="129">
        <v>8.2579999999999991</v>
      </c>
      <c r="AO99" s="126" t="str">
        <f t="shared" si="10"/>
        <v/>
      </c>
      <c r="AR99" s="99" t="s">
        <v>136</v>
      </c>
    </row>
    <row r="100" spans="1:59" s="99" customFormat="1" ht="21" customHeight="1" x14ac:dyDescent="0.35">
      <c r="A100" s="99">
        <v>391</v>
      </c>
      <c r="B100" s="126" t="str">
        <f t="shared" si="11"/>
        <v>WIP-J3/2B-001X595</v>
      </c>
      <c r="C100" s="126" t="s">
        <v>14</v>
      </c>
      <c r="D100" s="126" t="s">
        <v>358</v>
      </c>
      <c r="E100" s="143" t="s">
        <v>618</v>
      </c>
      <c r="F100" s="143" t="s">
        <v>619</v>
      </c>
      <c r="G100" s="126" t="s">
        <v>29</v>
      </c>
      <c r="H100" s="126" t="s">
        <v>116</v>
      </c>
      <c r="I100" s="127">
        <v>2.2000000000000002</v>
      </c>
      <c r="J100" s="127">
        <v>0.74</v>
      </c>
      <c r="K100" s="127">
        <v>0.76</v>
      </c>
      <c r="L100" s="127">
        <v>0.79</v>
      </c>
      <c r="M100" s="144">
        <v>595</v>
      </c>
      <c r="N100" s="129">
        <v>8.17</v>
      </c>
      <c r="O100" s="129" t="s">
        <v>116</v>
      </c>
      <c r="P100" s="129"/>
      <c r="Q100" s="130" t="s">
        <v>412</v>
      </c>
      <c r="R100" s="130" t="s">
        <v>291</v>
      </c>
      <c r="S100" s="131"/>
      <c r="T100" s="132">
        <v>44426</v>
      </c>
      <c r="U100" s="132">
        <v>44427</v>
      </c>
      <c r="V100" s="132">
        <v>44555</v>
      </c>
      <c r="W100" s="132"/>
      <c r="X100" s="132"/>
      <c r="Y100" s="133"/>
      <c r="Z100" s="126" t="s">
        <v>64</v>
      </c>
      <c r="AA100" s="134" t="s">
        <v>322</v>
      </c>
      <c r="AB100" s="134"/>
      <c r="AC100" s="134"/>
      <c r="AD100" s="134">
        <v>44335</v>
      </c>
      <c r="AE100" s="134"/>
      <c r="AF100" s="134">
        <f t="shared" ca="1" si="7"/>
        <v>44963</v>
      </c>
      <c r="AG100" s="126">
        <f t="shared" ca="1" si="8"/>
        <v>628</v>
      </c>
      <c r="AH100" s="126">
        <f t="shared" ca="1" si="9"/>
        <v>408</v>
      </c>
      <c r="AI100" s="134" t="s">
        <v>620</v>
      </c>
      <c r="AJ100" s="143" t="s">
        <v>621</v>
      </c>
      <c r="AK100" s="129">
        <v>8.2149999999999999</v>
      </c>
      <c r="AL100" s="129">
        <v>8.254999999999999</v>
      </c>
      <c r="AM100" s="129">
        <v>8.2799999999999976</v>
      </c>
      <c r="AN100" s="129">
        <v>8.2849999999999984</v>
      </c>
      <c r="AO100" s="126">
        <f t="shared" ca="1" si="10"/>
        <v>536</v>
      </c>
      <c r="AR100" s="99" t="s">
        <v>136</v>
      </c>
      <c r="BG100" s="135" t="s">
        <v>622</v>
      </c>
    </row>
    <row r="101" spans="1:59" s="99" customFormat="1" ht="21" customHeight="1" x14ac:dyDescent="0.35">
      <c r="A101" s="99">
        <v>391</v>
      </c>
      <c r="B101" s="126" t="str">
        <f t="shared" si="11"/>
        <v>WIP-J3/2B-001X595</v>
      </c>
      <c r="C101" s="126" t="s">
        <v>14</v>
      </c>
      <c r="D101" s="126" t="s">
        <v>396</v>
      </c>
      <c r="E101" s="143" t="s">
        <v>623</v>
      </c>
      <c r="F101" s="143" t="s">
        <v>624</v>
      </c>
      <c r="G101" s="126" t="s">
        <v>29</v>
      </c>
      <c r="H101" s="126" t="s">
        <v>116</v>
      </c>
      <c r="I101" s="127">
        <v>2.2000000000000002</v>
      </c>
      <c r="J101" s="127">
        <v>1.1000000000000001</v>
      </c>
      <c r="K101" s="127">
        <v>1.0900000000000001</v>
      </c>
      <c r="L101" s="127">
        <v>1.1100000000000001</v>
      </c>
      <c r="M101" s="144">
        <v>595</v>
      </c>
      <c r="N101" s="129">
        <v>8.17</v>
      </c>
      <c r="O101" s="129" t="s">
        <v>116</v>
      </c>
      <c r="P101" s="129"/>
      <c r="Q101" s="130" t="s">
        <v>361</v>
      </c>
      <c r="R101" s="130" t="s">
        <v>291</v>
      </c>
      <c r="S101" s="131"/>
      <c r="T101" s="132">
        <v>44421</v>
      </c>
      <c r="U101" s="132">
        <v>44421</v>
      </c>
      <c r="V101" s="132">
        <v>44421</v>
      </c>
      <c r="W101" s="132">
        <v>44424</v>
      </c>
      <c r="X101" s="132"/>
      <c r="Y101" s="133"/>
      <c r="Z101" s="126" t="s">
        <v>64</v>
      </c>
      <c r="AA101" s="134" t="s">
        <v>322</v>
      </c>
      <c r="AB101" s="134"/>
      <c r="AC101" s="134"/>
      <c r="AD101" s="134">
        <v>44335</v>
      </c>
      <c r="AE101" s="134"/>
      <c r="AF101" s="134">
        <f t="shared" ca="1" si="7"/>
        <v>44963</v>
      </c>
      <c r="AG101" s="126">
        <f t="shared" ca="1" si="8"/>
        <v>628</v>
      </c>
      <c r="AH101" s="126">
        <f t="shared" ca="1" si="9"/>
        <v>542</v>
      </c>
      <c r="AI101" s="134" t="s">
        <v>625</v>
      </c>
      <c r="AJ101" s="143" t="s">
        <v>626</v>
      </c>
      <c r="AK101" s="129">
        <v>8.1999999999999993</v>
      </c>
      <c r="AL101" s="129">
        <v>8.2399999999999984</v>
      </c>
      <c r="AM101" s="129">
        <v>8.264999999999997</v>
      </c>
      <c r="AN101" s="129">
        <v>8.2699999999999978</v>
      </c>
      <c r="AO101" s="126">
        <f t="shared" ca="1" si="10"/>
        <v>542</v>
      </c>
      <c r="AR101" s="99" t="s">
        <v>136</v>
      </c>
      <c r="BG101" s="135" t="s">
        <v>599</v>
      </c>
    </row>
    <row r="102" spans="1:59" s="99" customFormat="1" ht="21" customHeight="1" x14ac:dyDescent="0.35">
      <c r="A102" s="99">
        <v>391</v>
      </c>
      <c r="B102" s="126" t="str">
        <f t="shared" si="11"/>
        <v>WIP-J3/2B-001X595</v>
      </c>
      <c r="C102" s="126" t="s">
        <v>14</v>
      </c>
      <c r="D102" s="126" t="s">
        <v>113</v>
      </c>
      <c r="E102" s="143" t="s">
        <v>627</v>
      </c>
      <c r="F102" s="143" t="s">
        <v>628</v>
      </c>
      <c r="G102" s="126" t="s">
        <v>29</v>
      </c>
      <c r="H102" s="126" t="s">
        <v>116</v>
      </c>
      <c r="I102" s="127">
        <v>2.4</v>
      </c>
      <c r="J102" s="127">
        <v>0.98</v>
      </c>
      <c r="K102" s="127">
        <v>1.01</v>
      </c>
      <c r="L102" s="127">
        <v>1.02</v>
      </c>
      <c r="M102" s="144">
        <v>595</v>
      </c>
      <c r="N102" s="129">
        <v>8.17</v>
      </c>
      <c r="O102" s="129" t="s">
        <v>116</v>
      </c>
      <c r="P102" s="129"/>
      <c r="Q102" s="130" t="s">
        <v>117</v>
      </c>
      <c r="R102" s="130" t="s">
        <v>629</v>
      </c>
      <c r="S102" s="131" t="s">
        <v>630</v>
      </c>
      <c r="T102" s="132">
        <v>44546</v>
      </c>
      <c r="U102" s="132">
        <v>44546</v>
      </c>
      <c r="V102" s="132">
        <v>44552</v>
      </c>
      <c r="W102" s="132"/>
      <c r="X102" s="132"/>
      <c r="Y102" s="133"/>
      <c r="Z102" s="126" t="s">
        <v>64</v>
      </c>
      <c r="AA102" s="134" t="s">
        <v>322</v>
      </c>
      <c r="AB102" s="134"/>
      <c r="AC102" s="134"/>
      <c r="AD102" s="134">
        <v>44335</v>
      </c>
      <c r="AE102" s="134"/>
      <c r="AF102" s="134">
        <f t="shared" ca="1" si="7"/>
        <v>44963</v>
      </c>
      <c r="AG102" s="126">
        <f t="shared" ca="1" si="8"/>
        <v>628</v>
      </c>
      <c r="AH102" s="126">
        <f t="shared" ca="1" si="9"/>
        <v>411</v>
      </c>
      <c r="AI102" s="134" t="s">
        <v>631</v>
      </c>
      <c r="AJ102" s="143" t="s">
        <v>632</v>
      </c>
      <c r="AK102" s="129">
        <v>8.2430000000000003</v>
      </c>
      <c r="AL102" s="129">
        <v>8.2829999999999995</v>
      </c>
      <c r="AM102" s="129">
        <v>8.3079999999999981</v>
      </c>
      <c r="AN102" s="129">
        <v>8.3129999999999988</v>
      </c>
      <c r="AO102" s="126">
        <f t="shared" ca="1" si="10"/>
        <v>417</v>
      </c>
      <c r="AR102" s="99" t="s">
        <v>136</v>
      </c>
    </row>
    <row r="103" spans="1:59" s="99" customFormat="1" ht="21" customHeight="1" x14ac:dyDescent="0.35">
      <c r="A103" s="99">
        <v>394</v>
      </c>
      <c r="B103" s="126" t="str">
        <f t="shared" si="11"/>
        <v>WIP-J3/2B-001X595</v>
      </c>
      <c r="C103" s="126" t="s">
        <v>14</v>
      </c>
      <c r="D103" s="126" t="s">
        <v>358</v>
      </c>
      <c r="E103" s="143" t="s">
        <v>633</v>
      </c>
      <c r="F103" s="143" t="s">
        <v>634</v>
      </c>
      <c r="G103" s="126" t="s">
        <v>29</v>
      </c>
      <c r="H103" s="126" t="s">
        <v>116</v>
      </c>
      <c r="I103" s="127">
        <v>2.4</v>
      </c>
      <c r="J103" s="127">
        <v>1.1000000000000001</v>
      </c>
      <c r="K103" s="127">
        <v>1.0900000000000001</v>
      </c>
      <c r="L103" s="127">
        <v>1.1200000000000001</v>
      </c>
      <c r="M103" s="144">
        <v>595</v>
      </c>
      <c r="N103" s="129">
        <v>8.15</v>
      </c>
      <c r="O103" s="129" t="s">
        <v>116</v>
      </c>
      <c r="P103" s="129"/>
      <c r="Q103" s="130" t="s">
        <v>412</v>
      </c>
      <c r="R103" s="131"/>
      <c r="S103" s="131"/>
      <c r="T103" s="132">
        <v>44570</v>
      </c>
      <c r="U103" s="132">
        <v>44570</v>
      </c>
      <c r="V103" s="132">
        <v>44615</v>
      </c>
      <c r="W103" s="132"/>
      <c r="X103" s="132"/>
      <c r="Y103" s="133"/>
      <c r="Z103" s="126" t="s">
        <v>64</v>
      </c>
      <c r="AA103" s="134" t="s">
        <v>322</v>
      </c>
      <c r="AB103" s="134" t="s">
        <v>635</v>
      </c>
      <c r="AC103" s="134">
        <v>44315</v>
      </c>
      <c r="AD103" s="134">
        <v>44352</v>
      </c>
      <c r="AE103" s="134"/>
      <c r="AF103" s="134">
        <f t="shared" ca="1" si="7"/>
        <v>44963</v>
      </c>
      <c r="AG103" s="126">
        <f t="shared" ca="1" si="8"/>
        <v>611</v>
      </c>
      <c r="AH103" s="126">
        <f t="shared" ca="1" si="9"/>
        <v>348</v>
      </c>
      <c r="AI103" s="134" t="s">
        <v>636</v>
      </c>
      <c r="AJ103" s="143" t="s">
        <v>637</v>
      </c>
      <c r="AK103" s="129">
        <v>8.1809999999999992</v>
      </c>
      <c r="AL103" s="129">
        <v>8.2209999999999983</v>
      </c>
      <c r="AM103" s="129">
        <v>8.2459999999999969</v>
      </c>
      <c r="AN103" s="129">
        <v>8.2509999999999977</v>
      </c>
      <c r="AO103" s="126">
        <f t="shared" ca="1" si="10"/>
        <v>393</v>
      </c>
      <c r="AR103" s="99" t="s">
        <v>136</v>
      </c>
    </row>
    <row r="104" spans="1:59" s="99" customFormat="1" ht="21" customHeight="1" x14ac:dyDescent="0.35">
      <c r="A104" s="99">
        <v>394</v>
      </c>
      <c r="B104" s="126" t="str">
        <f t="shared" si="11"/>
        <v>RM-J3/1D-002X595</v>
      </c>
      <c r="C104" s="126" t="s">
        <v>43</v>
      </c>
      <c r="D104" s="126" t="s">
        <v>43</v>
      </c>
      <c r="E104" s="143" t="s">
        <v>638</v>
      </c>
      <c r="F104" s="143" t="s">
        <v>639</v>
      </c>
      <c r="G104" s="126" t="s">
        <v>29</v>
      </c>
      <c r="H104" s="126" t="s">
        <v>139</v>
      </c>
      <c r="I104" s="127">
        <v>2.4</v>
      </c>
      <c r="J104" s="127"/>
      <c r="K104" s="127"/>
      <c r="L104" s="127"/>
      <c r="M104" s="144">
        <v>595</v>
      </c>
      <c r="N104" s="129">
        <v>8.2249999999999996</v>
      </c>
      <c r="O104" s="129"/>
      <c r="P104" s="129"/>
      <c r="Q104" s="130"/>
      <c r="R104" s="131"/>
      <c r="S104" s="131"/>
      <c r="T104" s="132"/>
      <c r="U104" s="132"/>
      <c r="V104" s="132"/>
      <c r="W104" s="132"/>
      <c r="X104" s="132"/>
      <c r="Y104" s="133"/>
      <c r="Z104" s="126" t="s">
        <v>64</v>
      </c>
      <c r="AA104" s="134" t="s">
        <v>322</v>
      </c>
      <c r="AB104" s="134" t="s">
        <v>635</v>
      </c>
      <c r="AC104" s="134">
        <v>44315</v>
      </c>
      <c r="AD104" s="134">
        <v>44352</v>
      </c>
      <c r="AE104" s="134"/>
      <c r="AF104" s="134">
        <f t="shared" ca="1" si="7"/>
        <v>44963</v>
      </c>
      <c r="AG104" s="126">
        <f t="shared" ca="1" si="8"/>
        <v>611</v>
      </c>
      <c r="AH104" s="126" t="str">
        <f t="shared" si="9"/>
        <v/>
      </c>
      <c r="AI104" s="134" t="s">
        <v>640</v>
      </c>
      <c r="AJ104" s="143" t="s">
        <v>641</v>
      </c>
      <c r="AK104" s="129">
        <v>8.2249999999999996</v>
      </c>
      <c r="AL104" s="129">
        <v>8.2649999999999988</v>
      </c>
      <c r="AM104" s="129">
        <v>8.2899999999999974</v>
      </c>
      <c r="AN104" s="129">
        <v>8.2949999999999982</v>
      </c>
      <c r="AO104" s="126" t="str">
        <f t="shared" si="10"/>
        <v/>
      </c>
      <c r="AR104" s="99" t="s">
        <v>136</v>
      </c>
    </row>
    <row r="105" spans="1:59" s="99" customFormat="1" ht="21" customHeight="1" x14ac:dyDescent="0.35">
      <c r="A105" s="99">
        <v>394</v>
      </c>
      <c r="B105" s="126" t="str">
        <f t="shared" si="11"/>
        <v>RM-J3/1D-002X595</v>
      </c>
      <c r="C105" s="126" t="s">
        <v>43</v>
      </c>
      <c r="D105" s="126" t="s">
        <v>43</v>
      </c>
      <c r="E105" s="143" t="s">
        <v>642</v>
      </c>
      <c r="F105" s="143" t="s">
        <v>643</v>
      </c>
      <c r="G105" s="126" t="s">
        <v>29</v>
      </c>
      <c r="H105" s="126" t="s">
        <v>139</v>
      </c>
      <c r="I105" s="127">
        <v>2.4</v>
      </c>
      <c r="J105" s="127"/>
      <c r="K105" s="127"/>
      <c r="L105" s="127"/>
      <c r="M105" s="144">
        <v>595</v>
      </c>
      <c r="N105" s="129">
        <v>8.2349999999999994</v>
      </c>
      <c r="O105" s="129"/>
      <c r="P105" s="129"/>
      <c r="Q105" s="130"/>
      <c r="R105" s="131"/>
      <c r="S105" s="131"/>
      <c r="T105" s="132"/>
      <c r="U105" s="132"/>
      <c r="V105" s="132"/>
      <c r="W105" s="132"/>
      <c r="X105" s="132"/>
      <c r="Y105" s="133"/>
      <c r="Z105" s="126" t="s">
        <v>64</v>
      </c>
      <c r="AA105" s="134" t="s">
        <v>322</v>
      </c>
      <c r="AB105" s="134" t="s">
        <v>635</v>
      </c>
      <c r="AC105" s="134">
        <v>44315</v>
      </c>
      <c r="AD105" s="134">
        <v>44352</v>
      </c>
      <c r="AE105" s="134"/>
      <c r="AF105" s="134">
        <f t="shared" ca="1" si="7"/>
        <v>44963</v>
      </c>
      <c r="AG105" s="126">
        <f t="shared" ca="1" si="8"/>
        <v>611</v>
      </c>
      <c r="AH105" s="126" t="str">
        <f t="shared" si="9"/>
        <v/>
      </c>
      <c r="AI105" s="134" t="s">
        <v>644</v>
      </c>
      <c r="AJ105" s="143" t="s">
        <v>637</v>
      </c>
      <c r="AK105" s="129">
        <v>8.2349999999999994</v>
      </c>
      <c r="AL105" s="129">
        <v>8.2749999999999986</v>
      </c>
      <c r="AM105" s="129">
        <v>8.2999999999999972</v>
      </c>
      <c r="AN105" s="129">
        <v>8.3049999999999979</v>
      </c>
      <c r="AO105" s="126" t="str">
        <f t="shared" si="10"/>
        <v/>
      </c>
      <c r="AR105" s="99" t="s">
        <v>136</v>
      </c>
    </row>
    <row r="106" spans="1:59" s="99" customFormat="1" ht="21" customHeight="1" x14ac:dyDescent="0.35">
      <c r="A106" s="99">
        <v>394</v>
      </c>
      <c r="B106" s="126" t="str">
        <f t="shared" si="11"/>
        <v>WIP-J3/2B-001X590</v>
      </c>
      <c r="C106" s="126" t="s">
        <v>14</v>
      </c>
      <c r="D106" s="126" t="s">
        <v>113</v>
      </c>
      <c r="E106" s="143" t="s">
        <v>645</v>
      </c>
      <c r="F106" s="143" t="s">
        <v>646</v>
      </c>
      <c r="G106" s="126" t="s">
        <v>29</v>
      </c>
      <c r="H106" s="126" t="s">
        <v>116</v>
      </c>
      <c r="I106" s="127">
        <v>2.2000000000000002</v>
      </c>
      <c r="J106" s="127">
        <v>0.78</v>
      </c>
      <c r="K106" s="127">
        <v>0.8</v>
      </c>
      <c r="L106" s="127">
        <v>0.82</v>
      </c>
      <c r="M106" s="144">
        <v>590</v>
      </c>
      <c r="N106" s="129">
        <v>8.1150000000000002</v>
      </c>
      <c r="O106" s="129" t="s">
        <v>116</v>
      </c>
      <c r="P106" s="129"/>
      <c r="Q106" s="130" t="s">
        <v>117</v>
      </c>
      <c r="R106" s="130" t="s">
        <v>629</v>
      </c>
      <c r="S106" s="131" t="s">
        <v>647</v>
      </c>
      <c r="T106" s="132">
        <v>44552</v>
      </c>
      <c r="U106" s="132">
        <v>44553</v>
      </c>
      <c r="V106" s="132">
        <v>44557</v>
      </c>
      <c r="W106" s="132"/>
      <c r="X106" s="132"/>
      <c r="Y106" s="133"/>
      <c r="Z106" s="126" t="s">
        <v>64</v>
      </c>
      <c r="AA106" s="134" t="s">
        <v>322</v>
      </c>
      <c r="AB106" s="134" t="s">
        <v>635</v>
      </c>
      <c r="AC106" s="134">
        <v>44315</v>
      </c>
      <c r="AD106" s="134">
        <v>44352</v>
      </c>
      <c r="AE106" s="134"/>
      <c r="AF106" s="134">
        <f t="shared" ca="1" si="7"/>
        <v>44963</v>
      </c>
      <c r="AG106" s="126">
        <f t="shared" ca="1" si="8"/>
        <v>611</v>
      </c>
      <c r="AH106" s="126">
        <f t="shared" ca="1" si="9"/>
        <v>406</v>
      </c>
      <c r="AI106" s="134" t="s">
        <v>648</v>
      </c>
      <c r="AJ106" s="143" t="s">
        <v>621</v>
      </c>
      <c r="AK106" s="129">
        <v>8.1449999999999996</v>
      </c>
      <c r="AL106" s="129">
        <v>8.1849999999999987</v>
      </c>
      <c r="AM106" s="129">
        <v>8.2099999999999973</v>
      </c>
      <c r="AN106" s="129">
        <v>8.2149999999999981</v>
      </c>
      <c r="AO106" s="126">
        <f t="shared" ca="1" si="10"/>
        <v>410</v>
      </c>
      <c r="AR106" s="99" t="s">
        <v>136</v>
      </c>
    </row>
    <row r="107" spans="1:59" s="99" customFormat="1" ht="21" customHeight="1" x14ac:dyDescent="0.35">
      <c r="A107" s="99">
        <v>394</v>
      </c>
      <c r="B107" s="126" t="str">
        <f t="shared" si="11"/>
        <v>WIP-J3/FH-001X595</v>
      </c>
      <c r="C107" s="126" t="s">
        <v>13</v>
      </c>
      <c r="D107" s="126" t="s">
        <v>13</v>
      </c>
      <c r="E107" s="143" t="s">
        <v>649</v>
      </c>
      <c r="F107" s="143" t="s">
        <v>650</v>
      </c>
      <c r="G107" s="126" t="s">
        <v>29</v>
      </c>
      <c r="H107" s="126" t="s">
        <v>65</v>
      </c>
      <c r="I107" s="127">
        <v>2.4</v>
      </c>
      <c r="J107" s="127">
        <v>0.9</v>
      </c>
      <c r="K107" s="127"/>
      <c r="L107" s="127"/>
      <c r="M107" s="144">
        <v>595</v>
      </c>
      <c r="N107" s="129">
        <v>8.23</v>
      </c>
      <c r="O107" s="129" t="s">
        <v>116</v>
      </c>
      <c r="P107" s="129"/>
      <c r="Q107" s="130" t="s">
        <v>117</v>
      </c>
      <c r="R107" s="131" t="s">
        <v>651</v>
      </c>
      <c r="S107" s="131"/>
      <c r="T107" s="132">
        <v>44549</v>
      </c>
      <c r="U107" s="132">
        <v>44549</v>
      </c>
      <c r="V107" s="132"/>
      <c r="W107" s="132"/>
      <c r="X107" s="132"/>
      <c r="Y107" s="133"/>
      <c r="Z107" s="126" t="s">
        <v>64</v>
      </c>
      <c r="AA107" s="134" t="s">
        <v>322</v>
      </c>
      <c r="AB107" s="134" t="s">
        <v>635</v>
      </c>
      <c r="AC107" s="134">
        <v>44315</v>
      </c>
      <c r="AD107" s="134">
        <v>44352</v>
      </c>
      <c r="AE107" s="134"/>
      <c r="AF107" s="134">
        <f t="shared" ca="1" si="7"/>
        <v>44963</v>
      </c>
      <c r="AG107" s="126">
        <f t="shared" ca="1" si="8"/>
        <v>611</v>
      </c>
      <c r="AH107" s="126" t="str">
        <f t="shared" si="9"/>
        <v/>
      </c>
      <c r="AI107" s="134" t="s">
        <v>652</v>
      </c>
      <c r="AJ107" s="143" t="s">
        <v>653</v>
      </c>
      <c r="AK107" s="129">
        <v>8.2490000000000006</v>
      </c>
      <c r="AL107" s="129">
        <v>8.2889999999999997</v>
      </c>
      <c r="AM107" s="129">
        <v>8.3139999999999983</v>
      </c>
      <c r="AN107" s="129">
        <v>8.3189999999999991</v>
      </c>
      <c r="AO107" s="126">
        <f t="shared" ca="1" si="10"/>
        <v>414</v>
      </c>
      <c r="AR107" s="99" t="s">
        <v>136</v>
      </c>
    </row>
    <row r="108" spans="1:59" s="99" customFormat="1" ht="21" customHeight="1" x14ac:dyDescent="0.35">
      <c r="A108" s="99">
        <v>395</v>
      </c>
      <c r="B108" s="126" t="str">
        <f t="shared" si="11"/>
        <v>RM-J3/1D-002X600</v>
      </c>
      <c r="C108" s="126" t="s">
        <v>43</v>
      </c>
      <c r="D108" s="126" t="s">
        <v>43</v>
      </c>
      <c r="E108" s="143" t="s">
        <v>654</v>
      </c>
      <c r="F108" s="143" t="s">
        <v>655</v>
      </c>
      <c r="G108" s="126" t="s">
        <v>29</v>
      </c>
      <c r="H108" s="126" t="s">
        <v>139</v>
      </c>
      <c r="I108" s="127">
        <v>2.4</v>
      </c>
      <c r="J108" s="127"/>
      <c r="K108" s="127"/>
      <c r="L108" s="127"/>
      <c r="M108" s="144">
        <v>600</v>
      </c>
      <c r="N108" s="129">
        <v>9.6229999999999993</v>
      </c>
      <c r="O108" s="129"/>
      <c r="P108" s="129"/>
      <c r="Q108" s="130"/>
      <c r="R108" s="131"/>
      <c r="S108" s="131"/>
      <c r="T108" s="132"/>
      <c r="U108" s="132"/>
      <c r="V108" s="132"/>
      <c r="W108" s="132"/>
      <c r="X108" s="132"/>
      <c r="Y108" s="133"/>
      <c r="Z108" s="126" t="s">
        <v>64</v>
      </c>
      <c r="AA108" s="134" t="s">
        <v>468</v>
      </c>
      <c r="AB108" s="134"/>
      <c r="AC108" s="134"/>
      <c r="AD108" s="134">
        <v>44370</v>
      </c>
      <c r="AE108" s="134"/>
      <c r="AF108" s="134">
        <f t="shared" ca="1" si="7"/>
        <v>44963</v>
      </c>
      <c r="AG108" s="126">
        <f t="shared" ca="1" si="8"/>
        <v>593</v>
      </c>
      <c r="AH108" s="126" t="str">
        <f t="shared" si="9"/>
        <v/>
      </c>
      <c r="AI108" s="134" t="s">
        <v>656</v>
      </c>
      <c r="AJ108" s="143" t="s">
        <v>657</v>
      </c>
      <c r="AK108" s="129">
        <v>9.6229999999999993</v>
      </c>
      <c r="AL108" s="129">
        <v>9.6629999999999985</v>
      </c>
      <c r="AM108" s="129">
        <v>9.6879999999999971</v>
      </c>
      <c r="AN108" s="129">
        <v>9.6929999999999978</v>
      </c>
      <c r="AO108" s="126" t="str">
        <f t="shared" si="10"/>
        <v/>
      </c>
      <c r="AR108" s="99" t="s">
        <v>136</v>
      </c>
    </row>
    <row r="109" spans="1:59" s="99" customFormat="1" ht="21" customHeight="1" x14ac:dyDescent="0.35">
      <c r="A109" s="99">
        <v>395</v>
      </c>
      <c r="B109" s="126" t="str">
        <f t="shared" si="11"/>
        <v>RM-J3/1D-002X600</v>
      </c>
      <c r="C109" s="126" t="s">
        <v>43</v>
      </c>
      <c r="D109" s="126" t="s">
        <v>43</v>
      </c>
      <c r="E109" s="143" t="s">
        <v>658</v>
      </c>
      <c r="F109" s="143" t="s">
        <v>659</v>
      </c>
      <c r="G109" s="126" t="s">
        <v>29</v>
      </c>
      <c r="H109" s="126" t="s">
        <v>139</v>
      </c>
      <c r="I109" s="127">
        <v>2.4</v>
      </c>
      <c r="J109" s="127"/>
      <c r="K109" s="127"/>
      <c r="L109" s="127"/>
      <c r="M109" s="144">
        <v>600</v>
      </c>
      <c r="N109" s="129">
        <v>9.6590000000000007</v>
      </c>
      <c r="O109" s="129"/>
      <c r="P109" s="129"/>
      <c r="Q109" s="130"/>
      <c r="R109" s="131"/>
      <c r="S109" s="131"/>
      <c r="T109" s="132"/>
      <c r="U109" s="132"/>
      <c r="V109" s="132"/>
      <c r="W109" s="132"/>
      <c r="X109" s="132"/>
      <c r="Y109" s="133"/>
      <c r="Z109" s="126" t="s">
        <v>64</v>
      </c>
      <c r="AA109" s="134" t="s">
        <v>468</v>
      </c>
      <c r="AB109" s="134"/>
      <c r="AC109" s="134"/>
      <c r="AD109" s="134">
        <v>44370</v>
      </c>
      <c r="AE109" s="134"/>
      <c r="AF109" s="134">
        <f t="shared" ca="1" si="7"/>
        <v>44963</v>
      </c>
      <c r="AG109" s="126">
        <f t="shared" ca="1" si="8"/>
        <v>593</v>
      </c>
      <c r="AH109" s="126" t="str">
        <f t="shared" si="9"/>
        <v/>
      </c>
      <c r="AI109" s="134" t="s">
        <v>656</v>
      </c>
      <c r="AJ109" s="143" t="s">
        <v>660</v>
      </c>
      <c r="AK109" s="129">
        <v>9.6590000000000007</v>
      </c>
      <c r="AL109" s="129">
        <v>9.6989999999999998</v>
      </c>
      <c r="AM109" s="129">
        <v>9.7239999999999984</v>
      </c>
      <c r="AN109" s="129">
        <v>9.7289999999999992</v>
      </c>
      <c r="AO109" s="126" t="str">
        <f t="shared" si="10"/>
        <v/>
      </c>
      <c r="AR109" s="99" t="s">
        <v>136</v>
      </c>
    </row>
    <row r="110" spans="1:59" s="99" customFormat="1" ht="21" customHeight="1" x14ac:dyDescent="0.35">
      <c r="A110" s="99">
        <v>395</v>
      </c>
      <c r="B110" s="126" t="str">
        <f t="shared" si="11"/>
        <v>RM-J3/1D-002X600</v>
      </c>
      <c r="C110" s="126" t="s">
        <v>43</v>
      </c>
      <c r="D110" s="126" t="s">
        <v>43</v>
      </c>
      <c r="E110" s="143" t="s">
        <v>661</v>
      </c>
      <c r="F110" s="143" t="s">
        <v>662</v>
      </c>
      <c r="G110" s="126" t="s">
        <v>29</v>
      </c>
      <c r="H110" s="126" t="s">
        <v>139</v>
      </c>
      <c r="I110" s="127">
        <v>2.4</v>
      </c>
      <c r="J110" s="127"/>
      <c r="K110" s="127"/>
      <c r="L110" s="127"/>
      <c r="M110" s="144">
        <v>600</v>
      </c>
      <c r="N110" s="129">
        <v>9.6270000000000007</v>
      </c>
      <c r="O110" s="129"/>
      <c r="P110" s="129"/>
      <c r="Q110" s="130"/>
      <c r="R110" s="131"/>
      <c r="S110" s="131"/>
      <c r="T110" s="132"/>
      <c r="U110" s="132"/>
      <c r="V110" s="132"/>
      <c r="W110" s="132"/>
      <c r="X110" s="132"/>
      <c r="Y110" s="133"/>
      <c r="Z110" s="126" t="s">
        <v>64</v>
      </c>
      <c r="AA110" s="134" t="s">
        <v>468</v>
      </c>
      <c r="AB110" s="134"/>
      <c r="AC110" s="134"/>
      <c r="AD110" s="134">
        <v>44370</v>
      </c>
      <c r="AE110" s="134"/>
      <c r="AF110" s="134">
        <f t="shared" ca="1" si="7"/>
        <v>44963</v>
      </c>
      <c r="AG110" s="126">
        <f t="shared" ca="1" si="8"/>
        <v>593</v>
      </c>
      <c r="AH110" s="126" t="str">
        <f t="shared" si="9"/>
        <v/>
      </c>
      <c r="AI110" s="134" t="s">
        <v>663</v>
      </c>
      <c r="AJ110" s="143" t="s">
        <v>664</v>
      </c>
      <c r="AK110" s="129">
        <v>9.6270000000000007</v>
      </c>
      <c r="AL110" s="129">
        <v>9.6669999999999998</v>
      </c>
      <c r="AM110" s="129">
        <v>9.6919999999999984</v>
      </c>
      <c r="AN110" s="129">
        <v>9.6969999999999992</v>
      </c>
      <c r="AO110" s="126" t="str">
        <f t="shared" si="10"/>
        <v/>
      </c>
      <c r="AR110" s="99" t="s">
        <v>136</v>
      </c>
    </row>
    <row r="111" spans="1:59" s="99" customFormat="1" ht="21" customHeight="1" x14ac:dyDescent="0.35">
      <c r="A111" s="99">
        <v>395</v>
      </c>
      <c r="B111" s="126" t="str">
        <f t="shared" si="11"/>
        <v>WIP-J3/2B-001X640</v>
      </c>
      <c r="C111" s="126" t="s">
        <v>14</v>
      </c>
      <c r="D111" s="126" t="s">
        <v>358</v>
      </c>
      <c r="E111" s="143" t="s">
        <v>665</v>
      </c>
      <c r="F111" s="143" t="s">
        <v>666</v>
      </c>
      <c r="G111" s="126" t="s">
        <v>29</v>
      </c>
      <c r="H111" s="126" t="s">
        <v>116</v>
      </c>
      <c r="I111" s="127">
        <v>2.4</v>
      </c>
      <c r="J111" s="127">
        <v>0.91</v>
      </c>
      <c r="K111" s="127">
        <v>0.9</v>
      </c>
      <c r="L111" s="127">
        <v>0.92</v>
      </c>
      <c r="M111" s="144">
        <v>640</v>
      </c>
      <c r="N111" s="129">
        <v>5.16</v>
      </c>
      <c r="O111" s="129" t="s">
        <v>116</v>
      </c>
      <c r="P111" s="129"/>
      <c r="Q111" s="130" t="s">
        <v>446</v>
      </c>
      <c r="R111" s="131"/>
      <c r="S111" s="131"/>
      <c r="T111" s="132">
        <v>44557</v>
      </c>
      <c r="U111" s="132">
        <v>44557</v>
      </c>
      <c r="V111" s="132">
        <v>44569</v>
      </c>
      <c r="W111" s="132"/>
      <c r="X111" s="132"/>
      <c r="Y111" s="133"/>
      <c r="Z111" s="126" t="s">
        <v>64</v>
      </c>
      <c r="AA111" s="134" t="s">
        <v>468</v>
      </c>
      <c r="AB111" s="134"/>
      <c r="AC111" s="134"/>
      <c r="AD111" s="134">
        <v>44370</v>
      </c>
      <c r="AE111" s="134"/>
      <c r="AF111" s="134">
        <f t="shared" ca="1" si="7"/>
        <v>44963</v>
      </c>
      <c r="AG111" s="126">
        <f t="shared" ca="1" si="8"/>
        <v>593</v>
      </c>
      <c r="AH111" s="126">
        <f t="shared" ca="1" si="9"/>
        <v>394</v>
      </c>
      <c r="AI111" s="134" t="s">
        <v>667</v>
      </c>
      <c r="AJ111" s="143" t="s">
        <v>660</v>
      </c>
      <c r="AK111" s="129">
        <v>10.297000000000001</v>
      </c>
      <c r="AL111" s="129">
        <v>10.337</v>
      </c>
      <c r="AM111" s="129">
        <v>10.361999999999998</v>
      </c>
      <c r="AN111" s="129">
        <v>10.366999999999999</v>
      </c>
      <c r="AO111" s="126">
        <f t="shared" ca="1" si="10"/>
        <v>406</v>
      </c>
      <c r="AR111" s="99" t="s">
        <v>136</v>
      </c>
    </row>
    <row r="112" spans="1:59" s="99" customFormat="1" ht="21" customHeight="1" x14ac:dyDescent="0.35">
      <c r="A112" s="99">
        <v>395</v>
      </c>
      <c r="B112" s="126" t="str">
        <f t="shared" si="11"/>
        <v>RM-J3/1D-002X600</v>
      </c>
      <c r="C112" s="126" t="s">
        <v>43</v>
      </c>
      <c r="D112" s="126" t="s">
        <v>43</v>
      </c>
      <c r="E112" s="143" t="s">
        <v>668</v>
      </c>
      <c r="F112" s="143" t="s">
        <v>669</v>
      </c>
      <c r="G112" s="126" t="s">
        <v>29</v>
      </c>
      <c r="H112" s="126" t="s">
        <v>139</v>
      </c>
      <c r="I112" s="127">
        <v>2.4</v>
      </c>
      <c r="J112" s="127"/>
      <c r="K112" s="127"/>
      <c r="L112" s="127"/>
      <c r="M112" s="144">
        <v>600</v>
      </c>
      <c r="N112" s="129">
        <v>9.6669999999999998</v>
      </c>
      <c r="O112" s="129"/>
      <c r="P112" s="129"/>
      <c r="Q112" s="130"/>
      <c r="R112" s="131"/>
      <c r="S112" s="131"/>
      <c r="T112" s="132"/>
      <c r="U112" s="132"/>
      <c r="V112" s="132"/>
      <c r="W112" s="132"/>
      <c r="X112" s="132"/>
      <c r="Y112" s="133"/>
      <c r="Z112" s="126" t="s">
        <v>64</v>
      </c>
      <c r="AA112" s="134" t="s">
        <v>468</v>
      </c>
      <c r="AB112" s="134"/>
      <c r="AC112" s="134"/>
      <c r="AD112" s="134">
        <v>44370</v>
      </c>
      <c r="AE112" s="134"/>
      <c r="AF112" s="134">
        <f t="shared" ca="1" si="7"/>
        <v>44963</v>
      </c>
      <c r="AG112" s="126">
        <f t="shared" ca="1" si="8"/>
        <v>593</v>
      </c>
      <c r="AH112" s="126" t="str">
        <f t="shared" si="9"/>
        <v/>
      </c>
      <c r="AI112" s="134" t="s">
        <v>670</v>
      </c>
      <c r="AJ112" s="143" t="s">
        <v>671</v>
      </c>
      <c r="AK112" s="129">
        <v>9.6669999999999998</v>
      </c>
      <c r="AL112" s="129">
        <v>9.7070000000000007</v>
      </c>
      <c r="AM112" s="129">
        <v>9.7319999999999993</v>
      </c>
      <c r="AN112" s="129">
        <v>9.7370000000000001</v>
      </c>
      <c r="AO112" s="126" t="str">
        <f t="shared" si="10"/>
        <v/>
      </c>
      <c r="AR112" s="99" t="s">
        <v>136</v>
      </c>
    </row>
    <row r="113" spans="1:59" s="99" customFormat="1" ht="21" customHeight="1" x14ac:dyDescent="0.35">
      <c r="A113" s="99">
        <v>395</v>
      </c>
      <c r="B113" s="126" t="str">
        <f t="shared" si="11"/>
        <v>WIP-J3/2B-001X640</v>
      </c>
      <c r="C113" s="126" t="s">
        <v>14</v>
      </c>
      <c r="D113" s="126" t="s">
        <v>358</v>
      </c>
      <c r="E113" s="143" t="s">
        <v>672</v>
      </c>
      <c r="F113" s="143" t="s">
        <v>673</v>
      </c>
      <c r="G113" s="126" t="s">
        <v>29</v>
      </c>
      <c r="H113" s="126" t="s">
        <v>116</v>
      </c>
      <c r="I113" s="127">
        <v>2.4</v>
      </c>
      <c r="J113" s="127">
        <v>1.41</v>
      </c>
      <c r="K113" s="127">
        <v>1.4</v>
      </c>
      <c r="L113" s="127">
        <v>1.43</v>
      </c>
      <c r="M113" s="144">
        <v>640</v>
      </c>
      <c r="N113" s="129">
        <v>4.76</v>
      </c>
      <c r="O113" s="129" t="s">
        <v>116</v>
      </c>
      <c r="P113" s="129"/>
      <c r="Q113" s="130" t="s">
        <v>446</v>
      </c>
      <c r="R113" s="131"/>
      <c r="S113" s="131"/>
      <c r="T113" s="132">
        <v>44557</v>
      </c>
      <c r="U113" s="132">
        <v>44557</v>
      </c>
      <c r="V113" s="132">
        <v>44578</v>
      </c>
      <c r="W113" s="132"/>
      <c r="X113" s="132"/>
      <c r="Y113" s="133"/>
      <c r="Z113" s="126" t="s">
        <v>64</v>
      </c>
      <c r="AA113" s="134" t="s">
        <v>468</v>
      </c>
      <c r="AB113" s="134"/>
      <c r="AC113" s="134"/>
      <c r="AD113" s="134">
        <v>44370</v>
      </c>
      <c r="AE113" s="134"/>
      <c r="AF113" s="134">
        <f t="shared" ca="1" si="7"/>
        <v>44963</v>
      </c>
      <c r="AG113" s="126">
        <f t="shared" ca="1" si="8"/>
        <v>593</v>
      </c>
      <c r="AH113" s="126">
        <f t="shared" ca="1" si="9"/>
        <v>385</v>
      </c>
      <c r="AI113" s="134" t="s">
        <v>674</v>
      </c>
      <c r="AJ113" s="143" t="s">
        <v>671</v>
      </c>
      <c r="AK113" s="129">
        <v>10.297000000000001</v>
      </c>
      <c r="AL113" s="129">
        <v>10.337</v>
      </c>
      <c r="AM113" s="129">
        <v>10.361999999999998</v>
      </c>
      <c r="AN113" s="129">
        <v>10.366999999999999</v>
      </c>
      <c r="AO113" s="126">
        <f t="shared" ca="1" si="10"/>
        <v>406</v>
      </c>
      <c r="AR113" s="99" t="s">
        <v>136</v>
      </c>
    </row>
    <row r="114" spans="1:59" s="99" customFormat="1" ht="21" customHeight="1" x14ac:dyDescent="0.35">
      <c r="A114" s="99">
        <v>395</v>
      </c>
      <c r="B114" s="126" t="str">
        <f t="shared" si="11"/>
        <v>RM-J3/1D-002X640</v>
      </c>
      <c r="C114" s="126" t="s">
        <v>43</v>
      </c>
      <c r="D114" s="126" t="s">
        <v>43</v>
      </c>
      <c r="E114" s="143" t="s">
        <v>675</v>
      </c>
      <c r="F114" s="143" t="s">
        <v>676</v>
      </c>
      <c r="G114" s="126" t="s">
        <v>29</v>
      </c>
      <c r="H114" s="126" t="s">
        <v>139</v>
      </c>
      <c r="I114" s="127">
        <v>2.4</v>
      </c>
      <c r="J114" s="127"/>
      <c r="K114" s="127"/>
      <c r="L114" s="127"/>
      <c r="M114" s="144">
        <v>640</v>
      </c>
      <c r="N114" s="129">
        <v>10.297000000000001</v>
      </c>
      <c r="O114" s="129"/>
      <c r="P114" s="129"/>
      <c r="Q114" s="130"/>
      <c r="R114" s="131"/>
      <c r="S114" s="131"/>
      <c r="T114" s="132"/>
      <c r="U114" s="132"/>
      <c r="V114" s="132"/>
      <c r="W114" s="132"/>
      <c r="X114" s="132"/>
      <c r="Y114" s="133"/>
      <c r="Z114" s="126" t="s">
        <v>64</v>
      </c>
      <c r="AA114" s="134" t="s">
        <v>468</v>
      </c>
      <c r="AB114" s="134"/>
      <c r="AC114" s="134"/>
      <c r="AD114" s="134">
        <v>44370</v>
      </c>
      <c r="AE114" s="134"/>
      <c r="AF114" s="134">
        <f t="shared" ca="1" si="7"/>
        <v>44963</v>
      </c>
      <c r="AG114" s="126">
        <f t="shared" ca="1" si="8"/>
        <v>593</v>
      </c>
      <c r="AH114" s="126" t="str">
        <f t="shared" si="9"/>
        <v/>
      </c>
      <c r="AI114" s="134" t="s">
        <v>677</v>
      </c>
      <c r="AJ114" s="143" t="s">
        <v>678</v>
      </c>
      <c r="AK114" s="129">
        <v>10.297000000000001</v>
      </c>
      <c r="AL114" s="129">
        <v>10.337</v>
      </c>
      <c r="AM114" s="129">
        <v>10.361999999999998</v>
      </c>
      <c r="AN114" s="129">
        <v>10.366999999999999</v>
      </c>
      <c r="AO114" s="126" t="str">
        <f t="shared" si="10"/>
        <v/>
      </c>
      <c r="AR114" s="99" t="s">
        <v>136</v>
      </c>
    </row>
    <row r="115" spans="1:59" s="99" customFormat="1" ht="21" customHeight="1" x14ac:dyDescent="0.35">
      <c r="A115" s="99">
        <v>395</v>
      </c>
      <c r="B115" s="126" t="str">
        <f t="shared" si="11"/>
        <v>HOLD SLT-J3/2B-001X595</v>
      </c>
      <c r="C115" s="126" t="s">
        <v>63</v>
      </c>
      <c r="D115" s="126" t="s">
        <v>63</v>
      </c>
      <c r="E115" s="143" t="s">
        <v>679</v>
      </c>
      <c r="F115" s="143" t="s">
        <v>680</v>
      </c>
      <c r="G115" s="126" t="s">
        <v>29</v>
      </c>
      <c r="H115" s="126" t="s">
        <v>116</v>
      </c>
      <c r="I115" s="127">
        <v>2.4</v>
      </c>
      <c r="J115" s="127">
        <v>1.1000000000000001</v>
      </c>
      <c r="K115" s="127">
        <v>1.0900000000000001</v>
      </c>
      <c r="L115" s="127">
        <v>1.1299999999999999</v>
      </c>
      <c r="M115" s="144">
        <v>595</v>
      </c>
      <c r="N115" s="129">
        <v>3.9</v>
      </c>
      <c r="O115" s="129" t="s">
        <v>116</v>
      </c>
      <c r="P115" s="129"/>
      <c r="Q115" s="130" t="s">
        <v>117</v>
      </c>
      <c r="R115" s="131" t="s">
        <v>412</v>
      </c>
      <c r="S115" s="131" t="s">
        <v>681</v>
      </c>
      <c r="T115" s="132">
        <v>44548</v>
      </c>
      <c r="U115" s="132">
        <v>44548</v>
      </c>
      <c r="V115" s="132">
        <v>44555</v>
      </c>
      <c r="W115" s="132"/>
      <c r="X115" s="132"/>
      <c r="Y115" s="133"/>
      <c r="Z115" s="126" t="s">
        <v>64</v>
      </c>
      <c r="AA115" s="134" t="s">
        <v>468</v>
      </c>
      <c r="AB115" s="134"/>
      <c r="AC115" s="134"/>
      <c r="AD115" s="134">
        <v>44370</v>
      </c>
      <c r="AE115" s="134"/>
      <c r="AF115" s="134">
        <f t="shared" ca="1" si="7"/>
        <v>44963</v>
      </c>
      <c r="AG115" s="126">
        <f t="shared" ca="1" si="8"/>
        <v>593</v>
      </c>
      <c r="AH115" s="126">
        <f t="shared" ca="1" si="9"/>
        <v>408</v>
      </c>
      <c r="AI115" s="134" t="s">
        <v>682</v>
      </c>
      <c r="AJ115" s="143" t="s">
        <v>683</v>
      </c>
      <c r="AK115" s="129">
        <v>8.2219999999999995</v>
      </c>
      <c r="AL115" s="129">
        <v>8.2619999999999987</v>
      </c>
      <c r="AM115" s="129">
        <v>8.2869999999999973</v>
      </c>
      <c r="AN115" s="129">
        <v>8.291999999999998</v>
      </c>
      <c r="AO115" s="126">
        <f t="shared" ca="1" si="10"/>
        <v>415</v>
      </c>
      <c r="AR115" s="99" t="s">
        <v>136</v>
      </c>
    </row>
    <row r="116" spans="1:59" s="99" customFormat="1" ht="21" customHeight="1" x14ac:dyDescent="0.35">
      <c r="A116" s="99">
        <v>395</v>
      </c>
      <c r="B116" s="126" t="str">
        <f t="shared" si="11"/>
        <v>RM-J3/1D-002X595</v>
      </c>
      <c r="C116" s="126" t="s">
        <v>43</v>
      </c>
      <c r="D116" s="126" t="s">
        <v>43</v>
      </c>
      <c r="E116" s="143" t="s">
        <v>684</v>
      </c>
      <c r="F116" s="143" t="s">
        <v>685</v>
      </c>
      <c r="G116" s="126" t="s">
        <v>29</v>
      </c>
      <c r="H116" s="126" t="s">
        <v>139</v>
      </c>
      <c r="I116" s="127">
        <v>2.4</v>
      </c>
      <c r="J116" s="127"/>
      <c r="K116" s="127"/>
      <c r="L116" s="127"/>
      <c r="M116" s="144">
        <v>595</v>
      </c>
      <c r="N116" s="129">
        <v>8.2829999999999995</v>
      </c>
      <c r="O116" s="129"/>
      <c r="P116" s="129"/>
      <c r="Q116" s="130"/>
      <c r="R116" s="131"/>
      <c r="S116" s="131"/>
      <c r="T116" s="132"/>
      <c r="U116" s="132"/>
      <c r="V116" s="132"/>
      <c r="W116" s="132"/>
      <c r="X116" s="132"/>
      <c r="Y116" s="133"/>
      <c r="Z116" s="126" t="s">
        <v>64</v>
      </c>
      <c r="AA116" s="134" t="s">
        <v>468</v>
      </c>
      <c r="AB116" s="134"/>
      <c r="AC116" s="134"/>
      <c r="AD116" s="134">
        <v>44370</v>
      </c>
      <c r="AE116" s="134"/>
      <c r="AF116" s="134">
        <f t="shared" ca="1" si="7"/>
        <v>44963</v>
      </c>
      <c r="AG116" s="126">
        <f t="shared" ca="1" si="8"/>
        <v>593</v>
      </c>
      <c r="AH116" s="126" t="str">
        <f t="shared" si="9"/>
        <v/>
      </c>
      <c r="AI116" s="134" t="s">
        <v>686</v>
      </c>
      <c r="AJ116" s="143" t="s">
        <v>687</v>
      </c>
      <c r="AK116" s="129">
        <v>8.2829999999999995</v>
      </c>
      <c r="AL116" s="129">
        <v>8.3229999999999986</v>
      </c>
      <c r="AM116" s="129">
        <v>8.3479999999999972</v>
      </c>
      <c r="AN116" s="129">
        <v>8.352999999999998</v>
      </c>
      <c r="AO116" s="126" t="str">
        <f t="shared" si="10"/>
        <v/>
      </c>
      <c r="AR116" s="99" t="s">
        <v>136</v>
      </c>
    </row>
    <row r="117" spans="1:59" s="99" customFormat="1" ht="21" customHeight="1" x14ac:dyDescent="0.35">
      <c r="A117" s="99">
        <v>395</v>
      </c>
      <c r="B117" s="126" t="str">
        <f t="shared" si="11"/>
        <v>WIP-J3/2B-001X620</v>
      </c>
      <c r="C117" s="126" t="s">
        <v>14</v>
      </c>
      <c r="D117" s="126" t="s">
        <v>358</v>
      </c>
      <c r="E117" s="143" t="s">
        <v>688</v>
      </c>
      <c r="F117" s="143" t="s">
        <v>689</v>
      </c>
      <c r="G117" s="126" t="s">
        <v>29</v>
      </c>
      <c r="H117" s="126" t="s">
        <v>116</v>
      </c>
      <c r="I117" s="127">
        <v>2.4</v>
      </c>
      <c r="J117" s="127">
        <v>0.95</v>
      </c>
      <c r="K117" s="149">
        <v>0.95</v>
      </c>
      <c r="L117" s="149">
        <v>0.97</v>
      </c>
      <c r="M117" s="144">
        <v>620</v>
      </c>
      <c r="N117" s="129">
        <v>9.9</v>
      </c>
      <c r="O117" s="129" t="s">
        <v>116</v>
      </c>
      <c r="P117" s="129"/>
      <c r="Q117" s="130" t="s">
        <v>412</v>
      </c>
      <c r="R117" s="131"/>
      <c r="S117" s="131"/>
      <c r="T117" s="132">
        <v>44558</v>
      </c>
      <c r="U117" s="132">
        <v>44571</v>
      </c>
      <c r="V117" s="132">
        <v>44596</v>
      </c>
      <c r="W117" s="132"/>
      <c r="X117" s="132"/>
      <c r="Y117" s="133"/>
      <c r="Z117" s="126" t="s">
        <v>64</v>
      </c>
      <c r="AA117" s="134" t="s">
        <v>468</v>
      </c>
      <c r="AB117" s="134"/>
      <c r="AC117" s="134"/>
      <c r="AD117" s="134">
        <v>44370</v>
      </c>
      <c r="AE117" s="134"/>
      <c r="AF117" s="134">
        <f t="shared" ca="1" si="7"/>
        <v>44963</v>
      </c>
      <c r="AG117" s="126">
        <f t="shared" ca="1" si="8"/>
        <v>593</v>
      </c>
      <c r="AH117" s="126">
        <f t="shared" ca="1" si="9"/>
        <v>367</v>
      </c>
      <c r="AI117" s="134" t="s">
        <v>690</v>
      </c>
      <c r="AJ117" s="143" t="s">
        <v>691</v>
      </c>
      <c r="AK117" s="129">
        <v>9.9350000000000005</v>
      </c>
      <c r="AL117" s="129">
        <v>9.9749999999999996</v>
      </c>
      <c r="AM117" s="129">
        <v>9.9999999999999982</v>
      </c>
      <c r="AN117" s="129">
        <v>10.004999999999999</v>
      </c>
      <c r="AO117" s="126">
        <f t="shared" ca="1" si="10"/>
        <v>392</v>
      </c>
      <c r="AR117" s="99" t="s">
        <v>136</v>
      </c>
    </row>
    <row r="118" spans="1:59" s="99" customFormat="1" ht="21" customHeight="1" x14ac:dyDescent="0.35">
      <c r="A118" s="99">
        <v>395</v>
      </c>
      <c r="B118" s="126" t="str">
        <f t="shared" si="11"/>
        <v>RM-J3/1D-002X640</v>
      </c>
      <c r="C118" s="126" t="s">
        <v>43</v>
      </c>
      <c r="D118" s="126" t="s">
        <v>43</v>
      </c>
      <c r="E118" s="143" t="s">
        <v>692</v>
      </c>
      <c r="F118" s="143" t="s">
        <v>693</v>
      </c>
      <c r="G118" s="126" t="s">
        <v>29</v>
      </c>
      <c r="H118" s="126" t="s">
        <v>139</v>
      </c>
      <c r="I118" s="127">
        <v>2.4</v>
      </c>
      <c r="J118" s="127"/>
      <c r="K118" s="127"/>
      <c r="L118" s="127"/>
      <c r="M118" s="144">
        <v>640</v>
      </c>
      <c r="N118" s="129">
        <v>10.241</v>
      </c>
      <c r="O118" s="129"/>
      <c r="P118" s="129"/>
      <c r="Q118" s="130"/>
      <c r="R118" s="131"/>
      <c r="S118" s="131"/>
      <c r="T118" s="132"/>
      <c r="U118" s="132"/>
      <c r="V118" s="132"/>
      <c r="W118" s="132"/>
      <c r="X118" s="132"/>
      <c r="Y118" s="133"/>
      <c r="Z118" s="126" t="s">
        <v>64</v>
      </c>
      <c r="AA118" s="134" t="s">
        <v>468</v>
      </c>
      <c r="AB118" s="134"/>
      <c r="AC118" s="134"/>
      <c r="AD118" s="134">
        <v>44370</v>
      </c>
      <c r="AE118" s="134"/>
      <c r="AF118" s="134">
        <f t="shared" ca="1" si="7"/>
        <v>44963</v>
      </c>
      <c r="AG118" s="126">
        <f t="shared" ca="1" si="8"/>
        <v>593</v>
      </c>
      <c r="AH118" s="126" t="str">
        <f t="shared" si="9"/>
        <v/>
      </c>
      <c r="AI118" s="134" t="s">
        <v>694</v>
      </c>
      <c r="AJ118" s="143" t="s">
        <v>695</v>
      </c>
      <c r="AK118" s="129">
        <v>10.241</v>
      </c>
      <c r="AL118" s="129">
        <v>10.280999999999999</v>
      </c>
      <c r="AM118" s="129">
        <v>10.305999999999997</v>
      </c>
      <c r="AN118" s="129">
        <v>10.310999999999998</v>
      </c>
      <c r="AO118" s="126" t="str">
        <f t="shared" si="10"/>
        <v/>
      </c>
      <c r="AR118" s="99" t="s">
        <v>136</v>
      </c>
    </row>
    <row r="119" spans="1:59" s="99" customFormat="1" ht="21" customHeight="1" x14ac:dyDescent="0.35">
      <c r="A119" s="99">
        <v>395</v>
      </c>
      <c r="B119" s="126" t="str">
        <f t="shared" si="11"/>
        <v>WIP-J3/FH-001X595</v>
      </c>
      <c r="C119" s="126" t="s">
        <v>13</v>
      </c>
      <c r="D119" s="126" t="s">
        <v>13</v>
      </c>
      <c r="E119" s="143" t="s">
        <v>696</v>
      </c>
      <c r="F119" s="143" t="s">
        <v>697</v>
      </c>
      <c r="G119" s="126" t="s">
        <v>29</v>
      </c>
      <c r="H119" s="126" t="s">
        <v>65</v>
      </c>
      <c r="I119" s="127">
        <v>2.4</v>
      </c>
      <c r="J119" s="127">
        <v>1.1499999999999999</v>
      </c>
      <c r="K119" s="127"/>
      <c r="L119" s="127"/>
      <c r="M119" s="144">
        <v>595</v>
      </c>
      <c r="N119" s="129">
        <v>8.1349999999999998</v>
      </c>
      <c r="O119" s="129" t="s">
        <v>116</v>
      </c>
      <c r="P119" s="129"/>
      <c r="Q119" s="130" t="s">
        <v>117</v>
      </c>
      <c r="R119" s="130" t="s">
        <v>462</v>
      </c>
      <c r="S119" s="131"/>
      <c r="T119" s="132">
        <v>44515</v>
      </c>
      <c r="U119" s="132">
        <v>44515</v>
      </c>
      <c r="V119" s="132"/>
      <c r="W119" s="132"/>
      <c r="X119" s="132"/>
      <c r="Y119" s="133"/>
      <c r="Z119" s="126" t="s">
        <v>64</v>
      </c>
      <c r="AA119" s="134" t="s">
        <v>468</v>
      </c>
      <c r="AB119" s="134"/>
      <c r="AC119" s="134"/>
      <c r="AD119" s="134">
        <v>44370</v>
      </c>
      <c r="AE119" s="134"/>
      <c r="AF119" s="134">
        <f t="shared" ca="1" si="7"/>
        <v>44963</v>
      </c>
      <c r="AG119" s="126">
        <f t="shared" ca="1" si="8"/>
        <v>593</v>
      </c>
      <c r="AH119" s="126" t="str">
        <f t="shared" si="9"/>
        <v/>
      </c>
      <c r="AI119" s="134" t="s">
        <v>698</v>
      </c>
      <c r="AJ119" s="143" t="s">
        <v>488</v>
      </c>
      <c r="AK119" s="129">
        <v>8.1460000000000008</v>
      </c>
      <c r="AL119" s="129">
        <v>8.1859999999999999</v>
      </c>
      <c r="AM119" s="129">
        <v>8.2109999999999985</v>
      </c>
      <c r="AN119" s="129">
        <v>8.2159999999999993</v>
      </c>
      <c r="AO119" s="126">
        <f t="shared" ca="1" si="10"/>
        <v>448</v>
      </c>
      <c r="AR119" s="99" t="s">
        <v>136</v>
      </c>
      <c r="BG119" s="135" t="s">
        <v>699</v>
      </c>
    </row>
    <row r="120" spans="1:59" s="99" customFormat="1" ht="21" customHeight="1" x14ac:dyDescent="0.35">
      <c r="A120" s="99">
        <v>395</v>
      </c>
      <c r="B120" s="126" t="str">
        <f t="shared" si="11"/>
        <v>WIP-J3/2B-001X590</v>
      </c>
      <c r="C120" s="126" t="s">
        <v>402</v>
      </c>
      <c r="D120" s="126" t="s">
        <v>403</v>
      </c>
      <c r="E120" s="143" t="s">
        <v>700</v>
      </c>
      <c r="F120" s="143" t="s">
        <v>701</v>
      </c>
      <c r="G120" s="126" t="s">
        <v>29</v>
      </c>
      <c r="H120" s="126" t="s">
        <v>116</v>
      </c>
      <c r="I120" s="127">
        <v>1.1200000000000001</v>
      </c>
      <c r="J120" s="127">
        <v>0.78</v>
      </c>
      <c r="K120" s="127">
        <v>0.78</v>
      </c>
      <c r="L120" s="127">
        <v>0.8</v>
      </c>
      <c r="M120" s="144">
        <v>590</v>
      </c>
      <c r="N120" s="129">
        <v>7.97</v>
      </c>
      <c r="O120" s="129" t="s">
        <v>116</v>
      </c>
      <c r="P120" s="129"/>
      <c r="Q120" s="130" t="s">
        <v>361</v>
      </c>
      <c r="R120" s="130" t="s">
        <v>446</v>
      </c>
      <c r="S120" s="131" t="s">
        <v>702</v>
      </c>
      <c r="T120" s="132" t="s">
        <v>703</v>
      </c>
      <c r="U120" s="132" t="s">
        <v>704</v>
      </c>
      <c r="V120" s="132" t="s">
        <v>705</v>
      </c>
      <c r="W120" s="132"/>
      <c r="X120" s="132"/>
      <c r="Y120" s="133"/>
      <c r="Z120" s="126" t="s">
        <v>64</v>
      </c>
      <c r="AA120" s="134" t="s">
        <v>468</v>
      </c>
      <c r="AB120" s="134"/>
      <c r="AC120" s="134"/>
      <c r="AD120" s="134">
        <v>44370</v>
      </c>
      <c r="AE120" s="134"/>
      <c r="AF120" s="134">
        <f t="shared" ca="1" si="7"/>
        <v>44963</v>
      </c>
      <c r="AG120" s="126">
        <f t="shared" ca="1" si="8"/>
        <v>593</v>
      </c>
      <c r="AH120" s="126" t="e">
        <f t="shared" ca="1" si="9"/>
        <v>#VALUE!</v>
      </c>
      <c r="AI120" s="134" t="s">
        <v>674</v>
      </c>
      <c r="AJ120" s="143" t="s">
        <v>509</v>
      </c>
      <c r="AK120" s="129">
        <v>8.0269999999999992</v>
      </c>
      <c r="AL120" s="129">
        <v>8.0669999999999984</v>
      </c>
      <c r="AM120" s="129">
        <v>8.091999999999997</v>
      </c>
      <c r="AN120" s="129">
        <v>8.0969999999999978</v>
      </c>
      <c r="AO120" s="126">
        <f t="shared" ca="1" si="10"/>
        <v>665</v>
      </c>
      <c r="AR120" s="99" t="s">
        <v>136</v>
      </c>
      <c r="BG120" s="135" t="s">
        <v>401</v>
      </c>
    </row>
    <row r="121" spans="1:59" s="99" customFormat="1" ht="21" customHeight="1" x14ac:dyDescent="0.35">
      <c r="A121" s="99">
        <v>395</v>
      </c>
      <c r="B121" s="126" t="str">
        <f t="shared" si="11"/>
        <v>RM-J3/1D-002X600</v>
      </c>
      <c r="C121" s="126" t="s">
        <v>43</v>
      </c>
      <c r="D121" s="126" t="s">
        <v>43</v>
      </c>
      <c r="E121" s="143" t="s">
        <v>706</v>
      </c>
      <c r="F121" s="143" t="s">
        <v>707</v>
      </c>
      <c r="G121" s="126" t="s">
        <v>29</v>
      </c>
      <c r="H121" s="126" t="s">
        <v>139</v>
      </c>
      <c r="I121" s="127">
        <v>2.4</v>
      </c>
      <c r="J121" s="127"/>
      <c r="K121" s="127"/>
      <c r="L121" s="127"/>
      <c r="M121" s="144">
        <v>600</v>
      </c>
      <c r="N121" s="129">
        <v>9.6750000000000007</v>
      </c>
      <c r="O121" s="129"/>
      <c r="P121" s="129"/>
      <c r="Q121" s="130"/>
      <c r="R121" s="131"/>
      <c r="S121" s="131"/>
      <c r="T121" s="132"/>
      <c r="U121" s="132"/>
      <c r="V121" s="132"/>
      <c r="W121" s="132"/>
      <c r="X121" s="132"/>
      <c r="Y121" s="133"/>
      <c r="Z121" s="126" t="s">
        <v>64</v>
      </c>
      <c r="AA121" s="134" t="s">
        <v>468</v>
      </c>
      <c r="AB121" s="134"/>
      <c r="AC121" s="134"/>
      <c r="AD121" s="134">
        <v>44370</v>
      </c>
      <c r="AE121" s="134"/>
      <c r="AF121" s="134">
        <f t="shared" ca="1" si="7"/>
        <v>44963</v>
      </c>
      <c r="AG121" s="126">
        <f t="shared" ca="1" si="8"/>
        <v>593</v>
      </c>
      <c r="AH121" s="126" t="str">
        <f t="shared" si="9"/>
        <v/>
      </c>
      <c r="AI121" s="134" t="s">
        <v>708</v>
      </c>
      <c r="AJ121" s="143" t="s">
        <v>709</v>
      </c>
      <c r="AK121" s="129">
        <v>9.6750000000000007</v>
      </c>
      <c r="AL121" s="129">
        <v>9.7149999999999999</v>
      </c>
      <c r="AM121" s="129">
        <v>9.7399999999999984</v>
      </c>
      <c r="AN121" s="129">
        <v>9.7449999999999992</v>
      </c>
      <c r="AO121" s="126" t="str">
        <f t="shared" si="10"/>
        <v/>
      </c>
      <c r="AR121" s="99" t="s">
        <v>136</v>
      </c>
    </row>
    <row r="122" spans="1:59" s="99" customFormat="1" ht="21" customHeight="1" x14ac:dyDescent="0.35">
      <c r="A122" s="99">
        <v>395</v>
      </c>
      <c r="B122" s="126" t="str">
        <f t="shared" si="11"/>
        <v>RM-J3/1D-002X640</v>
      </c>
      <c r="C122" s="126" t="s">
        <v>43</v>
      </c>
      <c r="D122" s="126" t="s">
        <v>43</v>
      </c>
      <c r="E122" s="143" t="s">
        <v>710</v>
      </c>
      <c r="F122" s="143" t="s">
        <v>711</v>
      </c>
      <c r="G122" s="126" t="s">
        <v>29</v>
      </c>
      <c r="H122" s="126" t="s">
        <v>139</v>
      </c>
      <c r="I122" s="127">
        <v>2.4</v>
      </c>
      <c r="J122" s="127"/>
      <c r="K122" s="127"/>
      <c r="L122" s="127"/>
      <c r="M122" s="144">
        <v>640</v>
      </c>
      <c r="N122" s="129">
        <v>10.315</v>
      </c>
      <c r="O122" s="129"/>
      <c r="P122" s="129"/>
      <c r="Q122" s="130"/>
      <c r="R122" s="131"/>
      <c r="S122" s="131"/>
      <c r="T122" s="132"/>
      <c r="U122" s="132"/>
      <c r="V122" s="132"/>
      <c r="W122" s="132"/>
      <c r="X122" s="132"/>
      <c r="Y122" s="133"/>
      <c r="Z122" s="126" t="s">
        <v>64</v>
      </c>
      <c r="AA122" s="134" t="s">
        <v>468</v>
      </c>
      <c r="AB122" s="134"/>
      <c r="AC122" s="134"/>
      <c r="AD122" s="134">
        <v>44370</v>
      </c>
      <c r="AE122" s="134"/>
      <c r="AF122" s="134">
        <f t="shared" ca="1" si="7"/>
        <v>44963</v>
      </c>
      <c r="AG122" s="126">
        <f t="shared" ca="1" si="8"/>
        <v>593</v>
      </c>
      <c r="AH122" s="126" t="str">
        <f t="shared" si="9"/>
        <v/>
      </c>
      <c r="AI122" s="134" t="s">
        <v>682</v>
      </c>
      <c r="AJ122" s="143" t="s">
        <v>709</v>
      </c>
      <c r="AK122" s="129">
        <v>10.315</v>
      </c>
      <c r="AL122" s="129">
        <v>10.355</v>
      </c>
      <c r="AM122" s="129">
        <v>10.379999999999999</v>
      </c>
      <c r="AN122" s="129">
        <v>10.385</v>
      </c>
      <c r="AO122" s="126" t="str">
        <f t="shared" si="10"/>
        <v/>
      </c>
      <c r="AR122" s="99" t="s">
        <v>136</v>
      </c>
    </row>
    <row r="123" spans="1:59" s="99" customFormat="1" ht="21" customHeight="1" x14ac:dyDescent="0.35">
      <c r="A123" s="99">
        <v>395</v>
      </c>
      <c r="B123" s="126" t="str">
        <f t="shared" si="11"/>
        <v>WIP-J3/2B-001X600</v>
      </c>
      <c r="C123" s="126" t="s">
        <v>14</v>
      </c>
      <c r="D123" s="126" t="s">
        <v>358</v>
      </c>
      <c r="E123" s="143" t="s">
        <v>712</v>
      </c>
      <c r="F123" s="143" t="s">
        <v>713</v>
      </c>
      <c r="G123" s="126" t="s">
        <v>29</v>
      </c>
      <c r="H123" s="126" t="s">
        <v>116</v>
      </c>
      <c r="I123" s="127">
        <v>2.4</v>
      </c>
      <c r="J123" s="127">
        <v>1.1000000000000001</v>
      </c>
      <c r="K123" s="127">
        <v>1.0900000000000001</v>
      </c>
      <c r="L123" s="127">
        <v>1.1100000000000001</v>
      </c>
      <c r="M123" s="144">
        <v>600</v>
      </c>
      <c r="N123" s="129">
        <v>9.6300000000000008</v>
      </c>
      <c r="O123" s="129" t="s">
        <v>116</v>
      </c>
      <c r="P123" s="129"/>
      <c r="Q123" s="130" t="s">
        <v>412</v>
      </c>
      <c r="R123" s="131"/>
      <c r="S123" s="131"/>
      <c r="T123" s="132">
        <v>44571</v>
      </c>
      <c r="U123" s="132">
        <v>44571</v>
      </c>
      <c r="V123" s="132">
        <v>44615</v>
      </c>
      <c r="W123" s="132"/>
      <c r="X123" s="132"/>
      <c r="Y123" s="133"/>
      <c r="Z123" s="126" t="s">
        <v>64</v>
      </c>
      <c r="AA123" s="134" t="s">
        <v>468</v>
      </c>
      <c r="AB123" s="134"/>
      <c r="AC123" s="134"/>
      <c r="AD123" s="134">
        <v>44370</v>
      </c>
      <c r="AE123" s="134"/>
      <c r="AF123" s="134">
        <f t="shared" ca="1" si="7"/>
        <v>44963</v>
      </c>
      <c r="AG123" s="126">
        <f t="shared" ca="1" si="8"/>
        <v>593</v>
      </c>
      <c r="AH123" s="126">
        <f t="shared" ca="1" si="9"/>
        <v>348</v>
      </c>
      <c r="AI123" s="134" t="s">
        <v>686</v>
      </c>
      <c r="AJ123" s="143" t="s">
        <v>714</v>
      </c>
      <c r="AK123" s="129">
        <v>9.67</v>
      </c>
      <c r="AL123" s="129">
        <v>9.7099999999999991</v>
      </c>
      <c r="AM123" s="129">
        <v>9.7349999999999977</v>
      </c>
      <c r="AN123" s="129">
        <v>9.7399999999999984</v>
      </c>
      <c r="AO123" s="126">
        <f t="shared" ca="1" si="10"/>
        <v>392</v>
      </c>
      <c r="AR123" s="99" t="s">
        <v>136</v>
      </c>
    </row>
    <row r="124" spans="1:59" s="99" customFormat="1" ht="21" customHeight="1" x14ac:dyDescent="0.35">
      <c r="A124" s="99">
        <v>395</v>
      </c>
      <c r="B124" s="126" t="str">
        <f t="shared" si="11"/>
        <v>RM-J3/1D-002X595</v>
      </c>
      <c r="C124" s="126" t="s">
        <v>43</v>
      </c>
      <c r="D124" s="126" t="s">
        <v>43</v>
      </c>
      <c r="E124" s="143" t="s">
        <v>715</v>
      </c>
      <c r="F124" s="143" t="s">
        <v>716</v>
      </c>
      <c r="G124" s="126" t="s">
        <v>29</v>
      </c>
      <c r="H124" s="126" t="s">
        <v>139</v>
      </c>
      <c r="I124" s="127">
        <v>2.4</v>
      </c>
      <c r="J124" s="127"/>
      <c r="K124" s="127"/>
      <c r="L124" s="127"/>
      <c r="M124" s="144">
        <v>595</v>
      </c>
      <c r="N124" s="129">
        <v>9.58</v>
      </c>
      <c r="O124" s="129"/>
      <c r="P124" s="129"/>
      <c r="Q124" s="130"/>
      <c r="R124" s="131"/>
      <c r="S124" s="131"/>
      <c r="T124" s="132"/>
      <c r="U124" s="132"/>
      <c r="V124" s="132"/>
      <c r="W124" s="132"/>
      <c r="X124" s="132"/>
      <c r="Y124" s="133"/>
      <c r="Z124" s="126" t="s">
        <v>64</v>
      </c>
      <c r="AA124" s="134" t="s">
        <v>468</v>
      </c>
      <c r="AB124" s="134"/>
      <c r="AC124" s="134"/>
      <c r="AD124" s="134">
        <v>44370</v>
      </c>
      <c r="AE124" s="134"/>
      <c r="AF124" s="134">
        <f t="shared" ca="1" si="7"/>
        <v>44963</v>
      </c>
      <c r="AG124" s="126">
        <f t="shared" ca="1" si="8"/>
        <v>593</v>
      </c>
      <c r="AH124" s="126" t="str">
        <f t="shared" si="9"/>
        <v/>
      </c>
      <c r="AI124" s="134" t="s">
        <v>717</v>
      </c>
      <c r="AJ124" s="143" t="s">
        <v>718</v>
      </c>
      <c r="AK124" s="129">
        <v>9.58</v>
      </c>
      <c r="AL124" s="129">
        <v>9.6199999999999992</v>
      </c>
      <c r="AM124" s="129">
        <v>9.6449999999999978</v>
      </c>
      <c r="AN124" s="129">
        <v>9.6499999999999986</v>
      </c>
      <c r="AO124" s="126" t="str">
        <f t="shared" si="10"/>
        <v/>
      </c>
      <c r="AR124" s="99" t="s">
        <v>136</v>
      </c>
    </row>
    <row r="125" spans="1:59" s="99" customFormat="1" ht="21" customHeight="1" x14ac:dyDescent="0.35">
      <c r="A125" s="99">
        <v>397</v>
      </c>
      <c r="B125" s="126" t="str">
        <f t="shared" si="11"/>
        <v>RM-J3/1D-002X595</v>
      </c>
      <c r="C125" s="126" t="s">
        <v>43</v>
      </c>
      <c r="D125" s="126" t="s">
        <v>43</v>
      </c>
      <c r="E125" s="143" t="s">
        <v>719</v>
      </c>
      <c r="F125" s="143" t="s">
        <v>720</v>
      </c>
      <c r="G125" s="126" t="s">
        <v>29</v>
      </c>
      <c r="H125" s="126" t="s">
        <v>139</v>
      </c>
      <c r="I125" s="127">
        <v>2.4</v>
      </c>
      <c r="J125" s="127"/>
      <c r="K125" s="127"/>
      <c r="L125" s="127"/>
      <c r="M125" s="144">
        <v>595</v>
      </c>
      <c r="N125" s="129">
        <v>8.2330000000000005</v>
      </c>
      <c r="O125" s="129"/>
      <c r="P125" s="129"/>
      <c r="Q125" s="130"/>
      <c r="R125" s="131"/>
      <c r="S125" s="131"/>
      <c r="T125" s="132"/>
      <c r="U125" s="132"/>
      <c r="V125" s="132"/>
      <c r="W125" s="132"/>
      <c r="X125" s="132"/>
      <c r="Y125" s="133"/>
      <c r="Z125" s="126" t="s">
        <v>64</v>
      </c>
      <c r="AA125" s="134" t="s">
        <v>468</v>
      </c>
      <c r="AB125" s="134"/>
      <c r="AC125" s="134"/>
      <c r="AD125" s="134">
        <v>44373</v>
      </c>
      <c r="AE125" s="134"/>
      <c r="AF125" s="134">
        <f t="shared" ca="1" si="7"/>
        <v>44963</v>
      </c>
      <c r="AG125" s="126">
        <f t="shared" ca="1" si="8"/>
        <v>590</v>
      </c>
      <c r="AH125" s="126" t="str">
        <f t="shared" si="9"/>
        <v/>
      </c>
      <c r="AI125" s="134" t="s">
        <v>721</v>
      </c>
      <c r="AJ125" s="143" t="s">
        <v>722</v>
      </c>
      <c r="AK125" s="129">
        <v>8.2330000000000005</v>
      </c>
      <c r="AL125" s="129">
        <v>8.2729999999999997</v>
      </c>
      <c r="AM125" s="129">
        <v>8.2979999999999983</v>
      </c>
      <c r="AN125" s="129">
        <v>8.302999999999999</v>
      </c>
      <c r="AO125" s="126" t="str">
        <f t="shared" si="10"/>
        <v/>
      </c>
      <c r="AR125" s="99" t="s">
        <v>136</v>
      </c>
    </row>
    <row r="126" spans="1:59" s="99" customFormat="1" ht="21" customHeight="1" x14ac:dyDescent="0.35">
      <c r="A126" s="99">
        <v>397</v>
      </c>
      <c r="B126" s="126" t="str">
        <f t="shared" si="11"/>
        <v>RM-J3/1D-002X595</v>
      </c>
      <c r="C126" s="126" t="s">
        <v>43</v>
      </c>
      <c r="D126" s="126" t="s">
        <v>43</v>
      </c>
      <c r="E126" s="143" t="s">
        <v>723</v>
      </c>
      <c r="F126" s="143" t="s">
        <v>724</v>
      </c>
      <c r="G126" s="126" t="s">
        <v>29</v>
      </c>
      <c r="H126" s="126" t="s">
        <v>139</v>
      </c>
      <c r="I126" s="127">
        <v>2.2000000000000002</v>
      </c>
      <c r="J126" s="127"/>
      <c r="K126" s="127"/>
      <c r="L126" s="127"/>
      <c r="M126" s="144">
        <v>595</v>
      </c>
      <c r="N126" s="129">
        <v>8.1989999999999998</v>
      </c>
      <c r="O126" s="129"/>
      <c r="P126" s="129"/>
      <c r="Q126" s="130"/>
      <c r="R126" s="131"/>
      <c r="S126" s="131"/>
      <c r="T126" s="132"/>
      <c r="U126" s="132"/>
      <c r="V126" s="132"/>
      <c r="W126" s="132"/>
      <c r="X126" s="132"/>
      <c r="Y126" s="133"/>
      <c r="Z126" s="126" t="s">
        <v>64</v>
      </c>
      <c r="AA126" s="134" t="s">
        <v>468</v>
      </c>
      <c r="AB126" s="134"/>
      <c r="AC126" s="134"/>
      <c r="AD126" s="134">
        <v>44373</v>
      </c>
      <c r="AE126" s="134"/>
      <c r="AF126" s="134">
        <f t="shared" ca="1" si="7"/>
        <v>44963</v>
      </c>
      <c r="AG126" s="126">
        <f t="shared" ca="1" si="8"/>
        <v>590</v>
      </c>
      <c r="AH126" s="126" t="str">
        <f t="shared" si="9"/>
        <v/>
      </c>
      <c r="AI126" s="134" t="s">
        <v>725</v>
      </c>
      <c r="AJ126" s="143" t="s">
        <v>726</v>
      </c>
      <c r="AK126" s="129">
        <v>8.1989999999999998</v>
      </c>
      <c r="AL126" s="129">
        <v>8.238999999999999</v>
      </c>
      <c r="AM126" s="129">
        <v>8.2639999999999976</v>
      </c>
      <c r="AN126" s="129">
        <v>8.2689999999999984</v>
      </c>
      <c r="AO126" s="126" t="str">
        <f t="shared" si="10"/>
        <v/>
      </c>
      <c r="AR126" s="99" t="s">
        <v>136</v>
      </c>
    </row>
    <row r="127" spans="1:59" s="99" customFormat="1" ht="21" customHeight="1" x14ac:dyDescent="0.35">
      <c r="A127" s="99">
        <v>397</v>
      </c>
      <c r="B127" s="126" t="str">
        <f t="shared" si="11"/>
        <v>RM-J3/1D-002X595</v>
      </c>
      <c r="C127" s="126" t="s">
        <v>43</v>
      </c>
      <c r="D127" s="126" t="s">
        <v>43</v>
      </c>
      <c r="E127" s="143" t="s">
        <v>727</v>
      </c>
      <c r="F127" s="143" t="s">
        <v>728</v>
      </c>
      <c r="G127" s="126" t="s">
        <v>29</v>
      </c>
      <c r="H127" s="126" t="s">
        <v>139</v>
      </c>
      <c r="I127" s="127">
        <v>2.4</v>
      </c>
      <c r="J127" s="127"/>
      <c r="K127" s="127"/>
      <c r="L127" s="127"/>
      <c r="M127" s="144">
        <v>595</v>
      </c>
      <c r="N127" s="129">
        <v>8.2469999999999999</v>
      </c>
      <c r="O127" s="129"/>
      <c r="P127" s="129"/>
      <c r="Q127" s="130"/>
      <c r="R127" s="131"/>
      <c r="S127" s="131"/>
      <c r="T127" s="132"/>
      <c r="U127" s="132"/>
      <c r="V127" s="132"/>
      <c r="W127" s="132"/>
      <c r="X127" s="132"/>
      <c r="Y127" s="133"/>
      <c r="Z127" s="126" t="s">
        <v>64</v>
      </c>
      <c r="AA127" s="134" t="s">
        <v>468</v>
      </c>
      <c r="AB127" s="134"/>
      <c r="AC127" s="134"/>
      <c r="AD127" s="134">
        <v>44373</v>
      </c>
      <c r="AE127" s="134"/>
      <c r="AF127" s="134">
        <f t="shared" ca="1" si="7"/>
        <v>44963</v>
      </c>
      <c r="AG127" s="126">
        <f t="shared" ca="1" si="8"/>
        <v>590</v>
      </c>
      <c r="AH127" s="126" t="str">
        <f t="shared" si="9"/>
        <v/>
      </c>
      <c r="AI127" s="134" t="s">
        <v>729</v>
      </c>
      <c r="AJ127" s="143" t="s">
        <v>730</v>
      </c>
      <c r="AK127" s="129">
        <v>8.2469999999999999</v>
      </c>
      <c r="AL127" s="129">
        <v>8.286999999999999</v>
      </c>
      <c r="AM127" s="129">
        <v>8.3119999999999976</v>
      </c>
      <c r="AN127" s="129">
        <v>8.3169999999999984</v>
      </c>
      <c r="AO127" s="126" t="str">
        <f t="shared" si="10"/>
        <v/>
      </c>
      <c r="AR127" s="99" t="s">
        <v>136</v>
      </c>
    </row>
    <row r="128" spans="1:59" s="99" customFormat="1" ht="21" customHeight="1" x14ac:dyDescent="0.35">
      <c r="A128" s="99">
        <v>397</v>
      </c>
      <c r="B128" s="126" t="str">
        <f t="shared" si="11"/>
        <v>RM-J3/1D-002X595</v>
      </c>
      <c r="C128" s="126" t="s">
        <v>43</v>
      </c>
      <c r="D128" s="126" t="s">
        <v>43</v>
      </c>
      <c r="E128" s="143" t="s">
        <v>731</v>
      </c>
      <c r="F128" s="143" t="s">
        <v>732</v>
      </c>
      <c r="G128" s="126" t="s">
        <v>29</v>
      </c>
      <c r="H128" s="126" t="s">
        <v>139</v>
      </c>
      <c r="I128" s="127">
        <v>2.2000000000000002</v>
      </c>
      <c r="J128" s="127"/>
      <c r="K128" s="127"/>
      <c r="L128" s="127"/>
      <c r="M128" s="144">
        <v>595</v>
      </c>
      <c r="N128" s="129">
        <v>8.2550000000000008</v>
      </c>
      <c r="O128" s="129"/>
      <c r="P128" s="129"/>
      <c r="Q128" s="130"/>
      <c r="R128" s="131"/>
      <c r="S128" s="131"/>
      <c r="T128" s="132"/>
      <c r="U128" s="132"/>
      <c r="V128" s="132"/>
      <c r="W128" s="132"/>
      <c r="X128" s="132"/>
      <c r="Y128" s="133"/>
      <c r="Z128" s="126" t="s">
        <v>64</v>
      </c>
      <c r="AA128" s="134" t="s">
        <v>468</v>
      </c>
      <c r="AB128" s="134"/>
      <c r="AC128" s="134"/>
      <c r="AD128" s="134">
        <v>44373</v>
      </c>
      <c r="AE128" s="134"/>
      <c r="AF128" s="134">
        <f t="shared" ca="1" si="7"/>
        <v>44963</v>
      </c>
      <c r="AG128" s="126">
        <f t="shared" ca="1" si="8"/>
        <v>590</v>
      </c>
      <c r="AH128" s="126" t="str">
        <f t="shared" si="9"/>
        <v/>
      </c>
      <c r="AI128" s="134" t="s">
        <v>733</v>
      </c>
      <c r="AJ128" s="143" t="s">
        <v>734</v>
      </c>
      <c r="AK128" s="129">
        <v>8.2550000000000008</v>
      </c>
      <c r="AL128" s="129">
        <v>8.2949999999999999</v>
      </c>
      <c r="AM128" s="129">
        <v>8.3199999999999985</v>
      </c>
      <c r="AN128" s="129">
        <v>8.3249999999999993</v>
      </c>
      <c r="AO128" s="126" t="str">
        <f t="shared" si="10"/>
        <v/>
      </c>
      <c r="AR128" s="99" t="s">
        <v>136</v>
      </c>
    </row>
    <row r="129" spans="1:59" s="99" customFormat="1" ht="21" customHeight="1" x14ac:dyDescent="0.35">
      <c r="A129" s="99">
        <v>397</v>
      </c>
      <c r="B129" s="126" t="str">
        <f t="shared" si="11"/>
        <v>RM-J3/1D-002X595</v>
      </c>
      <c r="C129" s="126" t="s">
        <v>43</v>
      </c>
      <c r="D129" s="126" t="s">
        <v>43</v>
      </c>
      <c r="E129" s="143" t="s">
        <v>735</v>
      </c>
      <c r="F129" s="143" t="s">
        <v>736</v>
      </c>
      <c r="G129" s="126" t="s">
        <v>29</v>
      </c>
      <c r="H129" s="126" t="s">
        <v>139</v>
      </c>
      <c r="I129" s="127">
        <v>2.2000000000000002</v>
      </c>
      <c r="J129" s="127"/>
      <c r="K129" s="127"/>
      <c r="L129" s="127"/>
      <c r="M129" s="144">
        <v>595</v>
      </c>
      <c r="N129" s="129">
        <v>8.1809999999999992</v>
      </c>
      <c r="O129" s="129"/>
      <c r="P129" s="129"/>
      <c r="Q129" s="130"/>
      <c r="R129" s="131"/>
      <c r="S129" s="131"/>
      <c r="T129" s="132"/>
      <c r="U129" s="132"/>
      <c r="V129" s="132"/>
      <c r="W129" s="132"/>
      <c r="X129" s="132"/>
      <c r="Y129" s="133"/>
      <c r="Z129" s="126" t="s">
        <v>64</v>
      </c>
      <c r="AA129" s="134" t="s">
        <v>468</v>
      </c>
      <c r="AB129" s="134"/>
      <c r="AC129" s="134"/>
      <c r="AD129" s="134">
        <v>44373</v>
      </c>
      <c r="AE129" s="134"/>
      <c r="AF129" s="134">
        <f t="shared" ca="1" si="7"/>
        <v>44963</v>
      </c>
      <c r="AG129" s="126">
        <f t="shared" ca="1" si="8"/>
        <v>590</v>
      </c>
      <c r="AH129" s="126" t="str">
        <f t="shared" si="9"/>
        <v/>
      </c>
      <c r="AI129" s="134" t="s">
        <v>737</v>
      </c>
      <c r="AJ129" s="143" t="s">
        <v>738</v>
      </c>
      <c r="AK129" s="129">
        <v>8.1809999999999992</v>
      </c>
      <c r="AL129" s="129">
        <v>8.2209999999999983</v>
      </c>
      <c r="AM129" s="129">
        <v>8.2459999999999969</v>
      </c>
      <c r="AN129" s="129">
        <v>8.2509999999999977</v>
      </c>
      <c r="AO129" s="126" t="str">
        <f t="shared" si="10"/>
        <v/>
      </c>
      <c r="AR129" s="99" t="s">
        <v>136</v>
      </c>
    </row>
    <row r="130" spans="1:59" s="99" customFormat="1" ht="21" customHeight="1" x14ac:dyDescent="0.35">
      <c r="A130" s="99">
        <v>397</v>
      </c>
      <c r="B130" s="126" t="str">
        <f t="shared" si="11"/>
        <v>WIP-J3/2B-001X615</v>
      </c>
      <c r="C130" s="126" t="s">
        <v>14</v>
      </c>
      <c r="D130" s="126" t="s">
        <v>358</v>
      </c>
      <c r="E130" s="143" t="s">
        <v>739</v>
      </c>
      <c r="F130" s="143" t="s">
        <v>740</v>
      </c>
      <c r="G130" s="126" t="s">
        <v>29</v>
      </c>
      <c r="H130" s="126" t="s">
        <v>116</v>
      </c>
      <c r="I130" s="127">
        <v>2.4</v>
      </c>
      <c r="J130" s="127">
        <v>1.1000000000000001</v>
      </c>
      <c r="K130" s="127">
        <v>1.1000000000000001</v>
      </c>
      <c r="L130" s="127">
        <v>1.1200000000000001</v>
      </c>
      <c r="M130" s="144">
        <v>615</v>
      </c>
      <c r="N130" s="129">
        <v>9.8249999999999993</v>
      </c>
      <c r="O130" s="129" t="s">
        <v>116</v>
      </c>
      <c r="P130" s="129"/>
      <c r="Q130" s="130" t="s">
        <v>412</v>
      </c>
      <c r="R130" s="131"/>
      <c r="S130" s="131"/>
      <c r="T130" s="132">
        <v>44571</v>
      </c>
      <c r="U130" s="132">
        <v>44572</v>
      </c>
      <c r="V130" s="132">
        <v>44594</v>
      </c>
      <c r="W130" s="132"/>
      <c r="X130" s="132"/>
      <c r="Y130" s="133"/>
      <c r="Z130" s="126" t="s">
        <v>64</v>
      </c>
      <c r="AA130" s="134" t="s">
        <v>468</v>
      </c>
      <c r="AB130" s="134"/>
      <c r="AC130" s="134"/>
      <c r="AD130" s="134">
        <v>44373</v>
      </c>
      <c r="AE130" s="134"/>
      <c r="AF130" s="134">
        <f t="shared" ca="1" si="7"/>
        <v>44963</v>
      </c>
      <c r="AG130" s="126">
        <f t="shared" ca="1" si="8"/>
        <v>590</v>
      </c>
      <c r="AH130" s="126">
        <f t="shared" ca="1" si="9"/>
        <v>369</v>
      </c>
      <c r="AI130" s="134" t="s">
        <v>729</v>
      </c>
      <c r="AJ130" s="143" t="s">
        <v>741</v>
      </c>
      <c r="AK130" s="129">
        <v>9.8569999999999993</v>
      </c>
      <c r="AL130" s="129">
        <v>9.8969999999999985</v>
      </c>
      <c r="AM130" s="129">
        <v>9.921999999999997</v>
      </c>
      <c r="AN130" s="129">
        <v>9.9269999999999978</v>
      </c>
      <c r="AO130" s="126">
        <f t="shared" ca="1" si="10"/>
        <v>391</v>
      </c>
      <c r="AR130" s="99" t="s">
        <v>136</v>
      </c>
    </row>
    <row r="131" spans="1:59" s="99" customFormat="1" ht="21" customHeight="1" x14ac:dyDescent="0.35">
      <c r="A131" s="99">
        <v>397</v>
      </c>
      <c r="B131" s="126" t="str">
        <f t="shared" si="11"/>
        <v>RM-J3/1D-002X615</v>
      </c>
      <c r="C131" s="126" t="s">
        <v>43</v>
      </c>
      <c r="D131" s="126" t="s">
        <v>43</v>
      </c>
      <c r="E131" s="143" t="s">
        <v>742</v>
      </c>
      <c r="F131" s="143" t="s">
        <v>743</v>
      </c>
      <c r="G131" s="126" t="s">
        <v>29</v>
      </c>
      <c r="H131" s="126" t="s">
        <v>139</v>
      </c>
      <c r="I131" s="127">
        <v>2.2000000000000002</v>
      </c>
      <c r="J131" s="127"/>
      <c r="K131" s="127"/>
      <c r="L131" s="127"/>
      <c r="M131" s="144">
        <v>615</v>
      </c>
      <c r="N131" s="129">
        <v>9.9529999999999994</v>
      </c>
      <c r="O131" s="129"/>
      <c r="P131" s="129"/>
      <c r="Q131" s="130"/>
      <c r="R131" s="131"/>
      <c r="S131" s="131"/>
      <c r="T131" s="132"/>
      <c r="U131" s="132"/>
      <c r="V131" s="132"/>
      <c r="W131" s="132"/>
      <c r="X131" s="132"/>
      <c r="Y131" s="133"/>
      <c r="Z131" s="126" t="s">
        <v>64</v>
      </c>
      <c r="AA131" s="134" t="s">
        <v>468</v>
      </c>
      <c r="AB131" s="134"/>
      <c r="AC131" s="134"/>
      <c r="AD131" s="134">
        <v>44373</v>
      </c>
      <c r="AE131" s="134"/>
      <c r="AF131" s="134">
        <f t="shared" ca="1" si="7"/>
        <v>44963</v>
      </c>
      <c r="AG131" s="126">
        <f t="shared" ca="1" si="8"/>
        <v>590</v>
      </c>
      <c r="AH131" s="126" t="str">
        <f t="shared" si="9"/>
        <v/>
      </c>
      <c r="AI131" s="134" t="s">
        <v>737</v>
      </c>
      <c r="AJ131" s="143" t="s">
        <v>738</v>
      </c>
      <c r="AK131" s="129">
        <v>9.9529999999999994</v>
      </c>
      <c r="AL131" s="129">
        <v>9.9929999999999986</v>
      </c>
      <c r="AM131" s="129">
        <v>10.017999999999997</v>
      </c>
      <c r="AN131" s="129">
        <v>10.022999999999998</v>
      </c>
      <c r="AO131" s="126" t="str">
        <f t="shared" si="10"/>
        <v/>
      </c>
      <c r="AR131" s="99" t="s">
        <v>136</v>
      </c>
    </row>
    <row r="132" spans="1:59" s="99" customFormat="1" ht="21" customHeight="1" x14ac:dyDescent="0.35">
      <c r="A132" s="99">
        <v>400</v>
      </c>
      <c r="B132" s="126" t="str">
        <f t="shared" si="11"/>
        <v>WIP-J3/2B-001X620</v>
      </c>
      <c r="C132" s="126" t="s">
        <v>14</v>
      </c>
      <c r="D132" s="126" t="s">
        <v>358</v>
      </c>
      <c r="E132" s="143" t="s">
        <v>744</v>
      </c>
      <c r="F132" s="143" t="s">
        <v>745</v>
      </c>
      <c r="G132" s="126" t="s">
        <v>29</v>
      </c>
      <c r="H132" s="126" t="s">
        <v>116</v>
      </c>
      <c r="I132" s="127">
        <v>2.2000000000000002</v>
      </c>
      <c r="J132" s="127">
        <v>0.75</v>
      </c>
      <c r="K132" s="127">
        <v>0.74</v>
      </c>
      <c r="L132" s="127">
        <v>0.75</v>
      </c>
      <c r="M132" s="144">
        <v>620</v>
      </c>
      <c r="N132" s="129">
        <v>9.9550000000000001</v>
      </c>
      <c r="O132" s="129" t="s">
        <v>116</v>
      </c>
      <c r="P132" s="129"/>
      <c r="Q132" s="130" t="s">
        <v>412</v>
      </c>
      <c r="R132" s="131"/>
      <c r="S132" s="131"/>
      <c r="T132" s="132">
        <v>44429</v>
      </c>
      <c r="U132" s="132">
        <v>44429</v>
      </c>
      <c r="V132" s="132">
        <v>44453</v>
      </c>
      <c r="W132" s="132"/>
      <c r="X132" s="132"/>
      <c r="Y132" s="133"/>
      <c r="Z132" s="126" t="s">
        <v>64</v>
      </c>
      <c r="AA132" s="134" t="s">
        <v>322</v>
      </c>
      <c r="AB132" s="134"/>
      <c r="AC132" s="134"/>
      <c r="AD132" s="134">
        <v>44384</v>
      </c>
      <c r="AE132" s="134"/>
      <c r="AF132" s="134">
        <f t="shared" ca="1" si="7"/>
        <v>44963</v>
      </c>
      <c r="AG132" s="126">
        <f t="shared" ca="1" si="8"/>
        <v>579</v>
      </c>
      <c r="AH132" s="126">
        <f t="shared" ca="1" si="9"/>
        <v>510</v>
      </c>
      <c r="AI132" s="134" t="s">
        <v>746</v>
      </c>
      <c r="AJ132" s="143" t="s">
        <v>747</v>
      </c>
      <c r="AK132" s="129">
        <v>9.99</v>
      </c>
      <c r="AL132" s="129">
        <v>10.029999999999999</v>
      </c>
      <c r="AM132" s="129">
        <v>10.054999999999998</v>
      </c>
      <c r="AN132" s="129">
        <v>10.059999999999999</v>
      </c>
      <c r="AO132" s="126">
        <f t="shared" ca="1" si="10"/>
        <v>534</v>
      </c>
      <c r="AR132" s="99" t="s">
        <v>136</v>
      </c>
      <c r="BG132" s="135" t="s">
        <v>401</v>
      </c>
    </row>
    <row r="133" spans="1:59" s="99" customFormat="1" ht="21" customHeight="1" x14ac:dyDescent="0.35">
      <c r="A133" s="99">
        <v>400</v>
      </c>
      <c r="B133" s="126" t="str">
        <f t="shared" si="11"/>
        <v>WIP-J3/2B-001X620</v>
      </c>
      <c r="C133" s="126" t="s">
        <v>14</v>
      </c>
      <c r="D133" s="126" t="s">
        <v>358</v>
      </c>
      <c r="E133" s="143" t="s">
        <v>748</v>
      </c>
      <c r="F133" s="143" t="s">
        <v>749</v>
      </c>
      <c r="G133" s="126" t="s">
        <v>29</v>
      </c>
      <c r="H133" s="126" t="s">
        <v>116</v>
      </c>
      <c r="I133" s="127">
        <v>2.2000000000000002</v>
      </c>
      <c r="J133" s="127">
        <v>0.75</v>
      </c>
      <c r="K133" s="127">
        <v>0.74</v>
      </c>
      <c r="L133" s="127">
        <v>0.75</v>
      </c>
      <c r="M133" s="144">
        <v>620</v>
      </c>
      <c r="N133" s="129">
        <v>9.9649999999999999</v>
      </c>
      <c r="O133" s="129" t="s">
        <v>116</v>
      </c>
      <c r="P133" s="129"/>
      <c r="Q133" s="130" t="s">
        <v>412</v>
      </c>
      <c r="R133" s="130" t="s">
        <v>291</v>
      </c>
      <c r="S133" s="131"/>
      <c r="T133" s="132">
        <v>44430</v>
      </c>
      <c r="U133" s="132">
        <v>44430</v>
      </c>
      <c r="V133" s="132">
        <v>44615</v>
      </c>
      <c r="W133" s="132"/>
      <c r="X133" s="132"/>
      <c r="Y133" s="133"/>
      <c r="Z133" s="126" t="s">
        <v>64</v>
      </c>
      <c r="AA133" s="134" t="s">
        <v>322</v>
      </c>
      <c r="AB133" s="134"/>
      <c r="AC133" s="134"/>
      <c r="AD133" s="134">
        <v>44384</v>
      </c>
      <c r="AE133" s="134"/>
      <c r="AF133" s="134">
        <f t="shared" ref="AF133:AF196" ca="1" si="12">TODAY()</f>
        <v>44963</v>
      </c>
      <c r="AG133" s="126">
        <f t="shared" ref="AG133:AG196" ca="1" si="13">IF(AD133&lt;&gt;0,AF133-AD133,0)</f>
        <v>579</v>
      </c>
      <c r="AH133" s="126">
        <f t="shared" ref="AH133:AH196" ca="1" si="14">IF(ISNUMBER(V133)=TRUE,AF133-V133,IF(V133="","",(AF133)-(MID(RIGHT(V133,10),4,2)&amp;"/"&amp;LEFT((RIGHT(V133,10)),2)&amp;"/"&amp;RIGHT(V133,4))))</f>
        <v>348</v>
      </c>
      <c r="AI133" s="134" t="s">
        <v>746</v>
      </c>
      <c r="AJ133" s="143" t="s">
        <v>747</v>
      </c>
      <c r="AK133" s="129">
        <v>10.01</v>
      </c>
      <c r="AL133" s="129">
        <v>10.049999999999999</v>
      </c>
      <c r="AM133" s="129">
        <v>10.074999999999998</v>
      </c>
      <c r="AN133" s="129">
        <v>10.079999999999998</v>
      </c>
      <c r="AO133" s="126">
        <f t="shared" ref="AO133:AO196" ca="1" si="15">IF(ISNUMBER(U133)=TRUE,AF133-U133,IF(U133="","",(AF133)-(MID(RIGHT(U133,10),4,2)&amp;"/"&amp;LEFT((RIGHT(U133,10)),2)&amp;"/"&amp;RIGHT(U133,4))))</f>
        <v>533</v>
      </c>
      <c r="AR133" s="99" t="s">
        <v>136</v>
      </c>
      <c r="BG133" s="135" t="s">
        <v>750</v>
      </c>
    </row>
    <row r="134" spans="1:59" s="99" customFormat="1" ht="21" customHeight="1" x14ac:dyDescent="0.35">
      <c r="A134" s="99">
        <v>400</v>
      </c>
      <c r="B134" s="126" t="str">
        <f t="shared" si="11"/>
        <v>RM-J3/1D-002X620</v>
      </c>
      <c r="C134" s="126" t="s">
        <v>43</v>
      </c>
      <c r="D134" s="126" t="s">
        <v>43</v>
      </c>
      <c r="E134" s="143" t="s">
        <v>751</v>
      </c>
      <c r="F134" s="143" t="s">
        <v>752</v>
      </c>
      <c r="G134" s="126" t="s">
        <v>29</v>
      </c>
      <c r="H134" s="126" t="s">
        <v>139</v>
      </c>
      <c r="I134" s="127">
        <v>2.4</v>
      </c>
      <c r="J134" s="127"/>
      <c r="K134" s="127"/>
      <c r="L134" s="127"/>
      <c r="M134" s="144">
        <v>620</v>
      </c>
      <c r="N134" s="129">
        <v>10.1</v>
      </c>
      <c r="O134" s="129"/>
      <c r="P134" s="129"/>
      <c r="Q134" s="130"/>
      <c r="R134" s="131"/>
      <c r="S134" s="131"/>
      <c r="T134" s="132"/>
      <c r="U134" s="132"/>
      <c r="V134" s="132"/>
      <c r="W134" s="132"/>
      <c r="X134" s="132"/>
      <c r="Y134" s="133"/>
      <c r="Z134" s="126" t="s">
        <v>64</v>
      </c>
      <c r="AA134" s="134" t="s">
        <v>322</v>
      </c>
      <c r="AB134" s="134"/>
      <c r="AC134" s="134"/>
      <c r="AD134" s="134">
        <v>44384</v>
      </c>
      <c r="AE134" s="134"/>
      <c r="AF134" s="134">
        <f t="shared" ca="1" si="12"/>
        <v>44963</v>
      </c>
      <c r="AG134" s="126">
        <f t="shared" ca="1" si="13"/>
        <v>579</v>
      </c>
      <c r="AH134" s="126" t="str">
        <f t="shared" si="14"/>
        <v/>
      </c>
      <c r="AI134" s="134" t="s">
        <v>753</v>
      </c>
      <c r="AJ134" s="143" t="s">
        <v>754</v>
      </c>
      <c r="AK134" s="129">
        <v>10.1</v>
      </c>
      <c r="AL134" s="129">
        <v>10.139999999999999</v>
      </c>
      <c r="AM134" s="129">
        <v>10.164999999999997</v>
      </c>
      <c r="AN134" s="129">
        <v>10.169999999999998</v>
      </c>
      <c r="AO134" s="126" t="str">
        <f t="shared" si="15"/>
        <v/>
      </c>
      <c r="AR134" s="99" t="s">
        <v>136</v>
      </c>
    </row>
    <row r="135" spans="1:59" s="99" customFormat="1" ht="21" customHeight="1" x14ac:dyDescent="0.35">
      <c r="A135" s="99">
        <v>400</v>
      </c>
      <c r="B135" s="126" t="str">
        <f t="shared" si="11"/>
        <v>RM-J3/1D-002X620</v>
      </c>
      <c r="C135" s="126" t="s">
        <v>43</v>
      </c>
      <c r="D135" s="126" t="s">
        <v>43</v>
      </c>
      <c r="E135" s="143" t="s">
        <v>755</v>
      </c>
      <c r="F135" s="143" t="s">
        <v>756</v>
      </c>
      <c r="G135" s="126" t="s">
        <v>29</v>
      </c>
      <c r="H135" s="126" t="s">
        <v>139</v>
      </c>
      <c r="I135" s="127">
        <v>2.4</v>
      </c>
      <c r="J135" s="127"/>
      <c r="K135" s="127"/>
      <c r="L135" s="127"/>
      <c r="M135" s="144">
        <v>620</v>
      </c>
      <c r="N135" s="129">
        <v>10.025</v>
      </c>
      <c r="O135" s="129"/>
      <c r="P135" s="129"/>
      <c r="Q135" s="130"/>
      <c r="R135" s="131"/>
      <c r="S135" s="131"/>
      <c r="T135" s="132"/>
      <c r="U135" s="132"/>
      <c r="V135" s="132"/>
      <c r="W135" s="132"/>
      <c r="X135" s="132"/>
      <c r="Y135" s="133"/>
      <c r="Z135" s="126" t="s">
        <v>64</v>
      </c>
      <c r="AA135" s="134" t="s">
        <v>322</v>
      </c>
      <c r="AB135" s="134"/>
      <c r="AC135" s="134"/>
      <c r="AD135" s="134">
        <v>44384</v>
      </c>
      <c r="AE135" s="134"/>
      <c r="AF135" s="134">
        <f t="shared" ca="1" si="12"/>
        <v>44963</v>
      </c>
      <c r="AG135" s="126">
        <f t="shared" ca="1" si="13"/>
        <v>579</v>
      </c>
      <c r="AH135" s="126" t="str">
        <f t="shared" si="14"/>
        <v/>
      </c>
      <c r="AI135" s="134" t="s">
        <v>757</v>
      </c>
      <c r="AJ135" s="143" t="s">
        <v>758</v>
      </c>
      <c r="AK135" s="129">
        <v>10.025</v>
      </c>
      <c r="AL135" s="129">
        <v>10.065</v>
      </c>
      <c r="AM135" s="129">
        <v>10.089999999999998</v>
      </c>
      <c r="AN135" s="129">
        <v>10.094999999999999</v>
      </c>
      <c r="AO135" s="126" t="str">
        <f t="shared" si="15"/>
        <v/>
      </c>
      <c r="AR135" s="99" t="s">
        <v>136</v>
      </c>
    </row>
    <row r="136" spans="1:59" s="99" customFormat="1" ht="21" customHeight="1" x14ac:dyDescent="0.35">
      <c r="A136" s="99">
        <v>400</v>
      </c>
      <c r="B136" s="126" t="str">
        <f t="shared" si="11"/>
        <v>RM-J3/1D-002X620</v>
      </c>
      <c r="C136" s="126" t="s">
        <v>43</v>
      </c>
      <c r="D136" s="126" t="s">
        <v>43</v>
      </c>
      <c r="E136" s="143" t="s">
        <v>759</v>
      </c>
      <c r="F136" s="143" t="s">
        <v>760</v>
      </c>
      <c r="G136" s="126" t="s">
        <v>29</v>
      </c>
      <c r="H136" s="126" t="s">
        <v>139</v>
      </c>
      <c r="I136" s="127">
        <v>2.4</v>
      </c>
      <c r="J136" s="127"/>
      <c r="K136" s="127"/>
      <c r="L136" s="127"/>
      <c r="M136" s="144">
        <v>620</v>
      </c>
      <c r="N136" s="129">
        <v>9.9350000000000005</v>
      </c>
      <c r="O136" s="129"/>
      <c r="P136" s="129"/>
      <c r="Q136" s="130"/>
      <c r="R136" s="131"/>
      <c r="S136" s="131"/>
      <c r="T136" s="132"/>
      <c r="U136" s="132"/>
      <c r="V136" s="132"/>
      <c r="W136" s="132"/>
      <c r="X136" s="132"/>
      <c r="Y136" s="133"/>
      <c r="Z136" s="126" t="s">
        <v>64</v>
      </c>
      <c r="AA136" s="134" t="s">
        <v>322</v>
      </c>
      <c r="AB136" s="134"/>
      <c r="AC136" s="134"/>
      <c r="AD136" s="134">
        <v>44384</v>
      </c>
      <c r="AE136" s="134"/>
      <c r="AF136" s="134">
        <f t="shared" ca="1" si="12"/>
        <v>44963</v>
      </c>
      <c r="AG136" s="126">
        <f t="shared" ca="1" si="13"/>
        <v>579</v>
      </c>
      <c r="AH136" s="126" t="str">
        <f t="shared" si="14"/>
        <v/>
      </c>
      <c r="AI136" s="134" t="s">
        <v>761</v>
      </c>
      <c r="AJ136" s="143" t="s">
        <v>762</v>
      </c>
      <c r="AK136" s="129">
        <v>9.9350000000000005</v>
      </c>
      <c r="AL136" s="129">
        <v>9.9749999999999996</v>
      </c>
      <c r="AM136" s="129">
        <v>9.9999999999999982</v>
      </c>
      <c r="AN136" s="129">
        <v>10.004999999999999</v>
      </c>
      <c r="AO136" s="126" t="str">
        <f t="shared" si="15"/>
        <v/>
      </c>
      <c r="AR136" s="99" t="s">
        <v>136</v>
      </c>
    </row>
    <row r="137" spans="1:59" s="99" customFormat="1" ht="21" customHeight="1" x14ac:dyDescent="0.35">
      <c r="A137" s="99">
        <v>400</v>
      </c>
      <c r="B137" s="126" t="str">
        <f t="shared" si="11"/>
        <v>WIP-J3/2B-001X620</v>
      </c>
      <c r="C137" s="126" t="s">
        <v>14</v>
      </c>
      <c r="D137" s="126" t="s">
        <v>358</v>
      </c>
      <c r="E137" s="143" t="s">
        <v>763</v>
      </c>
      <c r="F137" s="143" t="s">
        <v>764</v>
      </c>
      <c r="G137" s="126" t="s">
        <v>29</v>
      </c>
      <c r="H137" s="126" t="s">
        <v>116</v>
      </c>
      <c r="I137" s="127">
        <v>2.4</v>
      </c>
      <c r="J137" s="127">
        <v>1.1000000000000001</v>
      </c>
      <c r="K137" s="149">
        <v>1.08</v>
      </c>
      <c r="L137" s="149">
        <v>1.1000000000000001</v>
      </c>
      <c r="M137" s="144">
        <v>620</v>
      </c>
      <c r="N137" s="129">
        <v>10</v>
      </c>
      <c r="O137" s="129" t="s">
        <v>116</v>
      </c>
      <c r="P137" s="129"/>
      <c r="Q137" s="130" t="s">
        <v>412</v>
      </c>
      <c r="R137" s="131"/>
      <c r="S137" s="131"/>
      <c r="T137" s="132">
        <v>44572</v>
      </c>
      <c r="U137" s="132">
        <v>44572</v>
      </c>
      <c r="V137" s="132">
        <v>44596</v>
      </c>
      <c r="W137" s="132"/>
      <c r="X137" s="132"/>
      <c r="Y137" s="133"/>
      <c r="Z137" s="126" t="s">
        <v>64</v>
      </c>
      <c r="AA137" s="134" t="s">
        <v>322</v>
      </c>
      <c r="AB137" s="134"/>
      <c r="AC137" s="134"/>
      <c r="AD137" s="134">
        <v>44384</v>
      </c>
      <c r="AE137" s="134"/>
      <c r="AF137" s="134">
        <f t="shared" ca="1" si="12"/>
        <v>44963</v>
      </c>
      <c r="AG137" s="126">
        <f t="shared" ca="1" si="13"/>
        <v>579</v>
      </c>
      <c r="AH137" s="126">
        <f t="shared" ca="1" si="14"/>
        <v>367</v>
      </c>
      <c r="AI137" s="134" t="s">
        <v>761</v>
      </c>
      <c r="AJ137" s="143" t="s">
        <v>762</v>
      </c>
      <c r="AK137" s="129">
        <v>10.029999999999999</v>
      </c>
      <c r="AL137" s="129">
        <v>10.069999999999999</v>
      </c>
      <c r="AM137" s="129">
        <v>10.094999999999997</v>
      </c>
      <c r="AN137" s="129">
        <v>10.099999999999998</v>
      </c>
      <c r="AO137" s="126">
        <f t="shared" ca="1" si="15"/>
        <v>391</v>
      </c>
      <c r="AR137" s="99" t="s">
        <v>136</v>
      </c>
    </row>
    <row r="138" spans="1:59" s="99" customFormat="1" ht="21" customHeight="1" x14ac:dyDescent="0.35">
      <c r="A138" s="99">
        <v>400</v>
      </c>
      <c r="B138" s="126" t="str">
        <f t="shared" si="11"/>
        <v>RM-J3/1D-002X620</v>
      </c>
      <c r="C138" s="126" t="s">
        <v>43</v>
      </c>
      <c r="D138" s="126" t="s">
        <v>43</v>
      </c>
      <c r="E138" s="143" t="s">
        <v>765</v>
      </c>
      <c r="F138" s="143" t="s">
        <v>766</v>
      </c>
      <c r="G138" s="126" t="s">
        <v>29</v>
      </c>
      <c r="H138" s="126" t="s">
        <v>139</v>
      </c>
      <c r="I138" s="127">
        <v>2.4</v>
      </c>
      <c r="J138" s="127"/>
      <c r="K138" s="127"/>
      <c r="L138" s="127"/>
      <c r="M138" s="144">
        <v>620</v>
      </c>
      <c r="N138" s="129">
        <v>4.84</v>
      </c>
      <c r="O138" s="129"/>
      <c r="P138" s="129"/>
      <c r="Q138" s="130"/>
      <c r="R138" s="131"/>
      <c r="S138" s="131"/>
      <c r="T138" s="132"/>
      <c r="U138" s="132"/>
      <c r="V138" s="132"/>
      <c r="W138" s="132"/>
      <c r="X138" s="132"/>
      <c r="Y138" s="133"/>
      <c r="Z138" s="126" t="s">
        <v>64</v>
      </c>
      <c r="AA138" s="134" t="s">
        <v>322</v>
      </c>
      <c r="AB138" s="134"/>
      <c r="AC138" s="134"/>
      <c r="AD138" s="134">
        <v>44384</v>
      </c>
      <c r="AE138" s="134"/>
      <c r="AF138" s="134">
        <f t="shared" ca="1" si="12"/>
        <v>44963</v>
      </c>
      <c r="AG138" s="126">
        <f t="shared" ca="1" si="13"/>
        <v>579</v>
      </c>
      <c r="AH138" s="126" t="str">
        <f t="shared" si="14"/>
        <v/>
      </c>
      <c r="AI138" s="134" t="s">
        <v>767</v>
      </c>
      <c r="AJ138" s="143" t="s">
        <v>768</v>
      </c>
      <c r="AK138" s="129">
        <v>4.84</v>
      </c>
      <c r="AL138" s="129">
        <v>4.88</v>
      </c>
      <c r="AM138" s="129">
        <v>4.9050000000000002</v>
      </c>
      <c r="AN138" s="129">
        <v>4.91</v>
      </c>
      <c r="AO138" s="126" t="str">
        <f t="shared" si="15"/>
        <v/>
      </c>
      <c r="AR138" s="99" t="s">
        <v>136</v>
      </c>
    </row>
    <row r="139" spans="1:59" s="99" customFormat="1" ht="21" customHeight="1" x14ac:dyDescent="0.35">
      <c r="A139" s="99">
        <v>400</v>
      </c>
      <c r="B139" s="126" t="str">
        <f t="shared" si="11"/>
        <v>RM-J3/1D-002X620</v>
      </c>
      <c r="C139" s="126" t="s">
        <v>43</v>
      </c>
      <c r="D139" s="126" t="s">
        <v>43</v>
      </c>
      <c r="E139" s="143" t="s">
        <v>769</v>
      </c>
      <c r="F139" s="143" t="s">
        <v>770</v>
      </c>
      <c r="G139" s="126" t="s">
        <v>29</v>
      </c>
      <c r="H139" s="126" t="s">
        <v>139</v>
      </c>
      <c r="I139" s="127">
        <v>2.4</v>
      </c>
      <c r="J139" s="127"/>
      <c r="K139" s="127"/>
      <c r="L139" s="127"/>
      <c r="M139" s="144">
        <v>620</v>
      </c>
      <c r="N139" s="129">
        <v>4.8899999999999997</v>
      </c>
      <c r="O139" s="129"/>
      <c r="P139" s="129"/>
      <c r="Q139" s="130"/>
      <c r="R139" s="131"/>
      <c r="S139" s="131"/>
      <c r="T139" s="132"/>
      <c r="U139" s="132"/>
      <c r="V139" s="132"/>
      <c r="W139" s="132"/>
      <c r="X139" s="132"/>
      <c r="Y139" s="133"/>
      <c r="Z139" s="126" t="s">
        <v>64</v>
      </c>
      <c r="AA139" s="134" t="s">
        <v>322</v>
      </c>
      <c r="AB139" s="134"/>
      <c r="AC139" s="134"/>
      <c r="AD139" s="134">
        <v>44384</v>
      </c>
      <c r="AE139" s="134"/>
      <c r="AF139" s="134">
        <f t="shared" ca="1" si="12"/>
        <v>44963</v>
      </c>
      <c r="AG139" s="126">
        <f t="shared" ca="1" si="13"/>
        <v>579</v>
      </c>
      <c r="AH139" s="126" t="str">
        <f t="shared" si="14"/>
        <v/>
      </c>
      <c r="AI139" s="134" t="s">
        <v>771</v>
      </c>
      <c r="AJ139" s="143" t="s">
        <v>768</v>
      </c>
      <c r="AK139" s="129">
        <v>4.8899999999999997</v>
      </c>
      <c r="AL139" s="129">
        <v>4.93</v>
      </c>
      <c r="AM139" s="129">
        <v>4.9550000000000001</v>
      </c>
      <c r="AN139" s="129">
        <v>4.96</v>
      </c>
      <c r="AO139" s="126" t="str">
        <f t="shared" si="15"/>
        <v/>
      </c>
      <c r="AR139" s="99" t="s">
        <v>136</v>
      </c>
    </row>
    <row r="140" spans="1:59" s="99" customFormat="1" ht="21" customHeight="1" x14ac:dyDescent="0.35">
      <c r="A140" s="99">
        <v>400</v>
      </c>
      <c r="B140" s="126" t="str">
        <f t="shared" si="11"/>
        <v>RM-J3/1D-002X620</v>
      </c>
      <c r="C140" s="126" t="s">
        <v>43</v>
      </c>
      <c r="D140" s="126" t="s">
        <v>43</v>
      </c>
      <c r="E140" s="143" t="s">
        <v>772</v>
      </c>
      <c r="F140" s="143" t="s">
        <v>773</v>
      </c>
      <c r="G140" s="126" t="s">
        <v>29</v>
      </c>
      <c r="H140" s="126" t="s">
        <v>139</v>
      </c>
      <c r="I140" s="127">
        <v>2.4</v>
      </c>
      <c r="J140" s="127"/>
      <c r="K140" s="127"/>
      <c r="L140" s="127"/>
      <c r="M140" s="144">
        <v>620</v>
      </c>
      <c r="N140" s="129">
        <v>5.12</v>
      </c>
      <c r="O140" s="129"/>
      <c r="P140" s="129"/>
      <c r="Q140" s="130"/>
      <c r="R140" s="131"/>
      <c r="S140" s="131"/>
      <c r="T140" s="132"/>
      <c r="U140" s="132"/>
      <c r="V140" s="132"/>
      <c r="W140" s="132"/>
      <c r="X140" s="132"/>
      <c r="Y140" s="133"/>
      <c r="Z140" s="126" t="s">
        <v>64</v>
      </c>
      <c r="AA140" s="134" t="s">
        <v>322</v>
      </c>
      <c r="AB140" s="134"/>
      <c r="AC140" s="134"/>
      <c r="AD140" s="134">
        <v>44384</v>
      </c>
      <c r="AE140" s="134"/>
      <c r="AF140" s="134">
        <f t="shared" ca="1" si="12"/>
        <v>44963</v>
      </c>
      <c r="AG140" s="126">
        <f t="shared" ca="1" si="13"/>
        <v>579</v>
      </c>
      <c r="AH140" s="126" t="str">
        <f t="shared" si="14"/>
        <v/>
      </c>
      <c r="AI140" s="134" t="s">
        <v>746</v>
      </c>
      <c r="AJ140" s="143" t="s">
        <v>768</v>
      </c>
      <c r="AK140" s="129">
        <v>5.12</v>
      </c>
      <c r="AL140" s="129">
        <v>5.16</v>
      </c>
      <c r="AM140" s="129">
        <v>5.1850000000000005</v>
      </c>
      <c r="AN140" s="129">
        <v>5.19</v>
      </c>
      <c r="AO140" s="126" t="str">
        <f t="shared" si="15"/>
        <v/>
      </c>
      <c r="AR140" s="99" t="s">
        <v>136</v>
      </c>
    </row>
    <row r="141" spans="1:59" s="99" customFormat="1" ht="21" customHeight="1" x14ac:dyDescent="0.35">
      <c r="A141" s="99">
        <v>400</v>
      </c>
      <c r="B141" s="126" t="str">
        <f t="shared" si="11"/>
        <v>RM-J3/1D-002X620</v>
      </c>
      <c r="C141" s="126" t="s">
        <v>43</v>
      </c>
      <c r="D141" s="126" t="s">
        <v>43</v>
      </c>
      <c r="E141" s="143" t="s">
        <v>774</v>
      </c>
      <c r="F141" s="143" t="s">
        <v>775</v>
      </c>
      <c r="G141" s="126" t="s">
        <v>29</v>
      </c>
      <c r="H141" s="126" t="s">
        <v>139</v>
      </c>
      <c r="I141" s="127">
        <v>2.4</v>
      </c>
      <c r="J141" s="127"/>
      <c r="K141" s="127"/>
      <c r="L141" s="127"/>
      <c r="M141" s="144">
        <v>620</v>
      </c>
      <c r="N141" s="129">
        <v>5.17</v>
      </c>
      <c r="O141" s="129"/>
      <c r="P141" s="129"/>
      <c r="Q141" s="130"/>
      <c r="R141" s="131"/>
      <c r="S141" s="131"/>
      <c r="T141" s="132"/>
      <c r="U141" s="132"/>
      <c r="V141" s="132"/>
      <c r="W141" s="132"/>
      <c r="X141" s="132"/>
      <c r="Y141" s="133"/>
      <c r="Z141" s="126" t="s">
        <v>64</v>
      </c>
      <c r="AA141" s="134" t="s">
        <v>322</v>
      </c>
      <c r="AB141" s="134"/>
      <c r="AC141" s="134"/>
      <c r="AD141" s="134">
        <v>44384</v>
      </c>
      <c r="AE141" s="134"/>
      <c r="AF141" s="134">
        <f t="shared" ca="1" si="12"/>
        <v>44963</v>
      </c>
      <c r="AG141" s="126">
        <f t="shared" ca="1" si="13"/>
        <v>579</v>
      </c>
      <c r="AH141" s="126" t="str">
        <f t="shared" si="14"/>
        <v/>
      </c>
      <c r="AI141" s="134" t="s">
        <v>753</v>
      </c>
      <c r="AJ141" s="143" t="s">
        <v>768</v>
      </c>
      <c r="AK141" s="129">
        <v>5.17</v>
      </c>
      <c r="AL141" s="129">
        <v>5.21</v>
      </c>
      <c r="AM141" s="129">
        <v>5.2350000000000003</v>
      </c>
      <c r="AN141" s="129">
        <v>5.24</v>
      </c>
      <c r="AO141" s="126" t="str">
        <f t="shared" si="15"/>
        <v/>
      </c>
      <c r="AR141" s="99" t="s">
        <v>136</v>
      </c>
    </row>
    <row r="142" spans="1:59" s="99" customFormat="1" ht="21" customHeight="1" x14ac:dyDescent="0.35">
      <c r="A142" s="99">
        <v>400</v>
      </c>
      <c r="B142" s="126" t="str">
        <f t="shared" si="11"/>
        <v>RM-J3/1D-002X620</v>
      </c>
      <c r="C142" s="126" t="s">
        <v>43</v>
      </c>
      <c r="D142" s="126" t="s">
        <v>43</v>
      </c>
      <c r="E142" s="143" t="s">
        <v>776</v>
      </c>
      <c r="F142" s="143" t="s">
        <v>777</v>
      </c>
      <c r="G142" s="126" t="s">
        <v>29</v>
      </c>
      <c r="H142" s="126" t="s">
        <v>139</v>
      </c>
      <c r="I142" s="127">
        <v>2.4</v>
      </c>
      <c r="J142" s="127"/>
      <c r="K142" s="127"/>
      <c r="L142" s="127"/>
      <c r="M142" s="144">
        <v>620</v>
      </c>
      <c r="N142" s="129">
        <v>9.98</v>
      </c>
      <c r="O142" s="129"/>
      <c r="P142" s="129"/>
      <c r="Q142" s="130"/>
      <c r="R142" s="131"/>
      <c r="S142" s="131"/>
      <c r="T142" s="132"/>
      <c r="U142" s="132"/>
      <c r="V142" s="132"/>
      <c r="W142" s="132"/>
      <c r="X142" s="132"/>
      <c r="Y142" s="133"/>
      <c r="Z142" s="126" t="s">
        <v>64</v>
      </c>
      <c r="AA142" s="134" t="s">
        <v>322</v>
      </c>
      <c r="AB142" s="134"/>
      <c r="AC142" s="134"/>
      <c r="AD142" s="134">
        <v>44384</v>
      </c>
      <c r="AE142" s="134"/>
      <c r="AF142" s="134">
        <f t="shared" ca="1" si="12"/>
        <v>44963</v>
      </c>
      <c r="AG142" s="126">
        <f t="shared" ca="1" si="13"/>
        <v>579</v>
      </c>
      <c r="AH142" s="126" t="str">
        <f t="shared" si="14"/>
        <v/>
      </c>
      <c r="AI142" s="134" t="s">
        <v>778</v>
      </c>
      <c r="AJ142" s="143" t="s">
        <v>779</v>
      </c>
      <c r="AK142" s="129">
        <v>9.98</v>
      </c>
      <c r="AL142" s="129">
        <v>10.02</v>
      </c>
      <c r="AM142" s="129">
        <v>10.044999999999998</v>
      </c>
      <c r="AN142" s="129">
        <v>10.049999999999999</v>
      </c>
      <c r="AO142" s="126" t="str">
        <f t="shared" si="15"/>
        <v/>
      </c>
      <c r="AR142" s="99" t="s">
        <v>136</v>
      </c>
    </row>
    <row r="143" spans="1:59" s="99" customFormat="1" ht="21" customHeight="1" x14ac:dyDescent="0.35">
      <c r="A143" s="99">
        <v>400</v>
      </c>
      <c r="B143" s="126" t="str">
        <f t="shared" si="11"/>
        <v>RM-J3/1D-002X620</v>
      </c>
      <c r="C143" s="126" t="s">
        <v>43</v>
      </c>
      <c r="D143" s="126" t="s">
        <v>43</v>
      </c>
      <c r="E143" s="143" t="s">
        <v>780</v>
      </c>
      <c r="F143" s="143" t="s">
        <v>781</v>
      </c>
      <c r="G143" s="126" t="s">
        <v>29</v>
      </c>
      <c r="H143" s="126" t="s">
        <v>139</v>
      </c>
      <c r="I143" s="127">
        <v>2.2000000000000002</v>
      </c>
      <c r="J143" s="127"/>
      <c r="K143" s="127"/>
      <c r="L143" s="127"/>
      <c r="M143" s="144">
        <v>620</v>
      </c>
      <c r="N143" s="129">
        <v>9.9749999999999996</v>
      </c>
      <c r="O143" s="129"/>
      <c r="P143" s="129"/>
      <c r="Q143" s="130"/>
      <c r="R143" s="131"/>
      <c r="S143" s="131"/>
      <c r="T143" s="132"/>
      <c r="U143" s="132"/>
      <c r="V143" s="132"/>
      <c r="W143" s="132"/>
      <c r="X143" s="132"/>
      <c r="Y143" s="133"/>
      <c r="Z143" s="126" t="s">
        <v>64</v>
      </c>
      <c r="AA143" s="134" t="s">
        <v>322</v>
      </c>
      <c r="AB143" s="134"/>
      <c r="AC143" s="134"/>
      <c r="AD143" s="134">
        <v>44384</v>
      </c>
      <c r="AE143" s="134"/>
      <c r="AF143" s="134">
        <f t="shared" ca="1" si="12"/>
        <v>44963</v>
      </c>
      <c r="AG143" s="126">
        <f t="shared" ca="1" si="13"/>
        <v>579</v>
      </c>
      <c r="AH143" s="126" t="str">
        <f t="shared" si="14"/>
        <v/>
      </c>
      <c r="AI143" s="134" t="s">
        <v>782</v>
      </c>
      <c r="AJ143" s="143" t="s">
        <v>783</v>
      </c>
      <c r="AK143" s="129">
        <v>9.9749999999999996</v>
      </c>
      <c r="AL143" s="129">
        <v>10.014999999999999</v>
      </c>
      <c r="AM143" s="129">
        <v>10.039999999999997</v>
      </c>
      <c r="AN143" s="129">
        <v>10.044999999999998</v>
      </c>
      <c r="AO143" s="126" t="str">
        <f t="shared" si="15"/>
        <v/>
      </c>
      <c r="AR143" s="99" t="s">
        <v>136</v>
      </c>
    </row>
    <row r="144" spans="1:59" s="99" customFormat="1" ht="21" customHeight="1" x14ac:dyDescent="0.35">
      <c r="A144" s="99">
        <v>400</v>
      </c>
      <c r="B144" s="126" t="str">
        <f t="shared" si="11"/>
        <v>WIP-J3/2B-001X620</v>
      </c>
      <c r="C144" s="126" t="s">
        <v>14</v>
      </c>
      <c r="D144" s="126" t="s">
        <v>358</v>
      </c>
      <c r="E144" s="143" t="s">
        <v>784</v>
      </c>
      <c r="F144" s="143" t="s">
        <v>785</v>
      </c>
      <c r="G144" s="126" t="s">
        <v>29</v>
      </c>
      <c r="H144" s="126" t="s">
        <v>116</v>
      </c>
      <c r="I144" s="127">
        <v>2.2000000000000002</v>
      </c>
      <c r="J144" s="127">
        <v>0.75</v>
      </c>
      <c r="K144" s="127">
        <v>0.75</v>
      </c>
      <c r="L144" s="127">
        <v>0.76</v>
      </c>
      <c r="M144" s="144">
        <v>620</v>
      </c>
      <c r="N144" s="129">
        <v>9.9849999999999994</v>
      </c>
      <c r="O144" s="129" t="s">
        <v>116</v>
      </c>
      <c r="P144" s="129"/>
      <c r="Q144" s="130" t="s">
        <v>412</v>
      </c>
      <c r="R144" s="131"/>
      <c r="S144" s="131"/>
      <c r="T144" s="132">
        <v>44430</v>
      </c>
      <c r="U144" s="132">
        <v>44430</v>
      </c>
      <c r="V144" s="132">
        <v>44461</v>
      </c>
      <c r="W144" s="132"/>
      <c r="X144" s="132"/>
      <c r="Y144" s="133"/>
      <c r="Z144" s="126" t="s">
        <v>64</v>
      </c>
      <c r="AA144" s="134" t="s">
        <v>322</v>
      </c>
      <c r="AB144" s="134"/>
      <c r="AC144" s="134"/>
      <c r="AD144" s="134">
        <v>44384</v>
      </c>
      <c r="AE144" s="134"/>
      <c r="AF144" s="134">
        <f t="shared" ca="1" si="12"/>
        <v>44963</v>
      </c>
      <c r="AG144" s="126">
        <f t="shared" ca="1" si="13"/>
        <v>579</v>
      </c>
      <c r="AH144" s="126">
        <f t="shared" ca="1" si="14"/>
        <v>502</v>
      </c>
      <c r="AI144" s="134" t="s">
        <v>782</v>
      </c>
      <c r="AJ144" s="143" t="s">
        <v>783</v>
      </c>
      <c r="AK144" s="129">
        <v>9.99</v>
      </c>
      <c r="AL144" s="129">
        <v>10.029999999999999</v>
      </c>
      <c r="AM144" s="129">
        <v>10.054999999999998</v>
      </c>
      <c r="AN144" s="129">
        <v>10.059999999999999</v>
      </c>
      <c r="AO144" s="126">
        <f t="shared" ca="1" si="15"/>
        <v>533</v>
      </c>
      <c r="AR144" s="99" t="s">
        <v>136</v>
      </c>
      <c r="BG144" s="135" t="s">
        <v>786</v>
      </c>
    </row>
    <row r="145" spans="1:59" s="99" customFormat="1" ht="21" customHeight="1" x14ac:dyDescent="0.35">
      <c r="B145" s="126" t="str">
        <f t="shared" si="11"/>
        <v>WIP-304/304L/2B-000X431</v>
      </c>
      <c r="C145" s="126" t="s">
        <v>14</v>
      </c>
      <c r="D145" s="126" t="s">
        <v>113</v>
      </c>
      <c r="E145" s="143" t="s">
        <v>787</v>
      </c>
      <c r="F145" s="143" t="s">
        <v>788</v>
      </c>
      <c r="G145" s="126" t="s">
        <v>377</v>
      </c>
      <c r="H145" s="126" t="s">
        <v>116</v>
      </c>
      <c r="I145" s="127">
        <v>0.64</v>
      </c>
      <c r="J145" s="127">
        <v>0.33</v>
      </c>
      <c r="K145" s="127">
        <v>0.31</v>
      </c>
      <c r="L145" s="127">
        <v>0.32</v>
      </c>
      <c r="M145" s="144">
        <v>431</v>
      </c>
      <c r="N145" s="129">
        <v>0.86</v>
      </c>
      <c r="O145" s="129" t="s">
        <v>116</v>
      </c>
      <c r="P145" s="150"/>
      <c r="Q145" s="130" t="s">
        <v>117</v>
      </c>
      <c r="R145" s="131" t="s">
        <v>789</v>
      </c>
      <c r="S145" s="131"/>
      <c r="T145" s="132" t="s">
        <v>790</v>
      </c>
      <c r="U145" s="132" t="s">
        <v>790</v>
      </c>
      <c r="V145" s="132" t="s">
        <v>791</v>
      </c>
      <c r="W145" s="132" t="s">
        <v>792</v>
      </c>
      <c r="X145" s="132"/>
      <c r="Y145" s="133"/>
      <c r="Z145" s="126" t="s">
        <v>64</v>
      </c>
      <c r="AA145" s="134" t="s">
        <v>154</v>
      </c>
      <c r="AB145" s="134" t="s">
        <v>793</v>
      </c>
      <c r="AC145" s="134"/>
      <c r="AD145" s="134">
        <v>44444</v>
      </c>
      <c r="AE145" s="134"/>
      <c r="AF145" s="134">
        <f t="shared" ca="1" si="12"/>
        <v>44963</v>
      </c>
      <c r="AG145" s="126">
        <f t="shared" ca="1" si="13"/>
        <v>519</v>
      </c>
      <c r="AH145" s="126">
        <f t="shared" ca="1" si="14"/>
        <v>370</v>
      </c>
      <c r="AI145" s="134"/>
      <c r="AJ145" s="143" t="s">
        <v>794</v>
      </c>
      <c r="AK145" s="129">
        <v>10.425000000000001</v>
      </c>
      <c r="AL145" s="129">
        <v>10.435</v>
      </c>
      <c r="AM145" s="129">
        <v>10.459999999999999</v>
      </c>
      <c r="AN145" s="129">
        <v>10.465</v>
      </c>
      <c r="AO145" s="126">
        <f t="shared" ca="1" si="15"/>
        <v>311</v>
      </c>
      <c r="AR145" s="99" t="s">
        <v>136</v>
      </c>
    </row>
    <row r="146" spans="1:59" s="99" customFormat="1" ht="21" customHeight="1" x14ac:dyDescent="0.35">
      <c r="A146" s="99">
        <v>400</v>
      </c>
      <c r="B146" s="126" t="str">
        <f t="shared" si="11"/>
        <v>RM-J3/1D-002X620</v>
      </c>
      <c r="C146" s="126" t="s">
        <v>43</v>
      </c>
      <c r="D146" s="126" t="s">
        <v>43</v>
      </c>
      <c r="E146" s="143" t="s">
        <v>795</v>
      </c>
      <c r="F146" s="143" t="s">
        <v>796</v>
      </c>
      <c r="G146" s="126" t="s">
        <v>29</v>
      </c>
      <c r="H146" s="126" t="s">
        <v>139</v>
      </c>
      <c r="I146" s="127">
        <v>2.2000000000000002</v>
      </c>
      <c r="J146" s="127"/>
      <c r="K146" s="127"/>
      <c r="L146" s="127"/>
      <c r="M146" s="144">
        <v>620</v>
      </c>
      <c r="N146" s="129">
        <v>10.005000000000001</v>
      </c>
      <c r="O146" s="129"/>
      <c r="P146" s="129"/>
      <c r="Q146" s="130"/>
      <c r="R146" s="131"/>
      <c r="S146" s="131"/>
      <c r="T146" s="132"/>
      <c r="U146" s="132"/>
      <c r="V146" s="132"/>
      <c r="W146" s="132"/>
      <c r="X146" s="132"/>
      <c r="Y146" s="133"/>
      <c r="Z146" s="126" t="s">
        <v>64</v>
      </c>
      <c r="AA146" s="134" t="s">
        <v>322</v>
      </c>
      <c r="AB146" s="134"/>
      <c r="AC146" s="134"/>
      <c r="AD146" s="134">
        <v>44384</v>
      </c>
      <c r="AE146" s="134"/>
      <c r="AF146" s="134">
        <f t="shared" ca="1" si="12"/>
        <v>44963</v>
      </c>
      <c r="AG146" s="126">
        <f t="shared" ca="1" si="13"/>
        <v>579</v>
      </c>
      <c r="AH146" s="126" t="str">
        <f t="shared" si="14"/>
        <v/>
      </c>
      <c r="AI146" s="134" t="s">
        <v>797</v>
      </c>
      <c r="AJ146" s="143" t="s">
        <v>798</v>
      </c>
      <c r="AK146" s="129">
        <v>10.005000000000001</v>
      </c>
      <c r="AL146" s="129">
        <v>10.045</v>
      </c>
      <c r="AM146" s="129">
        <v>10.069999999999999</v>
      </c>
      <c r="AN146" s="129">
        <v>10.074999999999999</v>
      </c>
      <c r="AO146" s="126" t="str">
        <f t="shared" si="15"/>
        <v/>
      </c>
      <c r="AR146" s="99" t="s">
        <v>136</v>
      </c>
    </row>
    <row r="147" spans="1:59" s="99" customFormat="1" ht="21" customHeight="1" x14ac:dyDescent="0.35">
      <c r="A147" s="99">
        <v>400</v>
      </c>
      <c r="B147" s="126" t="str">
        <f t="shared" si="11"/>
        <v>RM-J3/1D-002X620</v>
      </c>
      <c r="C147" s="126" t="s">
        <v>43</v>
      </c>
      <c r="D147" s="126" t="s">
        <v>43</v>
      </c>
      <c r="E147" s="143" t="s">
        <v>799</v>
      </c>
      <c r="F147" s="143" t="s">
        <v>800</v>
      </c>
      <c r="G147" s="126" t="s">
        <v>29</v>
      </c>
      <c r="H147" s="126" t="s">
        <v>139</v>
      </c>
      <c r="I147" s="127">
        <v>2.4</v>
      </c>
      <c r="J147" s="127"/>
      <c r="K147" s="127"/>
      <c r="L147" s="127"/>
      <c r="M147" s="144">
        <v>620</v>
      </c>
      <c r="N147" s="129">
        <v>5.1100000000000003</v>
      </c>
      <c r="O147" s="129"/>
      <c r="P147" s="129"/>
      <c r="Q147" s="130"/>
      <c r="R147" s="131"/>
      <c r="S147" s="131"/>
      <c r="T147" s="132"/>
      <c r="U147" s="132"/>
      <c r="V147" s="132"/>
      <c r="W147" s="132"/>
      <c r="X147" s="132"/>
      <c r="Y147" s="133"/>
      <c r="Z147" s="126" t="s">
        <v>64</v>
      </c>
      <c r="AA147" s="134" t="s">
        <v>322</v>
      </c>
      <c r="AB147" s="134"/>
      <c r="AC147" s="134"/>
      <c r="AD147" s="134">
        <v>44384</v>
      </c>
      <c r="AE147" s="134"/>
      <c r="AF147" s="134">
        <f t="shared" ca="1" si="12"/>
        <v>44963</v>
      </c>
      <c r="AG147" s="126">
        <f t="shared" ca="1" si="13"/>
        <v>579</v>
      </c>
      <c r="AH147" s="126" t="str">
        <f t="shared" si="14"/>
        <v/>
      </c>
      <c r="AI147" s="134" t="s">
        <v>757</v>
      </c>
      <c r="AJ147" s="143" t="s">
        <v>801</v>
      </c>
      <c r="AK147" s="129">
        <v>5.1100000000000003</v>
      </c>
      <c r="AL147" s="129">
        <v>5.15</v>
      </c>
      <c r="AM147" s="129">
        <v>5.1750000000000007</v>
      </c>
      <c r="AN147" s="129">
        <v>5.1800000000000006</v>
      </c>
      <c r="AO147" s="126" t="str">
        <f t="shared" si="15"/>
        <v/>
      </c>
      <c r="AR147" s="99" t="s">
        <v>136</v>
      </c>
    </row>
    <row r="148" spans="1:59" s="99" customFormat="1" ht="21" customHeight="1" x14ac:dyDescent="0.35">
      <c r="A148" s="99">
        <v>400</v>
      </c>
      <c r="B148" s="126" t="str">
        <f t="shared" si="11"/>
        <v>RM-J3/1D-002X620</v>
      </c>
      <c r="C148" s="126" t="s">
        <v>43</v>
      </c>
      <c r="D148" s="126" t="s">
        <v>43</v>
      </c>
      <c r="E148" s="143" t="s">
        <v>802</v>
      </c>
      <c r="F148" s="143" t="s">
        <v>803</v>
      </c>
      <c r="G148" s="126" t="s">
        <v>29</v>
      </c>
      <c r="H148" s="126" t="s">
        <v>139</v>
      </c>
      <c r="I148" s="127">
        <v>2.4</v>
      </c>
      <c r="J148" s="127"/>
      <c r="K148" s="127"/>
      <c r="L148" s="127"/>
      <c r="M148" s="144">
        <v>620</v>
      </c>
      <c r="N148" s="129">
        <v>10.025</v>
      </c>
      <c r="O148" s="129"/>
      <c r="P148" s="129"/>
      <c r="Q148" s="130"/>
      <c r="R148" s="131"/>
      <c r="S148" s="131"/>
      <c r="T148" s="132"/>
      <c r="U148" s="132"/>
      <c r="V148" s="132"/>
      <c r="W148" s="132"/>
      <c r="X148" s="132"/>
      <c r="Y148" s="133"/>
      <c r="Z148" s="126" t="s">
        <v>64</v>
      </c>
      <c r="AA148" s="134" t="s">
        <v>322</v>
      </c>
      <c r="AB148" s="134"/>
      <c r="AC148" s="134"/>
      <c r="AD148" s="134">
        <v>44384</v>
      </c>
      <c r="AE148" s="134"/>
      <c r="AF148" s="134">
        <f t="shared" ca="1" si="12"/>
        <v>44963</v>
      </c>
      <c r="AG148" s="126">
        <f t="shared" ca="1" si="13"/>
        <v>579</v>
      </c>
      <c r="AH148" s="126" t="str">
        <f t="shared" si="14"/>
        <v/>
      </c>
      <c r="AI148" s="134" t="s">
        <v>804</v>
      </c>
      <c r="AJ148" s="143" t="s">
        <v>801</v>
      </c>
      <c r="AK148" s="129">
        <v>10.025</v>
      </c>
      <c r="AL148" s="129">
        <v>10.065</v>
      </c>
      <c r="AM148" s="129">
        <v>10.089999999999998</v>
      </c>
      <c r="AN148" s="129">
        <v>10.094999999999999</v>
      </c>
      <c r="AO148" s="126" t="str">
        <f t="shared" si="15"/>
        <v/>
      </c>
      <c r="AR148" s="99" t="s">
        <v>136</v>
      </c>
    </row>
    <row r="149" spans="1:59" s="99" customFormat="1" ht="21" customHeight="1" x14ac:dyDescent="0.35">
      <c r="A149" s="99">
        <v>400</v>
      </c>
      <c r="B149" s="126" t="str">
        <f t="shared" ref="B149:B178" si="16">IF(C149="HOLD RM","HOLD RM",IF(C149="BAL","WIP",IF(C149="HOLD SLT","HOLD SLT",IF(C149="MILL","RM",IF(C149="RE SLT","WIP",IF(C149="RM","RM",IF(C149="RM BAL","RM",IF(C149="RM SLT","RM",IF(C149="RR","WIP",IF(C149="SKP","WIP",IF(C149="SLT","WIP",IF(C149="CTL","WIP",IF(C149="RM SLT RUST","RM SLT RUST",0)))))))))))))&amp;"-"&amp;G149&amp;"/"&amp;IF(H149="2B","2B",IF(H149="NO.1","1D",IF(H149="FH","FH",0)))&amp;"-"&amp;IF(J149="",(TEXT(I149,"0.00")),TEXT(J149,"0.00"))&amp;"X"&amp;M149</f>
        <v>RM-J3/1D-002X620</v>
      </c>
      <c r="C149" s="126" t="s">
        <v>43</v>
      </c>
      <c r="D149" s="126" t="s">
        <v>43</v>
      </c>
      <c r="E149" s="143" t="s">
        <v>805</v>
      </c>
      <c r="F149" s="143" t="s">
        <v>806</v>
      </c>
      <c r="G149" s="126" t="s">
        <v>29</v>
      </c>
      <c r="H149" s="126" t="s">
        <v>139</v>
      </c>
      <c r="I149" s="127">
        <v>2.2000000000000002</v>
      </c>
      <c r="J149" s="127"/>
      <c r="K149" s="127"/>
      <c r="L149" s="127"/>
      <c r="M149" s="144">
        <v>620</v>
      </c>
      <c r="N149" s="129">
        <v>4.62</v>
      </c>
      <c r="O149" s="129"/>
      <c r="P149" s="129"/>
      <c r="Q149" s="130"/>
      <c r="R149" s="131"/>
      <c r="S149" s="131"/>
      <c r="T149" s="132"/>
      <c r="U149" s="132"/>
      <c r="V149" s="132"/>
      <c r="W149" s="132"/>
      <c r="X149" s="132"/>
      <c r="Y149" s="133"/>
      <c r="Z149" s="126" t="s">
        <v>64</v>
      </c>
      <c r="AA149" s="134" t="s">
        <v>322</v>
      </c>
      <c r="AB149" s="134"/>
      <c r="AC149" s="134"/>
      <c r="AD149" s="134">
        <v>44384</v>
      </c>
      <c r="AE149" s="134"/>
      <c r="AF149" s="134">
        <f t="shared" ca="1" si="12"/>
        <v>44963</v>
      </c>
      <c r="AG149" s="126">
        <f t="shared" ca="1" si="13"/>
        <v>579</v>
      </c>
      <c r="AH149" s="126" t="str">
        <f t="shared" si="14"/>
        <v/>
      </c>
      <c r="AI149" s="134" t="s">
        <v>778</v>
      </c>
      <c r="AJ149" s="143" t="s">
        <v>807</v>
      </c>
      <c r="AK149" s="129">
        <v>4.62</v>
      </c>
      <c r="AL149" s="129">
        <v>4.66</v>
      </c>
      <c r="AM149" s="129">
        <v>4.6850000000000005</v>
      </c>
      <c r="AN149" s="129">
        <v>4.6900000000000004</v>
      </c>
      <c r="AO149" s="126" t="str">
        <f t="shared" si="15"/>
        <v/>
      </c>
      <c r="AR149" s="99" t="s">
        <v>136</v>
      </c>
    </row>
    <row r="150" spans="1:59" s="99" customFormat="1" ht="21" customHeight="1" x14ac:dyDescent="0.35">
      <c r="A150" s="99">
        <v>400</v>
      </c>
      <c r="B150" s="126" t="str">
        <f t="shared" si="16"/>
        <v>RM-J3/1D-002X620</v>
      </c>
      <c r="C150" s="126" t="s">
        <v>43</v>
      </c>
      <c r="D150" s="126" t="s">
        <v>43</v>
      </c>
      <c r="E150" s="143" t="s">
        <v>808</v>
      </c>
      <c r="F150" s="143" t="s">
        <v>809</v>
      </c>
      <c r="G150" s="126" t="s">
        <v>29</v>
      </c>
      <c r="H150" s="126" t="s">
        <v>139</v>
      </c>
      <c r="I150" s="127">
        <v>2.2000000000000002</v>
      </c>
      <c r="J150" s="127"/>
      <c r="K150" s="127"/>
      <c r="L150" s="127"/>
      <c r="M150" s="144">
        <v>620</v>
      </c>
      <c r="N150" s="129">
        <v>5.32</v>
      </c>
      <c r="O150" s="129"/>
      <c r="P150" s="129"/>
      <c r="Q150" s="130"/>
      <c r="R150" s="131"/>
      <c r="S150" s="131"/>
      <c r="T150" s="132"/>
      <c r="U150" s="132"/>
      <c r="V150" s="132"/>
      <c r="W150" s="132"/>
      <c r="X150" s="132"/>
      <c r="Y150" s="133"/>
      <c r="Z150" s="126" t="s">
        <v>64</v>
      </c>
      <c r="AA150" s="134" t="s">
        <v>322</v>
      </c>
      <c r="AB150" s="134"/>
      <c r="AC150" s="134"/>
      <c r="AD150" s="134">
        <v>44384</v>
      </c>
      <c r="AE150" s="134"/>
      <c r="AF150" s="134">
        <f t="shared" ca="1" si="12"/>
        <v>44963</v>
      </c>
      <c r="AG150" s="126">
        <f t="shared" ca="1" si="13"/>
        <v>579</v>
      </c>
      <c r="AH150" s="126" t="str">
        <f t="shared" si="14"/>
        <v/>
      </c>
      <c r="AI150" s="134" t="s">
        <v>782</v>
      </c>
      <c r="AJ150" s="143" t="s">
        <v>807</v>
      </c>
      <c r="AK150" s="129">
        <v>5.32</v>
      </c>
      <c r="AL150" s="129">
        <v>5.36</v>
      </c>
      <c r="AM150" s="129">
        <v>5.3850000000000007</v>
      </c>
      <c r="AN150" s="129">
        <v>5.3900000000000006</v>
      </c>
      <c r="AO150" s="126" t="str">
        <f t="shared" si="15"/>
        <v/>
      </c>
      <c r="AR150" s="99" t="s">
        <v>136</v>
      </c>
    </row>
    <row r="151" spans="1:59" s="99" customFormat="1" ht="21" customHeight="1" x14ac:dyDescent="0.35">
      <c r="A151" s="99">
        <v>400</v>
      </c>
      <c r="B151" s="126" t="str">
        <f t="shared" si="16"/>
        <v>RM-J3/1D-002X615</v>
      </c>
      <c r="C151" s="126" t="s">
        <v>43</v>
      </c>
      <c r="D151" s="126" t="s">
        <v>43</v>
      </c>
      <c r="E151" s="143" t="s">
        <v>810</v>
      </c>
      <c r="F151" s="143" t="s">
        <v>811</v>
      </c>
      <c r="G151" s="126" t="s">
        <v>29</v>
      </c>
      <c r="H151" s="126" t="s">
        <v>139</v>
      </c>
      <c r="I151" s="127">
        <v>2.2000000000000002</v>
      </c>
      <c r="J151" s="127"/>
      <c r="K151" s="127"/>
      <c r="L151" s="127"/>
      <c r="M151" s="144">
        <v>615</v>
      </c>
      <c r="N151" s="129">
        <v>4.72</v>
      </c>
      <c r="O151" s="129"/>
      <c r="P151" s="129"/>
      <c r="Q151" s="130"/>
      <c r="R151" s="131"/>
      <c r="S151" s="131"/>
      <c r="T151" s="132"/>
      <c r="U151" s="132"/>
      <c r="V151" s="132"/>
      <c r="W151" s="132"/>
      <c r="X151" s="132"/>
      <c r="Y151" s="133"/>
      <c r="Z151" s="126" t="s">
        <v>64</v>
      </c>
      <c r="AA151" s="134" t="s">
        <v>322</v>
      </c>
      <c r="AB151" s="134"/>
      <c r="AC151" s="134"/>
      <c r="AD151" s="134">
        <v>44384</v>
      </c>
      <c r="AE151" s="134"/>
      <c r="AF151" s="134">
        <f t="shared" ca="1" si="12"/>
        <v>44963</v>
      </c>
      <c r="AG151" s="126">
        <f t="shared" ca="1" si="13"/>
        <v>579</v>
      </c>
      <c r="AH151" s="126" t="str">
        <f t="shared" si="14"/>
        <v/>
      </c>
      <c r="AI151" s="134" t="s">
        <v>812</v>
      </c>
      <c r="AJ151" s="143" t="s">
        <v>807</v>
      </c>
      <c r="AK151" s="129">
        <v>4.72</v>
      </c>
      <c r="AL151" s="129">
        <v>4.76</v>
      </c>
      <c r="AM151" s="129">
        <v>4.7850000000000001</v>
      </c>
      <c r="AN151" s="129">
        <v>4.79</v>
      </c>
      <c r="AO151" s="126" t="str">
        <f t="shared" si="15"/>
        <v/>
      </c>
      <c r="AR151" s="99" t="s">
        <v>136</v>
      </c>
    </row>
    <row r="152" spans="1:59" s="99" customFormat="1" ht="21" customHeight="1" x14ac:dyDescent="0.35">
      <c r="A152" s="99">
        <v>400</v>
      </c>
      <c r="B152" s="126" t="str">
        <f t="shared" si="16"/>
        <v>RM-J3/1D-002X615</v>
      </c>
      <c r="C152" s="126" t="s">
        <v>43</v>
      </c>
      <c r="D152" s="126" t="s">
        <v>43</v>
      </c>
      <c r="E152" s="143" t="s">
        <v>813</v>
      </c>
      <c r="F152" s="143" t="s">
        <v>814</v>
      </c>
      <c r="G152" s="126" t="s">
        <v>29</v>
      </c>
      <c r="H152" s="126" t="s">
        <v>139</v>
      </c>
      <c r="I152" s="127">
        <v>2.2000000000000002</v>
      </c>
      <c r="J152" s="127"/>
      <c r="K152" s="127"/>
      <c r="L152" s="127"/>
      <c r="M152" s="144">
        <v>615</v>
      </c>
      <c r="N152" s="129">
        <v>5.08</v>
      </c>
      <c r="O152" s="129"/>
      <c r="P152" s="129"/>
      <c r="Q152" s="130"/>
      <c r="R152" s="131"/>
      <c r="S152" s="131"/>
      <c r="T152" s="132"/>
      <c r="U152" s="132"/>
      <c r="V152" s="132"/>
      <c r="W152" s="132"/>
      <c r="X152" s="132"/>
      <c r="Y152" s="133"/>
      <c r="Z152" s="126" t="s">
        <v>64</v>
      </c>
      <c r="AA152" s="134" t="s">
        <v>322</v>
      </c>
      <c r="AB152" s="134"/>
      <c r="AC152" s="134"/>
      <c r="AD152" s="134">
        <v>44384</v>
      </c>
      <c r="AE152" s="134"/>
      <c r="AF152" s="134">
        <f t="shared" ca="1" si="12"/>
        <v>44963</v>
      </c>
      <c r="AG152" s="126">
        <f t="shared" ca="1" si="13"/>
        <v>579</v>
      </c>
      <c r="AH152" s="126" t="str">
        <f t="shared" si="14"/>
        <v/>
      </c>
      <c r="AI152" s="134" t="s">
        <v>797</v>
      </c>
      <c r="AJ152" s="143" t="s">
        <v>807</v>
      </c>
      <c r="AK152" s="129">
        <v>5.08</v>
      </c>
      <c r="AL152" s="129">
        <v>5.12</v>
      </c>
      <c r="AM152" s="129">
        <v>5.1450000000000005</v>
      </c>
      <c r="AN152" s="129">
        <v>5.15</v>
      </c>
      <c r="AO152" s="126" t="str">
        <f t="shared" si="15"/>
        <v/>
      </c>
      <c r="AR152" s="99" t="s">
        <v>136</v>
      </c>
    </row>
    <row r="153" spans="1:59" s="99" customFormat="1" ht="21" customHeight="1" x14ac:dyDescent="0.35">
      <c r="A153" s="99">
        <v>400</v>
      </c>
      <c r="B153" s="126" t="str">
        <f t="shared" si="16"/>
        <v>RM-J3/1D-002X560</v>
      </c>
      <c r="C153" s="126" t="s">
        <v>43</v>
      </c>
      <c r="D153" s="126" t="s">
        <v>43</v>
      </c>
      <c r="E153" s="143" t="s">
        <v>815</v>
      </c>
      <c r="F153" s="143" t="s">
        <v>816</v>
      </c>
      <c r="G153" s="126" t="s">
        <v>29</v>
      </c>
      <c r="H153" s="126" t="s">
        <v>139</v>
      </c>
      <c r="I153" s="127">
        <v>2.4</v>
      </c>
      <c r="J153" s="127"/>
      <c r="K153" s="127"/>
      <c r="L153" s="127"/>
      <c r="M153" s="144">
        <v>560</v>
      </c>
      <c r="N153" s="129">
        <v>8.9600000000000009</v>
      </c>
      <c r="O153" s="129"/>
      <c r="P153" s="129"/>
      <c r="Q153" s="130"/>
      <c r="R153" s="131"/>
      <c r="S153" s="131"/>
      <c r="T153" s="132"/>
      <c r="U153" s="132"/>
      <c r="V153" s="132"/>
      <c r="W153" s="132"/>
      <c r="X153" s="132"/>
      <c r="Y153" s="133"/>
      <c r="Z153" s="126" t="s">
        <v>64</v>
      </c>
      <c r="AA153" s="134" t="s">
        <v>322</v>
      </c>
      <c r="AB153" s="134"/>
      <c r="AC153" s="134"/>
      <c r="AD153" s="134">
        <v>44384</v>
      </c>
      <c r="AE153" s="134"/>
      <c r="AF153" s="134">
        <f t="shared" ca="1" si="12"/>
        <v>44963</v>
      </c>
      <c r="AG153" s="126">
        <f t="shared" ca="1" si="13"/>
        <v>579</v>
      </c>
      <c r="AH153" s="126" t="str">
        <f t="shared" si="14"/>
        <v/>
      </c>
      <c r="AI153" s="134" t="s">
        <v>817</v>
      </c>
      <c r="AJ153" s="143" t="s">
        <v>818</v>
      </c>
      <c r="AK153" s="129">
        <v>8.9600000000000009</v>
      </c>
      <c r="AL153" s="129">
        <v>9</v>
      </c>
      <c r="AM153" s="129">
        <v>9.0249999999999986</v>
      </c>
      <c r="AN153" s="129">
        <v>9.0299999999999994</v>
      </c>
      <c r="AO153" s="126" t="str">
        <f t="shared" si="15"/>
        <v/>
      </c>
      <c r="AR153" s="99" t="s">
        <v>136</v>
      </c>
    </row>
    <row r="154" spans="1:59" s="99" customFormat="1" ht="21" customHeight="1" x14ac:dyDescent="0.35">
      <c r="A154" s="99">
        <v>400</v>
      </c>
      <c r="B154" s="126" t="str">
        <f t="shared" si="16"/>
        <v>WIP-J3/2B-001X680</v>
      </c>
      <c r="C154" s="126" t="s">
        <v>14</v>
      </c>
      <c r="D154" s="126" t="s">
        <v>358</v>
      </c>
      <c r="E154" s="143" t="s">
        <v>819</v>
      </c>
      <c r="F154" s="143" t="s">
        <v>820</v>
      </c>
      <c r="G154" s="126" t="s">
        <v>29</v>
      </c>
      <c r="H154" s="126" t="s">
        <v>116</v>
      </c>
      <c r="I154" s="127">
        <v>2.4</v>
      </c>
      <c r="J154" s="127">
        <v>1.1000000000000001</v>
      </c>
      <c r="K154" s="127">
        <v>1.1100000000000001</v>
      </c>
      <c r="L154" s="127">
        <v>1.1299999999999999</v>
      </c>
      <c r="M154" s="144">
        <v>680</v>
      </c>
      <c r="N154" s="129">
        <v>4.585</v>
      </c>
      <c r="O154" s="129" t="s">
        <v>116</v>
      </c>
      <c r="P154" s="129"/>
      <c r="Q154" s="130" t="s">
        <v>412</v>
      </c>
      <c r="R154" s="130" t="s">
        <v>821</v>
      </c>
      <c r="S154" s="131"/>
      <c r="T154" s="132">
        <v>44574</v>
      </c>
      <c r="U154" s="132">
        <v>44574</v>
      </c>
      <c r="V154" s="132">
        <v>44579</v>
      </c>
      <c r="W154" s="132"/>
      <c r="X154" s="132"/>
      <c r="Y154" s="133"/>
      <c r="Z154" s="126" t="s">
        <v>64</v>
      </c>
      <c r="AA154" s="134" t="s">
        <v>322</v>
      </c>
      <c r="AB154" s="134"/>
      <c r="AC154" s="134"/>
      <c r="AD154" s="134">
        <v>44384</v>
      </c>
      <c r="AE154" s="134"/>
      <c r="AF154" s="134">
        <f t="shared" ca="1" si="12"/>
        <v>44963</v>
      </c>
      <c r="AG154" s="126">
        <f t="shared" ca="1" si="13"/>
        <v>579</v>
      </c>
      <c r="AH154" s="126">
        <f t="shared" ca="1" si="14"/>
        <v>384</v>
      </c>
      <c r="AI154" s="134" t="s">
        <v>822</v>
      </c>
      <c r="AJ154" s="143" t="s">
        <v>818</v>
      </c>
      <c r="AK154" s="129">
        <v>10.845000000000001</v>
      </c>
      <c r="AL154" s="129">
        <v>10.885</v>
      </c>
      <c r="AM154" s="129">
        <v>10.909999999999998</v>
      </c>
      <c r="AN154" s="129">
        <v>10.914999999999999</v>
      </c>
      <c r="AO154" s="126">
        <f t="shared" ca="1" si="15"/>
        <v>389</v>
      </c>
      <c r="AR154" s="99" t="s">
        <v>136</v>
      </c>
    </row>
    <row r="155" spans="1:59" s="99" customFormat="1" ht="21" customHeight="1" x14ac:dyDescent="0.35">
      <c r="A155" s="99">
        <v>400</v>
      </c>
      <c r="B155" s="126" t="str">
        <f t="shared" si="16"/>
        <v>RM-J3/1D-002X680</v>
      </c>
      <c r="C155" s="126" t="s">
        <v>43</v>
      </c>
      <c r="D155" s="126" t="s">
        <v>43</v>
      </c>
      <c r="E155" s="143" t="s">
        <v>823</v>
      </c>
      <c r="F155" s="143" t="s">
        <v>824</v>
      </c>
      <c r="G155" s="126" t="s">
        <v>29</v>
      </c>
      <c r="H155" s="126" t="s">
        <v>139</v>
      </c>
      <c r="I155" s="127">
        <v>2.4</v>
      </c>
      <c r="J155" s="127"/>
      <c r="K155" s="127"/>
      <c r="L155" s="127"/>
      <c r="M155" s="144">
        <v>680</v>
      </c>
      <c r="N155" s="129">
        <v>10.99</v>
      </c>
      <c r="O155" s="129"/>
      <c r="P155" s="129"/>
      <c r="Q155" s="130"/>
      <c r="R155" s="131"/>
      <c r="S155" s="131"/>
      <c r="T155" s="132"/>
      <c r="U155" s="132"/>
      <c r="V155" s="132"/>
      <c r="W155" s="132"/>
      <c r="X155" s="132"/>
      <c r="Y155" s="133"/>
      <c r="Z155" s="126" t="s">
        <v>64</v>
      </c>
      <c r="AA155" s="134" t="s">
        <v>322</v>
      </c>
      <c r="AB155" s="134"/>
      <c r="AC155" s="134"/>
      <c r="AD155" s="134">
        <v>44384</v>
      </c>
      <c r="AE155" s="134"/>
      <c r="AF155" s="134">
        <f t="shared" ca="1" si="12"/>
        <v>44963</v>
      </c>
      <c r="AG155" s="126">
        <f t="shared" ca="1" si="13"/>
        <v>579</v>
      </c>
      <c r="AH155" s="126" t="str">
        <f t="shared" si="14"/>
        <v/>
      </c>
      <c r="AI155" s="134" t="s">
        <v>825</v>
      </c>
      <c r="AJ155" s="143" t="s">
        <v>826</v>
      </c>
      <c r="AK155" s="129">
        <v>10.99</v>
      </c>
      <c r="AL155" s="129">
        <v>11.03</v>
      </c>
      <c r="AM155" s="129">
        <v>11.054999999999998</v>
      </c>
      <c r="AN155" s="129">
        <v>11.059999999999999</v>
      </c>
      <c r="AO155" s="126" t="str">
        <f t="shared" si="15"/>
        <v/>
      </c>
      <c r="AR155" s="99" t="s">
        <v>136</v>
      </c>
    </row>
    <row r="156" spans="1:59" s="99" customFormat="1" ht="21" customHeight="1" x14ac:dyDescent="0.35">
      <c r="A156" s="99">
        <v>400</v>
      </c>
      <c r="B156" s="126" t="str">
        <f t="shared" si="16"/>
        <v>WIP-J3/2B-001X560</v>
      </c>
      <c r="C156" s="126" t="s">
        <v>14</v>
      </c>
      <c r="D156" s="126" t="s">
        <v>358</v>
      </c>
      <c r="E156" s="143" t="s">
        <v>827</v>
      </c>
      <c r="F156" s="143" t="s">
        <v>828</v>
      </c>
      <c r="G156" s="126" t="s">
        <v>29</v>
      </c>
      <c r="H156" s="126" t="s">
        <v>116</v>
      </c>
      <c r="I156" s="127">
        <v>2.4</v>
      </c>
      <c r="J156" s="127">
        <v>0.95</v>
      </c>
      <c r="K156" s="127">
        <v>0.93</v>
      </c>
      <c r="L156" s="127">
        <v>0.95</v>
      </c>
      <c r="M156" s="144">
        <v>560</v>
      </c>
      <c r="N156" s="129">
        <v>8.9649999999999999</v>
      </c>
      <c r="O156" s="129" t="s">
        <v>116</v>
      </c>
      <c r="P156" s="129"/>
      <c r="Q156" s="130" t="s">
        <v>412</v>
      </c>
      <c r="R156" s="131"/>
      <c r="S156" s="131"/>
      <c r="T156" s="132">
        <v>44571</v>
      </c>
      <c r="U156" s="132">
        <v>44572</v>
      </c>
      <c r="V156" s="132">
        <v>44595</v>
      </c>
      <c r="W156" s="132"/>
      <c r="X156" s="132"/>
      <c r="Y156" s="133"/>
      <c r="Z156" s="126" t="s">
        <v>64</v>
      </c>
      <c r="AA156" s="134" t="s">
        <v>322</v>
      </c>
      <c r="AB156" s="134"/>
      <c r="AC156" s="134"/>
      <c r="AD156" s="134">
        <v>44384</v>
      </c>
      <c r="AE156" s="134"/>
      <c r="AF156" s="134">
        <f t="shared" ca="1" si="12"/>
        <v>44963</v>
      </c>
      <c r="AG156" s="126">
        <f t="shared" ca="1" si="13"/>
        <v>579</v>
      </c>
      <c r="AH156" s="126">
        <f t="shared" ca="1" si="14"/>
        <v>368</v>
      </c>
      <c r="AI156" s="134" t="s">
        <v>817</v>
      </c>
      <c r="AJ156" s="143" t="s">
        <v>829</v>
      </c>
      <c r="AK156" s="129">
        <v>9</v>
      </c>
      <c r="AL156" s="129">
        <v>9.0399999999999991</v>
      </c>
      <c r="AM156" s="129">
        <v>9.0649999999999977</v>
      </c>
      <c r="AN156" s="129">
        <v>9.0699999999999985</v>
      </c>
      <c r="AO156" s="126">
        <f t="shared" ca="1" si="15"/>
        <v>391</v>
      </c>
      <c r="AR156" s="99" t="s">
        <v>136</v>
      </c>
    </row>
    <row r="157" spans="1:59" s="99" customFormat="1" ht="21" customHeight="1" x14ac:dyDescent="0.35">
      <c r="A157" s="99">
        <v>400</v>
      </c>
      <c r="B157" s="126" t="str">
        <f t="shared" si="16"/>
        <v>RM-J3/1D-002X680</v>
      </c>
      <c r="C157" s="126" t="s">
        <v>43</v>
      </c>
      <c r="D157" s="126" t="s">
        <v>43</v>
      </c>
      <c r="E157" s="143" t="s">
        <v>830</v>
      </c>
      <c r="F157" s="143" t="s">
        <v>831</v>
      </c>
      <c r="G157" s="126" t="s">
        <v>29</v>
      </c>
      <c r="H157" s="126" t="s">
        <v>139</v>
      </c>
      <c r="I157" s="127">
        <v>2.4</v>
      </c>
      <c r="J157" s="127"/>
      <c r="K157" s="127"/>
      <c r="L157" s="127"/>
      <c r="M157" s="144">
        <v>680</v>
      </c>
      <c r="N157" s="129">
        <v>10.98</v>
      </c>
      <c r="O157" s="129"/>
      <c r="P157" s="129"/>
      <c r="Q157" s="130"/>
      <c r="R157" s="131"/>
      <c r="S157" s="131"/>
      <c r="T157" s="132"/>
      <c r="U157" s="132"/>
      <c r="V157" s="132"/>
      <c r="W157" s="132"/>
      <c r="X157" s="132"/>
      <c r="Y157" s="133"/>
      <c r="Z157" s="126" t="s">
        <v>64</v>
      </c>
      <c r="AA157" s="134" t="s">
        <v>322</v>
      </c>
      <c r="AB157" s="134"/>
      <c r="AC157" s="134"/>
      <c r="AD157" s="134">
        <v>44384</v>
      </c>
      <c r="AE157" s="134"/>
      <c r="AF157" s="134">
        <f t="shared" ca="1" si="12"/>
        <v>44963</v>
      </c>
      <c r="AG157" s="126">
        <f t="shared" ca="1" si="13"/>
        <v>579</v>
      </c>
      <c r="AH157" s="126" t="str">
        <f t="shared" si="14"/>
        <v/>
      </c>
      <c r="AI157" s="134" t="s">
        <v>832</v>
      </c>
      <c r="AJ157" s="143" t="s">
        <v>829</v>
      </c>
      <c r="AK157" s="129">
        <v>10.98</v>
      </c>
      <c r="AL157" s="129">
        <v>11.02</v>
      </c>
      <c r="AM157" s="129">
        <v>11.044999999999998</v>
      </c>
      <c r="AN157" s="129">
        <v>11.049999999999999</v>
      </c>
      <c r="AO157" s="126" t="str">
        <f t="shared" si="15"/>
        <v/>
      </c>
      <c r="AR157" s="99" t="s">
        <v>136</v>
      </c>
    </row>
    <row r="158" spans="1:59" s="99" customFormat="1" ht="21" customHeight="1" x14ac:dyDescent="0.35">
      <c r="A158" s="99">
        <v>400</v>
      </c>
      <c r="B158" s="126" t="str">
        <f t="shared" si="16"/>
        <v>WIP-J3/FH-001X595</v>
      </c>
      <c r="C158" s="126" t="s">
        <v>13</v>
      </c>
      <c r="D158" s="126" t="s">
        <v>13</v>
      </c>
      <c r="E158" s="143" t="s">
        <v>833</v>
      </c>
      <c r="F158" s="143" t="s">
        <v>834</v>
      </c>
      <c r="G158" s="126" t="s">
        <v>29</v>
      </c>
      <c r="H158" s="126" t="s">
        <v>65</v>
      </c>
      <c r="I158" s="127">
        <v>2.4</v>
      </c>
      <c r="J158" s="127">
        <v>1.45</v>
      </c>
      <c r="K158" s="127"/>
      <c r="L158" s="127"/>
      <c r="M158" s="144">
        <v>595</v>
      </c>
      <c r="N158" s="129">
        <v>8.06</v>
      </c>
      <c r="O158" s="129" t="s">
        <v>116</v>
      </c>
      <c r="P158" s="129"/>
      <c r="Q158" s="130" t="s">
        <v>117</v>
      </c>
      <c r="R158" s="130" t="s">
        <v>462</v>
      </c>
      <c r="S158" s="131"/>
      <c r="T158" s="132">
        <v>44515</v>
      </c>
      <c r="U158" s="132">
        <v>44515</v>
      </c>
      <c r="V158" s="132"/>
      <c r="W158" s="132"/>
      <c r="X158" s="132"/>
      <c r="Y158" s="133"/>
      <c r="Z158" s="126" t="s">
        <v>64</v>
      </c>
      <c r="AA158" s="134" t="s">
        <v>322</v>
      </c>
      <c r="AB158" s="134"/>
      <c r="AC158" s="134"/>
      <c r="AD158" s="134">
        <v>44384</v>
      </c>
      <c r="AE158" s="134"/>
      <c r="AF158" s="134">
        <f t="shared" ca="1" si="12"/>
        <v>44963</v>
      </c>
      <c r="AG158" s="126">
        <f t="shared" ca="1" si="13"/>
        <v>579</v>
      </c>
      <c r="AH158" s="126" t="str">
        <f t="shared" si="14"/>
        <v/>
      </c>
      <c r="AI158" s="134" t="s">
        <v>832</v>
      </c>
      <c r="AJ158" s="143" t="s">
        <v>546</v>
      </c>
      <c r="AK158" s="129">
        <v>8.0749999999999993</v>
      </c>
      <c r="AL158" s="129">
        <v>8.1149999999999984</v>
      </c>
      <c r="AM158" s="129">
        <v>8.139999999999997</v>
      </c>
      <c r="AN158" s="129">
        <v>8.1449999999999978</v>
      </c>
      <c r="AO158" s="126">
        <f t="shared" ca="1" si="15"/>
        <v>448</v>
      </c>
      <c r="AR158" s="99" t="s">
        <v>136</v>
      </c>
      <c r="BG158" s="135" t="s">
        <v>573</v>
      </c>
    </row>
    <row r="159" spans="1:59" s="99" customFormat="1" ht="21" customHeight="1" x14ac:dyDescent="0.35">
      <c r="A159" s="99">
        <v>400</v>
      </c>
      <c r="B159" s="126" t="str">
        <f t="shared" si="16"/>
        <v>RM-J3/1D-002X595</v>
      </c>
      <c r="C159" s="126" t="s">
        <v>43</v>
      </c>
      <c r="D159" s="126" t="s">
        <v>43</v>
      </c>
      <c r="E159" s="143" t="s">
        <v>835</v>
      </c>
      <c r="F159" s="143" t="s">
        <v>836</v>
      </c>
      <c r="G159" s="126" t="s">
        <v>29</v>
      </c>
      <c r="H159" s="126" t="s">
        <v>139</v>
      </c>
      <c r="I159" s="127">
        <v>2.4</v>
      </c>
      <c r="J159" s="127"/>
      <c r="K159" s="127"/>
      <c r="L159" s="127"/>
      <c r="M159" s="144">
        <v>595</v>
      </c>
      <c r="N159" s="129">
        <v>8.1349999999999998</v>
      </c>
      <c r="O159" s="129"/>
      <c r="P159" s="129"/>
      <c r="Q159" s="130"/>
      <c r="R159" s="131"/>
      <c r="S159" s="131"/>
      <c r="T159" s="132"/>
      <c r="U159" s="132"/>
      <c r="V159" s="132"/>
      <c r="W159" s="132"/>
      <c r="X159" s="132"/>
      <c r="Y159" s="133"/>
      <c r="Z159" s="126" t="s">
        <v>64</v>
      </c>
      <c r="AA159" s="134" t="s">
        <v>322</v>
      </c>
      <c r="AB159" s="134"/>
      <c r="AC159" s="134"/>
      <c r="AD159" s="134">
        <v>44384</v>
      </c>
      <c r="AE159" s="134"/>
      <c r="AF159" s="134">
        <f t="shared" ca="1" si="12"/>
        <v>44963</v>
      </c>
      <c r="AG159" s="126">
        <f t="shared" ca="1" si="13"/>
        <v>579</v>
      </c>
      <c r="AH159" s="126" t="str">
        <f t="shared" si="14"/>
        <v/>
      </c>
      <c r="AI159" s="134" t="s">
        <v>837</v>
      </c>
      <c r="AJ159" s="143" t="s">
        <v>838</v>
      </c>
      <c r="AK159" s="129">
        <v>8.1349999999999998</v>
      </c>
      <c r="AL159" s="129">
        <v>8.1749999999999989</v>
      </c>
      <c r="AM159" s="129">
        <v>8.1999999999999975</v>
      </c>
      <c r="AN159" s="129">
        <v>8.2049999999999983</v>
      </c>
      <c r="AO159" s="126" t="str">
        <f t="shared" si="15"/>
        <v/>
      </c>
      <c r="AR159" s="99" t="s">
        <v>136</v>
      </c>
    </row>
    <row r="160" spans="1:59" s="99" customFormat="1" ht="21" customHeight="1" x14ac:dyDescent="0.35">
      <c r="A160" s="99">
        <v>400</v>
      </c>
      <c r="B160" s="126" t="str">
        <f t="shared" si="16"/>
        <v>RM-J3/1D-002X650</v>
      </c>
      <c r="C160" s="126" t="s">
        <v>43</v>
      </c>
      <c r="D160" s="126" t="s">
        <v>43</v>
      </c>
      <c r="E160" s="143" t="s">
        <v>839</v>
      </c>
      <c r="F160" s="143" t="s">
        <v>840</v>
      </c>
      <c r="G160" s="126" t="s">
        <v>29</v>
      </c>
      <c r="H160" s="126" t="s">
        <v>139</v>
      </c>
      <c r="I160" s="127">
        <v>2.4</v>
      </c>
      <c r="J160" s="127"/>
      <c r="K160" s="127"/>
      <c r="L160" s="127"/>
      <c r="M160" s="144">
        <v>650</v>
      </c>
      <c r="N160" s="129">
        <v>10.41</v>
      </c>
      <c r="O160" s="129"/>
      <c r="P160" s="129"/>
      <c r="Q160" s="130"/>
      <c r="R160" s="131"/>
      <c r="S160" s="131"/>
      <c r="T160" s="132"/>
      <c r="U160" s="132"/>
      <c r="V160" s="132"/>
      <c r="W160" s="132"/>
      <c r="X160" s="132"/>
      <c r="Y160" s="133"/>
      <c r="Z160" s="126" t="s">
        <v>64</v>
      </c>
      <c r="AA160" s="134" t="s">
        <v>322</v>
      </c>
      <c r="AB160" s="134"/>
      <c r="AC160" s="134"/>
      <c r="AD160" s="134">
        <v>44384</v>
      </c>
      <c r="AE160" s="134"/>
      <c r="AF160" s="134">
        <f t="shared" ca="1" si="12"/>
        <v>44963</v>
      </c>
      <c r="AG160" s="126">
        <f t="shared" ca="1" si="13"/>
        <v>579</v>
      </c>
      <c r="AH160" s="126" t="str">
        <f t="shared" si="14"/>
        <v/>
      </c>
      <c r="AI160" s="134" t="s">
        <v>825</v>
      </c>
      <c r="AJ160" s="143" t="s">
        <v>841</v>
      </c>
      <c r="AK160" s="129">
        <v>10.41</v>
      </c>
      <c r="AL160" s="129">
        <v>10.45</v>
      </c>
      <c r="AM160" s="129">
        <v>10.474999999999998</v>
      </c>
      <c r="AN160" s="129">
        <v>10.479999999999999</v>
      </c>
      <c r="AO160" s="126" t="str">
        <f t="shared" si="15"/>
        <v/>
      </c>
      <c r="AR160" s="99" t="s">
        <v>136</v>
      </c>
    </row>
    <row r="161" spans="1:59" s="99" customFormat="1" ht="21" customHeight="1" x14ac:dyDescent="0.35">
      <c r="A161" s="99">
        <v>400</v>
      </c>
      <c r="B161" s="126" t="str">
        <f t="shared" si="16"/>
        <v>RM-J3/1D-002X620</v>
      </c>
      <c r="C161" s="126" t="s">
        <v>43</v>
      </c>
      <c r="D161" s="126" t="s">
        <v>43</v>
      </c>
      <c r="E161" s="143" t="s">
        <v>842</v>
      </c>
      <c r="F161" s="143" t="s">
        <v>843</v>
      </c>
      <c r="G161" s="126" t="s">
        <v>29</v>
      </c>
      <c r="H161" s="126" t="s">
        <v>139</v>
      </c>
      <c r="I161" s="127">
        <v>2.4</v>
      </c>
      <c r="J161" s="127"/>
      <c r="K161" s="127"/>
      <c r="L161" s="127"/>
      <c r="M161" s="144">
        <v>620</v>
      </c>
      <c r="N161" s="129">
        <v>4.9050000000000002</v>
      </c>
      <c r="O161" s="129"/>
      <c r="P161" s="129"/>
      <c r="Q161" s="130"/>
      <c r="R161" s="131"/>
      <c r="S161" s="131"/>
      <c r="T161" s="132"/>
      <c r="U161" s="132"/>
      <c r="V161" s="132"/>
      <c r="W161" s="132"/>
      <c r="X161" s="132"/>
      <c r="Y161" s="133"/>
      <c r="Z161" s="126" t="s">
        <v>64</v>
      </c>
      <c r="AA161" s="134" t="s">
        <v>322</v>
      </c>
      <c r="AB161" s="134"/>
      <c r="AC161" s="134"/>
      <c r="AD161" s="134">
        <v>44384</v>
      </c>
      <c r="AE161" s="134"/>
      <c r="AF161" s="134">
        <f t="shared" ca="1" si="12"/>
        <v>44963</v>
      </c>
      <c r="AG161" s="126">
        <f t="shared" ca="1" si="13"/>
        <v>579</v>
      </c>
      <c r="AH161" s="126" t="str">
        <f t="shared" si="14"/>
        <v/>
      </c>
      <c r="AI161" s="134" t="s">
        <v>844</v>
      </c>
      <c r="AJ161" s="143" t="s">
        <v>845</v>
      </c>
      <c r="AK161" s="129">
        <v>4.9050000000000002</v>
      </c>
      <c r="AL161" s="129">
        <v>4.9450000000000003</v>
      </c>
      <c r="AM161" s="129">
        <v>4.9700000000000006</v>
      </c>
      <c r="AN161" s="129">
        <v>4.9750000000000005</v>
      </c>
      <c r="AO161" s="126" t="str">
        <f t="shared" si="15"/>
        <v/>
      </c>
      <c r="AR161" s="99" t="s">
        <v>136</v>
      </c>
    </row>
    <row r="162" spans="1:59" s="99" customFormat="1" ht="21" customHeight="1" x14ac:dyDescent="0.35">
      <c r="A162" s="99">
        <v>400</v>
      </c>
      <c r="B162" s="126" t="str">
        <f t="shared" si="16"/>
        <v>RM-J3/1D-002X620</v>
      </c>
      <c r="C162" s="126" t="s">
        <v>43</v>
      </c>
      <c r="D162" s="126" t="s">
        <v>43</v>
      </c>
      <c r="E162" s="143" t="s">
        <v>846</v>
      </c>
      <c r="F162" s="143" t="s">
        <v>847</v>
      </c>
      <c r="G162" s="126" t="s">
        <v>29</v>
      </c>
      <c r="H162" s="126" t="s">
        <v>139</v>
      </c>
      <c r="I162" s="127">
        <v>2.4</v>
      </c>
      <c r="J162" s="127"/>
      <c r="K162" s="127"/>
      <c r="L162" s="127"/>
      <c r="M162" s="144">
        <v>620</v>
      </c>
      <c r="N162" s="129">
        <v>5.0250000000000004</v>
      </c>
      <c r="O162" s="129"/>
      <c r="P162" s="129"/>
      <c r="Q162" s="130"/>
      <c r="R162" s="131"/>
      <c r="S162" s="131"/>
      <c r="T162" s="132"/>
      <c r="U162" s="132"/>
      <c r="V162" s="132"/>
      <c r="W162" s="132"/>
      <c r="X162" s="132"/>
      <c r="Y162" s="133"/>
      <c r="Z162" s="126" t="s">
        <v>64</v>
      </c>
      <c r="AA162" s="134" t="s">
        <v>322</v>
      </c>
      <c r="AB162" s="134"/>
      <c r="AC162" s="134"/>
      <c r="AD162" s="134">
        <v>44384</v>
      </c>
      <c r="AE162" s="134"/>
      <c r="AF162" s="134">
        <f t="shared" ca="1" si="12"/>
        <v>44963</v>
      </c>
      <c r="AG162" s="126">
        <f t="shared" ca="1" si="13"/>
        <v>579</v>
      </c>
      <c r="AH162" s="126" t="str">
        <f t="shared" si="14"/>
        <v/>
      </c>
      <c r="AI162" s="134" t="s">
        <v>822</v>
      </c>
      <c r="AJ162" s="143" t="s">
        <v>845</v>
      </c>
      <c r="AK162" s="129">
        <v>5.0250000000000004</v>
      </c>
      <c r="AL162" s="129">
        <v>5.0650000000000004</v>
      </c>
      <c r="AM162" s="129">
        <v>5.0900000000000007</v>
      </c>
      <c r="AN162" s="129">
        <v>5.0950000000000006</v>
      </c>
      <c r="AO162" s="126" t="str">
        <f t="shared" si="15"/>
        <v/>
      </c>
      <c r="AR162" s="99" t="s">
        <v>136</v>
      </c>
    </row>
    <row r="163" spans="1:59" s="99" customFormat="1" ht="21" customHeight="1" x14ac:dyDescent="0.35">
      <c r="A163" s="99">
        <v>400</v>
      </c>
      <c r="B163" s="126" t="str">
        <f t="shared" si="16"/>
        <v>RM-J3/1D-002X615</v>
      </c>
      <c r="C163" s="126" t="s">
        <v>43</v>
      </c>
      <c r="D163" s="126" t="s">
        <v>43</v>
      </c>
      <c r="E163" s="143" t="s">
        <v>848</v>
      </c>
      <c r="F163" s="143" t="s">
        <v>849</v>
      </c>
      <c r="G163" s="126" t="s">
        <v>29</v>
      </c>
      <c r="H163" s="126" t="s">
        <v>139</v>
      </c>
      <c r="I163" s="127">
        <v>2.4</v>
      </c>
      <c r="J163" s="127"/>
      <c r="K163" s="127"/>
      <c r="L163" s="127"/>
      <c r="M163" s="144">
        <v>615</v>
      </c>
      <c r="N163" s="129">
        <v>4.9450000000000003</v>
      </c>
      <c r="O163" s="129"/>
      <c r="P163" s="129"/>
      <c r="Q163" s="130"/>
      <c r="R163" s="131"/>
      <c r="S163" s="131"/>
      <c r="T163" s="132"/>
      <c r="U163" s="132"/>
      <c r="V163" s="132"/>
      <c r="W163" s="132"/>
      <c r="X163" s="132"/>
      <c r="Y163" s="133"/>
      <c r="Z163" s="126" t="s">
        <v>64</v>
      </c>
      <c r="AA163" s="134" t="s">
        <v>322</v>
      </c>
      <c r="AB163" s="134"/>
      <c r="AC163" s="134"/>
      <c r="AD163" s="134">
        <v>44384</v>
      </c>
      <c r="AE163" s="134"/>
      <c r="AF163" s="134">
        <f t="shared" ca="1" si="12"/>
        <v>44963</v>
      </c>
      <c r="AG163" s="126">
        <f t="shared" ca="1" si="13"/>
        <v>579</v>
      </c>
      <c r="AH163" s="126" t="str">
        <f t="shared" si="14"/>
        <v/>
      </c>
      <c r="AI163" s="134" t="s">
        <v>761</v>
      </c>
      <c r="AJ163" s="143" t="s">
        <v>845</v>
      </c>
      <c r="AK163" s="129">
        <v>4.9450000000000003</v>
      </c>
      <c r="AL163" s="129">
        <v>4.9850000000000003</v>
      </c>
      <c r="AM163" s="129">
        <v>5.0100000000000007</v>
      </c>
      <c r="AN163" s="129">
        <v>5.0150000000000006</v>
      </c>
      <c r="AO163" s="126" t="str">
        <f t="shared" si="15"/>
        <v/>
      </c>
      <c r="AR163" s="99" t="s">
        <v>136</v>
      </c>
    </row>
    <row r="164" spans="1:59" s="99" customFormat="1" ht="21" customHeight="1" x14ac:dyDescent="0.35">
      <c r="A164" s="99">
        <v>400</v>
      </c>
      <c r="B164" s="126" t="str">
        <f t="shared" si="16"/>
        <v>RM-J3/1D-002X615</v>
      </c>
      <c r="C164" s="126" t="s">
        <v>43</v>
      </c>
      <c r="D164" s="126" t="s">
        <v>43</v>
      </c>
      <c r="E164" s="143" t="s">
        <v>850</v>
      </c>
      <c r="F164" s="143" t="s">
        <v>851</v>
      </c>
      <c r="G164" s="126" t="s">
        <v>29</v>
      </c>
      <c r="H164" s="126" t="s">
        <v>139</v>
      </c>
      <c r="I164" s="127">
        <v>2.4</v>
      </c>
      <c r="J164" s="127"/>
      <c r="K164" s="127"/>
      <c r="L164" s="127"/>
      <c r="M164" s="144">
        <v>615</v>
      </c>
      <c r="N164" s="129">
        <v>4.8099999999999996</v>
      </c>
      <c r="O164" s="129"/>
      <c r="P164" s="129"/>
      <c r="Q164" s="130"/>
      <c r="R164" s="131"/>
      <c r="S164" s="131"/>
      <c r="T164" s="132"/>
      <c r="U164" s="132"/>
      <c r="V164" s="132"/>
      <c r="W164" s="132"/>
      <c r="X164" s="132"/>
      <c r="Y164" s="133"/>
      <c r="Z164" s="126" t="s">
        <v>64</v>
      </c>
      <c r="AA164" s="134" t="s">
        <v>322</v>
      </c>
      <c r="AB164" s="134"/>
      <c r="AC164" s="134"/>
      <c r="AD164" s="134">
        <v>44384</v>
      </c>
      <c r="AE164" s="134"/>
      <c r="AF164" s="134">
        <f t="shared" ca="1" si="12"/>
        <v>44963</v>
      </c>
      <c r="AG164" s="126">
        <f t="shared" ca="1" si="13"/>
        <v>579</v>
      </c>
      <c r="AH164" s="126" t="str">
        <f t="shared" si="14"/>
        <v/>
      </c>
      <c r="AI164" s="134" t="s">
        <v>804</v>
      </c>
      <c r="AJ164" s="143" t="s">
        <v>845</v>
      </c>
      <c r="AK164" s="129">
        <v>4.8099999999999996</v>
      </c>
      <c r="AL164" s="129">
        <v>4.8499999999999996</v>
      </c>
      <c r="AM164" s="129">
        <v>4.875</v>
      </c>
      <c r="AN164" s="129">
        <v>4.88</v>
      </c>
      <c r="AO164" s="126" t="str">
        <f t="shared" si="15"/>
        <v/>
      </c>
      <c r="AR164" s="99" t="s">
        <v>136</v>
      </c>
    </row>
    <row r="165" spans="1:59" s="99" customFormat="1" ht="21" customHeight="1" x14ac:dyDescent="0.35">
      <c r="A165" s="99">
        <v>400</v>
      </c>
      <c r="B165" s="126" t="str">
        <f t="shared" si="16"/>
        <v>RM-J3/1D-002X670</v>
      </c>
      <c r="C165" s="126" t="s">
        <v>43</v>
      </c>
      <c r="D165" s="126" t="s">
        <v>43</v>
      </c>
      <c r="E165" s="143" t="s">
        <v>852</v>
      </c>
      <c r="F165" s="143" t="s">
        <v>853</v>
      </c>
      <c r="G165" s="126" t="s">
        <v>29</v>
      </c>
      <c r="H165" s="126" t="s">
        <v>139</v>
      </c>
      <c r="I165" s="127">
        <v>2.2000000000000002</v>
      </c>
      <c r="J165" s="127"/>
      <c r="K165" s="127"/>
      <c r="L165" s="127"/>
      <c r="M165" s="144">
        <v>670</v>
      </c>
      <c r="N165" s="129">
        <v>10.525</v>
      </c>
      <c r="O165" s="129"/>
      <c r="P165" s="129"/>
      <c r="Q165" s="130"/>
      <c r="R165" s="131"/>
      <c r="S165" s="131"/>
      <c r="T165" s="132"/>
      <c r="U165" s="132"/>
      <c r="V165" s="132"/>
      <c r="W165" s="132"/>
      <c r="X165" s="132"/>
      <c r="Y165" s="133"/>
      <c r="Z165" s="126" t="s">
        <v>64</v>
      </c>
      <c r="AA165" s="134" t="s">
        <v>322</v>
      </c>
      <c r="AB165" s="134"/>
      <c r="AC165" s="134"/>
      <c r="AD165" s="134">
        <v>44384</v>
      </c>
      <c r="AE165" s="134"/>
      <c r="AF165" s="134">
        <f t="shared" ca="1" si="12"/>
        <v>44963</v>
      </c>
      <c r="AG165" s="126">
        <f t="shared" ca="1" si="13"/>
        <v>579</v>
      </c>
      <c r="AH165" s="126" t="str">
        <f t="shared" si="14"/>
        <v/>
      </c>
      <c r="AI165" s="134" t="s">
        <v>804</v>
      </c>
      <c r="AJ165" s="143" t="s">
        <v>854</v>
      </c>
      <c r="AK165" s="129">
        <v>10.525</v>
      </c>
      <c r="AL165" s="129">
        <v>10.565</v>
      </c>
      <c r="AM165" s="129">
        <v>10.589999999999998</v>
      </c>
      <c r="AN165" s="129">
        <v>10.594999999999999</v>
      </c>
      <c r="AO165" s="126" t="str">
        <f t="shared" si="15"/>
        <v/>
      </c>
      <c r="AR165" s="99" t="s">
        <v>136</v>
      </c>
    </row>
    <row r="166" spans="1:59" s="99" customFormat="1" ht="21" customHeight="1" x14ac:dyDescent="0.35">
      <c r="A166" s="99">
        <v>400</v>
      </c>
      <c r="B166" s="126" t="str">
        <f t="shared" si="16"/>
        <v>RM-J3/1D-002X665</v>
      </c>
      <c r="C166" s="126" t="s">
        <v>43</v>
      </c>
      <c r="D166" s="126" t="s">
        <v>43</v>
      </c>
      <c r="E166" s="143" t="s">
        <v>855</v>
      </c>
      <c r="F166" s="143" t="s">
        <v>856</v>
      </c>
      <c r="G166" s="126" t="s">
        <v>29</v>
      </c>
      <c r="H166" s="126" t="s">
        <v>139</v>
      </c>
      <c r="I166" s="127">
        <v>2.2000000000000002</v>
      </c>
      <c r="J166" s="127"/>
      <c r="K166" s="127"/>
      <c r="L166" s="127"/>
      <c r="M166" s="144">
        <v>665</v>
      </c>
      <c r="N166" s="129">
        <v>10.574999999999999</v>
      </c>
      <c r="O166" s="129"/>
      <c r="P166" s="129"/>
      <c r="Q166" s="130"/>
      <c r="R166" s="131"/>
      <c r="S166" s="131"/>
      <c r="T166" s="132"/>
      <c r="U166" s="132"/>
      <c r="V166" s="132"/>
      <c r="W166" s="132"/>
      <c r="X166" s="132"/>
      <c r="Y166" s="133"/>
      <c r="Z166" s="126" t="s">
        <v>64</v>
      </c>
      <c r="AA166" s="134" t="s">
        <v>322</v>
      </c>
      <c r="AB166" s="134"/>
      <c r="AC166" s="134"/>
      <c r="AD166" s="134">
        <v>44384</v>
      </c>
      <c r="AE166" s="134"/>
      <c r="AF166" s="134">
        <f t="shared" ca="1" si="12"/>
        <v>44963</v>
      </c>
      <c r="AG166" s="126">
        <f t="shared" ca="1" si="13"/>
        <v>579</v>
      </c>
      <c r="AH166" s="126" t="str">
        <f t="shared" si="14"/>
        <v/>
      </c>
      <c r="AI166" s="134" t="s">
        <v>844</v>
      </c>
      <c r="AJ166" s="143" t="s">
        <v>857</v>
      </c>
      <c r="AK166" s="129">
        <v>10.574999999999999</v>
      </c>
      <c r="AL166" s="129">
        <v>10.614999999999998</v>
      </c>
      <c r="AM166" s="129">
        <v>10.639999999999997</v>
      </c>
      <c r="AN166" s="129">
        <v>10.644999999999998</v>
      </c>
      <c r="AO166" s="126" t="str">
        <f t="shared" si="15"/>
        <v/>
      </c>
      <c r="AR166" s="99" t="s">
        <v>136</v>
      </c>
    </row>
    <row r="167" spans="1:59" s="99" customFormat="1" ht="21" customHeight="1" x14ac:dyDescent="0.35">
      <c r="A167" s="99">
        <v>400</v>
      </c>
      <c r="B167" s="126" t="str">
        <f t="shared" si="16"/>
        <v>RM-J3/1D-002X560</v>
      </c>
      <c r="C167" s="126" t="s">
        <v>43</v>
      </c>
      <c r="D167" s="126" t="s">
        <v>43</v>
      </c>
      <c r="E167" s="143" t="s">
        <v>858</v>
      </c>
      <c r="F167" s="143" t="s">
        <v>859</v>
      </c>
      <c r="G167" s="126" t="s">
        <v>29</v>
      </c>
      <c r="H167" s="126" t="s">
        <v>139</v>
      </c>
      <c r="I167" s="127">
        <v>2.4</v>
      </c>
      <c r="J167" s="127"/>
      <c r="K167" s="127"/>
      <c r="L167" s="127"/>
      <c r="M167" s="144">
        <v>560</v>
      </c>
      <c r="N167" s="129">
        <v>9.0250000000000004</v>
      </c>
      <c r="O167" s="129"/>
      <c r="P167" s="129"/>
      <c r="Q167" s="130"/>
      <c r="R167" s="131"/>
      <c r="S167" s="131"/>
      <c r="T167" s="132"/>
      <c r="U167" s="132"/>
      <c r="V167" s="132"/>
      <c r="W167" s="132"/>
      <c r="X167" s="132"/>
      <c r="Y167" s="133"/>
      <c r="Z167" s="126" t="s">
        <v>64</v>
      </c>
      <c r="AA167" s="134" t="s">
        <v>322</v>
      </c>
      <c r="AB167" s="134"/>
      <c r="AC167" s="134"/>
      <c r="AD167" s="134">
        <v>44384</v>
      </c>
      <c r="AE167" s="134"/>
      <c r="AF167" s="134">
        <f t="shared" ca="1" si="12"/>
        <v>44963</v>
      </c>
      <c r="AG167" s="126">
        <f t="shared" ca="1" si="13"/>
        <v>579</v>
      </c>
      <c r="AH167" s="126" t="str">
        <f t="shared" si="14"/>
        <v/>
      </c>
      <c r="AI167" s="134" t="s">
        <v>844</v>
      </c>
      <c r="AJ167" s="143" t="s">
        <v>860</v>
      </c>
      <c r="AK167" s="129">
        <v>9.0250000000000004</v>
      </c>
      <c r="AL167" s="129">
        <v>9.0649999999999995</v>
      </c>
      <c r="AM167" s="129">
        <v>9.0899999999999981</v>
      </c>
      <c r="AN167" s="129">
        <v>9.0949999999999989</v>
      </c>
      <c r="AO167" s="126" t="str">
        <f t="shared" si="15"/>
        <v/>
      </c>
      <c r="AR167" s="99" t="s">
        <v>136</v>
      </c>
    </row>
    <row r="168" spans="1:59" s="99" customFormat="1" ht="21" customHeight="1" x14ac:dyDescent="0.35">
      <c r="A168" s="99">
        <v>400</v>
      </c>
      <c r="B168" s="126" t="str">
        <f t="shared" si="16"/>
        <v>WIP-J3/2B-001X680</v>
      </c>
      <c r="C168" s="126" t="s">
        <v>14</v>
      </c>
      <c r="D168" s="126" t="s">
        <v>358</v>
      </c>
      <c r="E168" s="143" t="s">
        <v>861</v>
      </c>
      <c r="F168" s="143" t="s">
        <v>862</v>
      </c>
      <c r="G168" s="126" t="s">
        <v>29</v>
      </c>
      <c r="H168" s="126" t="s">
        <v>116</v>
      </c>
      <c r="I168" s="127">
        <v>2.4</v>
      </c>
      <c r="J168" s="127">
        <v>0.91</v>
      </c>
      <c r="K168" s="127"/>
      <c r="L168" s="127"/>
      <c r="M168" s="144">
        <v>680</v>
      </c>
      <c r="N168" s="129">
        <v>8.25</v>
      </c>
      <c r="O168" s="129" t="s">
        <v>116</v>
      </c>
      <c r="P168" s="129"/>
      <c r="Q168" s="130" t="s">
        <v>412</v>
      </c>
      <c r="R168" s="130" t="s">
        <v>579</v>
      </c>
      <c r="S168" s="131"/>
      <c r="T168" s="132">
        <v>44574</v>
      </c>
      <c r="U168" s="132">
        <v>44574</v>
      </c>
      <c r="V168" s="132">
        <v>44577</v>
      </c>
      <c r="W168" s="132"/>
      <c r="X168" s="132"/>
      <c r="Y168" s="133"/>
      <c r="Z168" s="126" t="s">
        <v>64</v>
      </c>
      <c r="AA168" s="134" t="s">
        <v>322</v>
      </c>
      <c r="AB168" s="134"/>
      <c r="AC168" s="134"/>
      <c r="AD168" s="134">
        <v>44384</v>
      </c>
      <c r="AE168" s="134"/>
      <c r="AF168" s="134">
        <f t="shared" ca="1" si="12"/>
        <v>44963</v>
      </c>
      <c r="AG168" s="126">
        <f t="shared" ca="1" si="13"/>
        <v>579</v>
      </c>
      <c r="AH168" s="126">
        <f t="shared" ca="1" si="14"/>
        <v>386</v>
      </c>
      <c r="AI168" s="134" t="s">
        <v>822</v>
      </c>
      <c r="AJ168" s="143" t="s">
        <v>860</v>
      </c>
      <c r="AK168" s="129">
        <v>10.94</v>
      </c>
      <c r="AL168" s="129">
        <v>10.979999999999999</v>
      </c>
      <c r="AM168" s="129">
        <v>11.004999999999997</v>
      </c>
      <c r="AN168" s="129">
        <v>11.009999999999998</v>
      </c>
      <c r="AO168" s="126">
        <f t="shared" ca="1" si="15"/>
        <v>389</v>
      </c>
      <c r="AR168" s="99" t="s">
        <v>136</v>
      </c>
    </row>
    <row r="169" spans="1:59" s="99" customFormat="1" ht="21" customHeight="1" x14ac:dyDescent="0.35">
      <c r="A169" s="99">
        <v>402</v>
      </c>
      <c r="B169" s="126" t="str">
        <f t="shared" si="16"/>
        <v>WIP-304/304L/FH-000X757</v>
      </c>
      <c r="C169" s="126" t="s">
        <v>13</v>
      </c>
      <c r="D169" s="126" t="s">
        <v>13</v>
      </c>
      <c r="E169" s="143" t="s">
        <v>863</v>
      </c>
      <c r="F169" s="143" t="s">
        <v>864</v>
      </c>
      <c r="G169" s="126" t="s">
        <v>377</v>
      </c>
      <c r="H169" s="126" t="s">
        <v>65</v>
      </c>
      <c r="I169" s="127">
        <v>0.78</v>
      </c>
      <c r="J169" s="127">
        <v>0.4</v>
      </c>
      <c r="K169" s="127"/>
      <c r="L169" s="127"/>
      <c r="M169" s="144">
        <v>757</v>
      </c>
      <c r="N169" s="129">
        <v>2.1150000000000002</v>
      </c>
      <c r="O169" s="129" t="s">
        <v>116</v>
      </c>
      <c r="P169" s="129"/>
      <c r="Q169" s="130" t="s">
        <v>232</v>
      </c>
      <c r="R169" s="130" t="s">
        <v>865</v>
      </c>
      <c r="S169" s="131" t="s">
        <v>257</v>
      </c>
      <c r="T169" s="132" t="s">
        <v>866</v>
      </c>
      <c r="U169" s="132" t="s">
        <v>866</v>
      </c>
      <c r="V169" s="132">
        <v>44404</v>
      </c>
      <c r="W169" s="132" t="s">
        <v>867</v>
      </c>
      <c r="X169" s="132"/>
      <c r="Y169" s="133"/>
      <c r="Z169" s="126" t="s">
        <v>64</v>
      </c>
      <c r="AA169" s="134" t="s">
        <v>154</v>
      </c>
      <c r="AB169" s="134" t="s">
        <v>868</v>
      </c>
      <c r="AC169" s="134"/>
      <c r="AD169" s="134">
        <v>44388</v>
      </c>
      <c r="AE169" s="134"/>
      <c r="AF169" s="134">
        <f t="shared" ca="1" si="12"/>
        <v>44963</v>
      </c>
      <c r="AG169" s="126">
        <f t="shared" ca="1" si="13"/>
        <v>575</v>
      </c>
      <c r="AH169" s="126">
        <f t="shared" ca="1" si="14"/>
        <v>559</v>
      </c>
      <c r="AI169" s="134"/>
      <c r="AJ169" s="143" t="s">
        <v>869</v>
      </c>
      <c r="AK169" s="129">
        <v>10.42</v>
      </c>
      <c r="AL169" s="129">
        <v>10.43</v>
      </c>
      <c r="AM169" s="129">
        <v>10.454999999999998</v>
      </c>
      <c r="AN169" s="129">
        <v>10.459999999999999</v>
      </c>
      <c r="AO169" s="126">
        <f t="shared" ca="1" si="15"/>
        <v>607</v>
      </c>
      <c r="AR169" s="99" t="s">
        <v>136</v>
      </c>
      <c r="BG169" s="135" t="s">
        <v>301</v>
      </c>
    </row>
    <row r="170" spans="1:59" s="99" customFormat="1" ht="21" customHeight="1" x14ac:dyDescent="0.35">
      <c r="A170" s="99">
        <v>402</v>
      </c>
      <c r="B170" s="126" t="str">
        <f t="shared" si="16"/>
        <v>WIP-304/304L/FH-001X757</v>
      </c>
      <c r="C170" s="126" t="s">
        <v>13</v>
      </c>
      <c r="D170" s="126" t="s">
        <v>13</v>
      </c>
      <c r="E170" s="143" t="s">
        <v>870</v>
      </c>
      <c r="F170" s="143" t="s">
        <v>871</v>
      </c>
      <c r="G170" s="126" t="s">
        <v>377</v>
      </c>
      <c r="H170" s="126" t="s">
        <v>65</v>
      </c>
      <c r="I170" s="127">
        <v>0.87</v>
      </c>
      <c r="J170" s="127">
        <v>0.5</v>
      </c>
      <c r="K170" s="127"/>
      <c r="L170" s="127"/>
      <c r="M170" s="144">
        <v>757</v>
      </c>
      <c r="N170" s="129">
        <v>2.3050000000000002</v>
      </c>
      <c r="O170" s="129" t="s">
        <v>116</v>
      </c>
      <c r="P170" s="129"/>
      <c r="Q170" s="130" t="s">
        <v>232</v>
      </c>
      <c r="R170" s="130" t="s">
        <v>865</v>
      </c>
      <c r="S170" s="131" t="s">
        <v>257</v>
      </c>
      <c r="T170" s="132" t="s">
        <v>872</v>
      </c>
      <c r="U170" s="132" t="s">
        <v>872</v>
      </c>
      <c r="V170" s="132">
        <v>44401</v>
      </c>
      <c r="W170" s="132" t="s">
        <v>873</v>
      </c>
      <c r="X170" s="132"/>
      <c r="Y170" s="133"/>
      <c r="Z170" s="126" t="s">
        <v>64</v>
      </c>
      <c r="AA170" s="134" t="s">
        <v>154</v>
      </c>
      <c r="AB170" s="134" t="s">
        <v>874</v>
      </c>
      <c r="AC170" s="134"/>
      <c r="AD170" s="134">
        <v>44388</v>
      </c>
      <c r="AE170" s="134"/>
      <c r="AF170" s="134">
        <f t="shared" ca="1" si="12"/>
        <v>44963</v>
      </c>
      <c r="AG170" s="126">
        <f t="shared" ca="1" si="13"/>
        <v>575</v>
      </c>
      <c r="AH170" s="126">
        <f t="shared" ca="1" si="14"/>
        <v>562</v>
      </c>
      <c r="AI170" s="134"/>
      <c r="AJ170" s="143" t="s">
        <v>875</v>
      </c>
      <c r="AK170" s="129">
        <v>12.145</v>
      </c>
      <c r="AL170" s="129">
        <v>12.154999999999999</v>
      </c>
      <c r="AM170" s="129">
        <v>12.179999999999998</v>
      </c>
      <c r="AN170" s="129">
        <v>12.184999999999999</v>
      </c>
      <c r="AO170" s="126">
        <f t="shared" ca="1" si="15"/>
        <v>607</v>
      </c>
      <c r="AR170" s="99" t="s">
        <v>136</v>
      </c>
      <c r="BG170" s="135" t="s">
        <v>301</v>
      </c>
    </row>
    <row r="171" spans="1:59" s="99" customFormat="1" ht="21" customHeight="1" x14ac:dyDescent="0.35">
      <c r="A171" s="99">
        <v>406</v>
      </c>
      <c r="B171" s="126" t="str">
        <f t="shared" si="16"/>
        <v>RM-J3/1D-002X640</v>
      </c>
      <c r="C171" s="126" t="s">
        <v>43</v>
      </c>
      <c r="D171" s="126" t="s">
        <v>43</v>
      </c>
      <c r="E171" s="143" t="s">
        <v>876</v>
      </c>
      <c r="F171" s="143" t="s">
        <v>877</v>
      </c>
      <c r="G171" s="126" t="s">
        <v>29</v>
      </c>
      <c r="H171" s="126" t="s">
        <v>139</v>
      </c>
      <c r="I171" s="127">
        <v>2.4</v>
      </c>
      <c r="J171" s="127"/>
      <c r="K171" s="127"/>
      <c r="L171" s="127"/>
      <c r="M171" s="144">
        <v>640</v>
      </c>
      <c r="N171" s="129">
        <v>10.285</v>
      </c>
      <c r="O171" s="129"/>
      <c r="P171" s="129"/>
      <c r="Q171" s="130"/>
      <c r="R171" s="131"/>
      <c r="S171" s="131"/>
      <c r="T171" s="132"/>
      <c r="U171" s="132"/>
      <c r="V171" s="132"/>
      <c r="W171" s="132"/>
      <c r="X171" s="132"/>
      <c r="Y171" s="133"/>
      <c r="Z171" s="126" t="s">
        <v>64</v>
      </c>
      <c r="AA171" s="134" t="s">
        <v>322</v>
      </c>
      <c r="AB171" s="134"/>
      <c r="AC171" s="134"/>
      <c r="AD171" s="134">
        <v>44396</v>
      </c>
      <c r="AE171" s="134"/>
      <c r="AF171" s="134">
        <f t="shared" ca="1" si="12"/>
        <v>44963</v>
      </c>
      <c r="AG171" s="126">
        <f t="shared" ca="1" si="13"/>
        <v>567</v>
      </c>
      <c r="AH171" s="126" t="str">
        <f t="shared" si="14"/>
        <v/>
      </c>
      <c r="AI171" s="134" t="s">
        <v>878</v>
      </c>
      <c r="AJ171" s="143" t="s">
        <v>768</v>
      </c>
      <c r="AK171" s="129">
        <v>10.285</v>
      </c>
      <c r="AL171" s="129">
        <v>10.324999999999999</v>
      </c>
      <c r="AM171" s="129">
        <v>10.349999999999998</v>
      </c>
      <c r="AN171" s="129">
        <v>10.354999999999999</v>
      </c>
      <c r="AO171" s="126" t="str">
        <f t="shared" si="15"/>
        <v/>
      </c>
    </row>
    <row r="172" spans="1:59" s="99" customFormat="1" ht="21" customHeight="1" x14ac:dyDescent="0.35">
      <c r="A172" s="99">
        <v>406</v>
      </c>
      <c r="B172" s="126" t="str">
        <f t="shared" si="16"/>
        <v>WIP-J3/2B-001X640</v>
      </c>
      <c r="C172" s="126" t="s">
        <v>14</v>
      </c>
      <c r="D172" s="126" t="s">
        <v>358</v>
      </c>
      <c r="E172" s="143" t="s">
        <v>879</v>
      </c>
      <c r="F172" s="143" t="s">
        <v>880</v>
      </c>
      <c r="G172" s="126" t="s">
        <v>29</v>
      </c>
      <c r="H172" s="126" t="s">
        <v>116</v>
      </c>
      <c r="I172" s="127">
        <v>2.4</v>
      </c>
      <c r="J172" s="127">
        <v>0.95</v>
      </c>
      <c r="K172" s="127">
        <v>0.94</v>
      </c>
      <c r="L172" s="127">
        <v>0.96</v>
      </c>
      <c r="M172" s="144">
        <v>640</v>
      </c>
      <c r="N172" s="129">
        <v>10.195</v>
      </c>
      <c r="O172" s="129" t="s">
        <v>116</v>
      </c>
      <c r="P172" s="129"/>
      <c r="Q172" s="130" t="s">
        <v>412</v>
      </c>
      <c r="R172" s="131"/>
      <c r="S172" s="131"/>
      <c r="T172" s="132">
        <v>44571</v>
      </c>
      <c r="U172" s="132">
        <v>44571</v>
      </c>
      <c r="V172" s="132">
        <v>44596</v>
      </c>
      <c r="W172" s="132"/>
      <c r="X172" s="132"/>
      <c r="Y172" s="133"/>
      <c r="Z172" s="126" t="s">
        <v>64</v>
      </c>
      <c r="AA172" s="134" t="s">
        <v>322</v>
      </c>
      <c r="AB172" s="134"/>
      <c r="AC172" s="134"/>
      <c r="AD172" s="134">
        <v>44396</v>
      </c>
      <c r="AE172" s="134"/>
      <c r="AF172" s="134">
        <f t="shared" ca="1" si="12"/>
        <v>44963</v>
      </c>
      <c r="AG172" s="126">
        <f t="shared" ca="1" si="13"/>
        <v>567</v>
      </c>
      <c r="AH172" s="126">
        <f t="shared" ca="1" si="14"/>
        <v>367</v>
      </c>
      <c r="AI172" s="134" t="s">
        <v>881</v>
      </c>
      <c r="AJ172" s="143" t="s">
        <v>714</v>
      </c>
      <c r="AK172" s="129">
        <v>10.244999999999999</v>
      </c>
      <c r="AL172" s="129">
        <v>10.285</v>
      </c>
      <c r="AM172" s="129">
        <v>10.309999999999999</v>
      </c>
      <c r="AN172" s="129">
        <v>10.315</v>
      </c>
      <c r="AO172" s="126">
        <f t="shared" ca="1" si="15"/>
        <v>392</v>
      </c>
      <c r="AR172" s="99" t="s">
        <v>136</v>
      </c>
    </row>
    <row r="173" spans="1:59" s="99" customFormat="1" ht="21" customHeight="1" x14ac:dyDescent="0.35">
      <c r="A173" s="99">
        <v>406</v>
      </c>
      <c r="B173" s="126" t="str">
        <f t="shared" si="16"/>
        <v>RM-J3/1D-002X640</v>
      </c>
      <c r="C173" s="126" t="s">
        <v>43</v>
      </c>
      <c r="D173" s="126" t="s">
        <v>43</v>
      </c>
      <c r="E173" s="143" t="s">
        <v>882</v>
      </c>
      <c r="F173" s="143" t="s">
        <v>883</v>
      </c>
      <c r="G173" s="126" t="s">
        <v>29</v>
      </c>
      <c r="H173" s="126" t="s">
        <v>139</v>
      </c>
      <c r="I173" s="127">
        <v>2.4</v>
      </c>
      <c r="J173" s="127"/>
      <c r="K173" s="127"/>
      <c r="L173" s="127"/>
      <c r="M173" s="144">
        <v>640</v>
      </c>
      <c r="N173" s="129">
        <v>10.305</v>
      </c>
      <c r="O173" s="129"/>
      <c r="P173" s="129"/>
      <c r="Q173" s="130"/>
      <c r="R173" s="131"/>
      <c r="S173" s="131"/>
      <c r="T173" s="132"/>
      <c r="U173" s="132"/>
      <c r="V173" s="132"/>
      <c r="W173" s="132"/>
      <c r="X173" s="132"/>
      <c r="Y173" s="133"/>
      <c r="Z173" s="126" t="s">
        <v>64</v>
      </c>
      <c r="AA173" s="134" t="s">
        <v>322</v>
      </c>
      <c r="AB173" s="134"/>
      <c r="AC173" s="134"/>
      <c r="AD173" s="134">
        <v>44396</v>
      </c>
      <c r="AE173" s="134"/>
      <c r="AF173" s="134">
        <f t="shared" ca="1" si="12"/>
        <v>44963</v>
      </c>
      <c r="AG173" s="126">
        <f t="shared" ca="1" si="13"/>
        <v>567</v>
      </c>
      <c r="AH173" s="126" t="str">
        <f t="shared" si="14"/>
        <v/>
      </c>
      <c r="AI173" s="134" t="s">
        <v>878</v>
      </c>
      <c r="AJ173" s="143" t="s">
        <v>884</v>
      </c>
      <c r="AK173" s="129">
        <v>10.305</v>
      </c>
      <c r="AL173" s="129">
        <v>10.345000000000001</v>
      </c>
      <c r="AM173" s="129">
        <v>10.37</v>
      </c>
      <c r="AN173" s="129">
        <v>10.375</v>
      </c>
      <c r="AO173" s="126" t="str">
        <f t="shared" si="15"/>
        <v/>
      </c>
      <c r="AR173" s="99" t="s">
        <v>136</v>
      </c>
    </row>
    <row r="174" spans="1:59" s="99" customFormat="1" ht="21" customHeight="1" x14ac:dyDescent="0.35">
      <c r="A174" s="99">
        <v>406</v>
      </c>
      <c r="B174" s="126" t="str">
        <f t="shared" si="16"/>
        <v>RM-J3/1D-002X645</v>
      </c>
      <c r="C174" s="126" t="s">
        <v>43</v>
      </c>
      <c r="D174" s="126" t="s">
        <v>43</v>
      </c>
      <c r="E174" s="143" t="s">
        <v>885</v>
      </c>
      <c r="F174" s="143" t="s">
        <v>886</v>
      </c>
      <c r="G174" s="126" t="s">
        <v>29</v>
      </c>
      <c r="H174" s="126" t="s">
        <v>139</v>
      </c>
      <c r="I174" s="127">
        <v>2.2000000000000002</v>
      </c>
      <c r="J174" s="127"/>
      <c r="K174" s="127"/>
      <c r="L174" s="127"/>
      <c r="M174" s="144">
        <v>645</v>
      </c>
      <c r="N174" s="129">
        <v>10.28</v>
      </c>
      <c r="O174" s="129"/>
      <c r="P174" s="129"/>
      <c r="Q174" s="130"/>
      <c r="R174" s="131"/>
      <c r="S174" s="131"/>
      <c r="T174" s="132"/>
      <c r="U174" s="132"/>
      <c r="V174" s="132"/>
      <c r="W174" s="132"/>
      <c r="X174" s="132"/>
      <c r="Y174" s="133"/>
      <c r="Z174" s="126" t="s">
        <v>64</v>
      </c>
      <c r="AA174" s="134" t="s">
        <v>322</v>
      </c>
      <c r="AB174" s="134"/>
      <c r="AC174" s="134"/>
      <c r="AD174" s="134">
        <v>44396</v>
      </c>
      <c r="AE174" s="134"/>
      <c r="AF174" s="134">
        <f t="shared" ca="1" si="12"/>
        <v>44963</v>
      </c>
      <c r="AG174" s="126">
        <f t="shared" ca="1" si="13"/>
        <v>567</v>
      </c>
      <c r="AH174" s="126" t="str">
        <f t="shared" si="14"/>
        <v/>
      </c>
      <c r="AI174" s="134" t="s">
        <v>887</v>
      </c>
      <c r="AJ174" s="143" t="s">
        <v>888</v>
      </c>
      <c r="AK174" s="129">
        <v>10.28</v>
      </c>
      <c r="AL174" s="129">
        <v>10.32</v>
      </c>
      <c r="AM174" s="129">
        <v>10.344999999999999</v>
      </c>
      <c r="AN174" s="129">
        <v>10.35</v>
      </c>
      <c r="AO174" s="126" t="str">
        <f t="shared" si="15"/>
        <v/>
      </c>
      <c r="AR174" s="99" t="s">
        <v>136</v>
      </c>
    </row>
    <row r="175" spans="1:59" s="99" customFormat="1" ht="21" customHeight="1" x14ac:dyDescent="0.35">
      <c r="A175" s="99">
        <v>406</v>
      </c>
      <c r="B175" s="126" t="str">
        <f t="shared" si="16"/>
        <v>RM-J3/1D-002X620</v>
      </c>
      <c r="C175" s="126" t="s">
        <v>43</v>
      </c>
      <c r="D175" s="126" t="s">
        <v>43</v>
      </c>
      <c r="E175" s="143" t="s">
        <v>889</v>
      </c>
      <c r="F175" s="143" t="s">
        <v>890</v>
      </c>
      <c r="G175" s="126" t="s">
        <v>29</v>
      </c>
      <c r="H175" s="126" t="s">
        <v>139</v>
      </c>
      <c r="I175" s="127">
        <v>2.4</v>
      </c>
      <c r="J175" s="127"/>
      <c r="K175" s="127"/>
      <c r="L175" s="127"/>
      <c r="M175" s="144">
        <v>620</v>
      </c>
      <c r="N175" s="129">
        <v>4.78</v>
      </c>
      <c r="O175" s="129"/>
      <c r="P175" s="129"/>
      <c r="Q175" s="130"/>
      <c r="R175" s="131"/>
      <c r="S175" s="131"/>
      <c r="T175" s="132"/>
      <c r="U175" s="132"/>
      <c r="V175" s="132"/>
      <c r="W175" s="132"/>
      <c r="X175" s="132"/>
      <c r="Y175" s="133"/>
      <c r="Z175" s="126" t="s">
        <v>64</v>
      </c>
      <c r="AA175" s="134" t="s">
        <v>322</v>
      </c>
      <c r="AB175" s="134"/>
      <c r="AC175" s="134"/>
      <c r="AD175" s="134">
        <v>44396</v>
      </c>
      <c r="AE175" s="134"/>
      <c r="AF175" s="134">
        <f t="shared" ca="1" si="12"/>
        <v>44963</v>
      </c>
      <c r="AG175" s="126">
        <f t="shared" ca="1" si="13"/>
        <v>567</v>
      </c>
      <c r="AH175" s="126" t="str">
        <f t="shared" si="14"/>
        <v/>
      </c>
      <c r="AI175" s="134" t="s">
        <v>891</v>
      </c>
      <c r="AJ175" s="143" t="s">
        <v>892</v>
      </c>
      <c r="AK175" s="129">
        <v>4.78</v>
      </c>
      <c r="AL175" s="129">
        <v>4.82</v>
      </c>
      <c r="AM175" s="129">
        <v>4.8450000000000006</v>
      </c>
      <c r="AN175" s="129">
        <v>4.8500000000000005</v>
      </c>
      <c r="AO175" s="126" t="str">
        <f t="shared" si="15"/>
        <v/>
      </c>
      <c r="AR175" s="99" t="s">
        <v>136</v>
      </c>
    </row>
    <row r="176" spans="1:59" s="99" customFormat="1" ht="21" customHeight="1" x14ac:dyDescent="0.35">
      <c r="A176" s="99">
        <v>406</v>
      </c>
      <c r="B176" s="126" t="str">
        <f t="shared" si="16"/>
        <v>RM-J3/1D-002X620</v>
      </c>
      <c r="C176" s="126" t="s">
        <v>43</v>
      </c>
      <c r="D176" s="126" t="s">
        <v>43</v>
      </c>
      <c r="E176" s="143" t="s">
        <v>893</v>
      </c>
      <c r="F176" s="143" t="s">
        <v>894</v>
      </c>
      <c r="G176" s="126" t="s">
        <v>29</v>
      </c>
      <c r="H176" s="126" t="s">
        <v>139</v>
      </c>
      <c r="I176" s="127">
        <v>2.4</v>
      </c>
      <c r="J176" s="127"/>
      <c r="K176" s="127"/>
      <c r="L176" s="127"/>
      <c r="M176" s="144">
        <v>620</v>
      </c>
      <c r="N176" s="129">
        <v>4.8099999999999996</v>
      </c>
      <c r="O176" s="129"/>
      <c r="P176" s="129"/>
      <c r="Q176" s="130"/>
      <c r="R176" s="131"/>
      <c r="S176" s="131"/>
      <c r="T176" s="132"/>
      <c r="U176" s="132"/>
      <c r="V176" s="132"/>
      <c r="W176" s="132"/>
      <c r="X176" s="132"/>
      <c r="Y176" s="133"/>
      <c r="Z176" s="126" t="s">
        <v>64</v>
      </c>
      <c r="AA176" s="134" t="s">
        <v>322</v>
      </c>
      <c r="AB176" s="134"/>
      <c r="AC176" s="134"/>
      <c r="AD176" s="134">
        <v>44396</v>
      </c>
      <c r="AE176" s="134"/>
      <c r="AF176" s="134">
        <f t="shared" ca="1" si="12"/>
        <v>44963</v>
      </c>
      <c r="AG176" s="126">
        <f t="shared" ca="1" si="13"/>
        <v>567</v>
      </c>
      <c r="AH176" s="126" t="str">
        <f t="shared" si="14"/>
        <v/>
      </c>
      <c r="AI176" s="134" t="s">
        <v>887</v>
      </c>
      <c r="AJ176" s="143" t="s">
        <v>892</v>
      </c>
      <c r="AK176" s="129">
        <v>4.8099999999999996</v>
      </c>
      <c r="AL176" s="129">
        <v>4.8499999999999996</v>
      </c>
      <c r="AM176" s="129">
        <v>4.875</v>
      </c>
      <c r="AN176" s="129">
        <v>4.88</v>
      </c>
      <c r="AO176" s="126" t="str">
        <f t="shared" si="15"/>
        <v/>
      </c>
      <c r="AR176" s="99" t="s">
        <v>136</v>
      </c>
    </row>
    <row r="177" spans="1:59" s="99" customFormat="1" ht="21" customHeight="1" x14ac:dyDescent="0.35">
      <c r="A177" s="99">
        <v>406</v>
      </c>
      <c r="B177" s="126" t="str">
        <f t="shared" si="16"/>
        <v>RM-J3/1D-002X620</v>
      </c>
      <c r="C177" s="126" t="s">
        <v>43</v>
      </c>
      <c r="D177" s="126" t="s">
        <v>43</v>
      </c>
      <c r="E177" s="143" t="s">
        <v>895</v>
      </c>
      <c r="F177" s="143" t="s">
        <v>896</v>
      </c>
      <c r="G177" s="126" t="s">
        <v>29</v>
      </c>
      <c r="H177" s="126" t="s">
        <v>139</v>
      </c>
      <c r="I177" s="127">
        <v>2.4</v>
      </c>
      <c r="J177" s="127"/>
      <c r="K177" s="127"/>
      <c r="L177" s="127"/>
      <c r="M177" s="144">
        <v>620</v>
      </c>
      <c r="N177" s="129">
        <v>5.16</v>
      </c>
      <c r="O177" s="129"/>
      <c r="P177" s="129"/>
      <c r="Q177" s="130"/>
      <c r="R177" s="131"/>
      <c r="S177" s="131"/>
      <c r="T177" s="132"/>
      <c r="U177" s="132"/>
      <c r="V177" s="132"/>
      <c r="W177" s="132"/>
      <c r="X177" s="132"/>
      <c r="Y177" s="133"/>
      <c r="Z177" s="126" t="s">
        <v>64</v>
      </c>
      <c r="AA177" s="134" t="s">
        <v>322</v>
      </c>
      <c r="AB177" s="134"/>
      <c r="AC177" s="134"/>
      <c r="AD177" s="134">
        <v>44396</v>
      </c>
      <c r="AE177" s="134"/>
      <c r="AF177" s="134">
        <f t="shared" ca="1" si="12"/>
        <v>44963</v>
      </c>
      <c r="AG177" s="126">
        <f t="shared" ca="1" si="13"/>
        <v>567</v>
      </c>
      <c r="AH177" s="126" t="str">
        <f t="shared" si="14"/>
        <v/>
      </c>
      <c r="AI177" s="134" t="s">
        <v>881</v>
      </c>
      <c r="AJ177" s="143" t="s">
        <v>892</v>
      </c>
      <c r="AK177" s="129">
        <v>5.16</v>
      </c>
      <c r="AL177" s="129">
        <v>5.2</v>
      </c>
      <c r="AM177" s="129">
        <v>5.2250000000000005</v>
      </c>
      <c r="AN177" s="129">
        <v>5.23</v>
      </c>
      <c r="AO177" s="126" t="str">
        <f t="shared" si="15"/>
        <v/>
      </c>
      <c r="AR177" s="99" t="s">
        <v>136</v>
      </c>
    </row>
    <row r="178" spans="1:59" s="99" customFormat="1" ht="21" customHeight="1" x14ac:dyDescent="0.35">
      <c r="A178" s="99">
        <v>406</v>
      </c>
      <c r="B178" s="126" t="str">
        <f t="shared" si="16"/>
        <v>RM-J3/1D-002X620</v>
      </c>
      <c r="C178" s="126" t="s">
        <v>43</v>
      </c>
      <c r="D178" s="126" t="s">
        <v>43</v>
      </c>
      <c r="E178" s="143" t="s">
        <v>897</v>
      </c>
      <c r="F178" s="143" t="s">
        <v>898</v>
      </c>
      <c r="G178" s="126" t="s">
        <v>29</v>
      </c>
      <c r="H178" s="126" t="s">
        <v>139</v>
      </c>
      <c r="I178" s="127">
        <v>2.4</v>
      </c>
      <c r="J178" s="127"/>
      <c r="K178" s="127"/>
      <c r="L178" s="127"/>
      <c r="M178" s="144">
        <v>620</v>
      </c>
      <c r="N178" s="129">
        <v>5.19</v>
      </c>
      <c r="O178" s="129"/>
      <c r="P178" s="129"/>
      <c r="Q178" s="130"/>
      <c r="R178" s="131"/>
      <c r="S178" s="131"/>
      <c r="T178" s="132"/>
      <c r="U178" s="132"/>
      <c r="V178" s="132"/>
      <c r="W178" s="132"/>
      <c r="X178" s="132"/>
      <c r="Y178" s="133"/>
      <c r="Z178" s="126" t="s">
        <v>64</v>
      </c>
      <c r="AA178" s="134" t="s">
        <v>322</v>
      </c>
      <c r="AB178" s="134"/>
      <c r="AC178" s="134"/>
      <c r="AD178" s="134">
        <v>44396</v>
      </c>
      <c r="AE178" s="134"/>
      <c r="AF178" s="134">
        <f t="shared" ca="1" si="12"/>
        <v>44963</v>
      </c>
      <c r="AG178" s="126">
        <f t="shared" ca="1" si="13"/>
        <v>567</v>
      </c>
      <c r="AH178" s="126" t="str">
        <f t="shared" si="14"/>
        <v/>
      </c>
      <c r="AI178" s="134" t="s">
        <v>878</v>
      </c>
      <c r="AJ178" s="143" t="s">
        <v>892</v>
      </c>
      <c r="AK178" s="129">
        <v>5.19</v>
      </c>
      <c r="AL178" s="129">
        <v>5.23</v>
      </c>
      <c r="AM178" s="129">
        <v>5.2550000000000008</v>
      </c>
      <c r="AN178" s="129">
        <v>5.2600000000000007</v>
      </c>
      <c r="AO178" s="126" t="str">
        <f t="shared" si="15"/>
        <v/>
      </c>
      <c r="AR178" s="99" t="s">
        <v>136</v>
      </c>
    </row>
    <row r="179" spans="1:59" s="99" customFormat="1" ht="21" customHeight="1" x14ac:dyDescent="0.35">
      <c r="A179" s="99">
        <v>407</v>
      </c>
      <c r="B179" s="126" t="str">
        <f t="shared" ref="B179:B191" si="17">IF(C179="HOLD RM","HOLD RM",IF(C179="BAL","WIP",IF(C179="HOLD SLT","HOLD SLT",IF(C179="MILL","RM",IF(C179="RE SLT","WIP",IF(C179="RM","RM",IF(C179="RM BAL","RM",IF(C179="RM SLT","RM",IF(C179="RR","WIP",IF(C179="SKP","WIP",IF(C179="SLT","WIP",IF(C179="CTL","WIP",0))))))))))))&amp;"-"&amp;G179&amp;"/"&amp;IF(H179="2B","2B",IF(H179="NO.1","1D",IF(H179="FH","FH",IF(H179="BA","BA",0)))&amp;"-"&amp;IF(J179="",(TEXT(I179,"0.00")),TEXT(J179,"0.00"))&amp;"X"&amp;M179)</f>
        <v>HOLD SLT-410/BA-000X600</v>
      </c>
      <c r="C179" s="126" t="s">
        <v>63</v>
      </c>
      <c r="D179" s="126" t="s">
        <v>63</v>
      </c>
      <c r="E179" s="143" t="s">
        <v>899</v>
      </c>
      <c r="F179" s="143" t="s">
        <v>900</v>
      </c>
      <c r="G179" s="126">
        <v>410</v>
      </c>
      <c r="H179" s="126" t="s">
        <v>169</v>
      </c>
      <c r="I179" s="127">
        <v>0.25</v>
      </c>
      <c r="J179" s="127">
        <v>0.25</v>
      </c>
      <c r="K179" s="127"/>
      <c r="L179" s="127"/>
      <c r="M179" s="144">
        <f>296+304</f>
        <v>600</v>
      </c>
      <c r="N179" s="129">
        <v>0.85499999999999998</v>
      </c>
      <c r="O179" s="129"/>
      <c r="P179" s="129"/>
      <c r="Q179" s="130" t="s">
        <v>117</v>
      </c>
      <c r="R179" s="131" t="s">
        <v>901</v>
      </c>
      <c r="S179" s="131" t="s">
        <v>902</v>
      </c>
      <c r="T179" s="132"/>
      <c r="U179" s="132"/>
      <c r="V179" s="132"/>
      <c r="W179" s="132">
        <v>44555</v>
      </c>
      <c r="X179" s="132"/>
      <c r="Y179" s="133"/>
      <c r="Z179" s="126" t="s">
        <v>169</v>
      </c>
      <c r="AA179" s="134" t="s">
        <v>903</v>
      </c>
      <c r="AB179" s="134" t="s">
        <v>904</v>
      </c>
      <c r="AC179" s="134">
        <v>44376</v>
      </c>
      <c r="AD179" s="134">
        <v>44396</v>
      </c>
      <c r="AE179" s="134"/>
      <c r="AF179" s="134">
        <f t="shared" ca="1" si="12"/>
        <v>44963</v>
      </c>
      <c r="AG179" s="126">
        <f t="shared" ca="1" si="13"/>
        <v>567</v>
      </c>
      <c r="AH179" s="126" t="str">
        <f t="shared" si="14"/>
        <v/>
      </c>
      <c r="AI179" s="134" t="s">
        <v>905</v>
      </c>
      <c r="AJ179" s="143" t="s">
        <v>906</v>
      </c>
      <c r="AK179" s="129">
        <v>2.5630000000000002</v>
      </c>
      <c r="AL179" s="129">
        <f>AK179+0.01</f>
        <v>2.573</v>
      </c>
      <c r="AM179" s="129">
        <v>2.5630000000000002</v>
      </c>
      <c r="AN179" s="129">
        <f>AM179+0.01</f>
        <v>2.573</v>
      </c>
      <c r="AO179" s="126" t="str">
        <f t="shared" si="15"/>
        <v/>
      </c>
      <c r="AR179" s="99" t="s">
        <v>136</v>
      </c>
      <c r="BG179" s="151"/>
    </row>
    <row r="180" spans="1:59" s="99" customFormat="1" ht="21" customHeight="1" x14ac:dyDescent="0.35">
      <c r="A180" s="99">
        <v>407</v>
      </c>
      <c r="B180" s="126" t="str">
        <f t="shared" si="17"/>
        <v>RM-410/BA-000X600</v>
      </c>
      <c r="C180" s="126" t="s">
        <v>166</v>
      </c>
      <c r="D180" s="126" t="s">
        <v>166</v>
      </c>
      <c r="E180" s="143" t="s">
        <v>899</v>
      </c>
      <c r="F180" s="143" t="s">
        <v>907</v>
      </c>
      <c r="G180" s="126">
        <v>410</v>
      </c>
      <c r="H180" s="126" t="s">
        <v>169</v>
      </c>
      <c r="I180" s="127">
        <v>0.25</v>
      </c>
      <c r="J180" s="127">
        <v>0.25</v>
      </c>
      <c r="K180" s="127"/>
      <c r="L180" s="127"/>
      <c r="M180" s="144">
        <v>600</v>
      </c>
      <c r="N180" s="129">
        <v>1.6850000000000001</v>
      </c>
      <c r="O180" s="129"/>
      <c r="P180" s="129"/>
      <c r="Q180" s="130"/>
      <c r="R180" s="131"/>
      <c r="S180" s="131" t="s">
        <v>908</v>
      </c>
      <c r="T180" s="132"/>
      <c r="U180" s="132"/>
      <c r="V180" s="132"/>
      <c r="W180" s="132"/>
      <c r="X180" s="132"/>
      <c r="Y180" s="133"/>
      <c r="Z180" s="126" t="s">
        <v>169</v>
      </c>
      <c r="AA180" s="134" t="s">
        <v>903</v>
      </c>
      <c r="AB180" s="134" t="s">
        <v>904</v>
      </c>
      <c r="AC180" s="134">
        <v>44376</v>
      </c>
      <c r="AD180" s="134">
        <v>44396</v>
      </c>
      <c r="AE180" s="134"/>
      <c r="AF180" s="134">
        <f t="shared" ca="1" si="12"/>
        <v>44963</v>
      </c>
      <c r="AG180" s="126">
        <f t="shared" ca="1" si="13"/>
        <v>567</v>
      </c>
      <c r="AH180" s="126" t="str">
        <f t="shared" si="14"/>
        <v/>
      </c>
      <c r="AI180" s="134" t="s">
        <v>905</v>
      </c>
      <c r="AJ180" s="143" t="s">
        <v>906</v>
      </c>
      <c r="AK180" s="129">
        <v>2.5630000000000002</v>
      </c>
      <c r="AL180" s="129">
        <f>AK180+0.01</f>
        <v>2.573</v>
      </c>
      <c r="AM180" s="129">
        <v>2.5630000000000002</v>
      </c>
      <c r="AN180" s="129">
        <f>AM180+0.01</f>
        <v>2.573</v>
      </c>
      <c r="AO180" s="126" t="str">
        <f t="shared" si="15"/>
        <v/>
      </c>
      <c r="AR180" s="99" t="s">
        <v>136</v>
      </c>
      <c r="BG180" s="151"/>
    </row>
    <row r="181" spans="1:59" s="99" customFormat="1" ht="21" customHeight="1" x14ac:dyDescent="0.35">
      <c r="A181" s="99">
        <v>407</v>
      </c>
      <c r="B181" s="126" t="str">
        <f t="shared" si="17"/>
        <v>RM-410/BA-000X600</v>
      </c>
      <c r="C181" s="126" t="s">
        <v>166</v>
      </c>
      <c r="D181" s="126" t="s">
        <v>166</v>
      </c>
      <c r="E181" s="143" t="s">
        <v>909</v>
      </c>
      <c r="F181" s="143" t="s">
        <v>910</v>
      </c>
      <c r="G181" s="126">
        <v>410</v>
      </c>
      <c r="H181" s="126" t="s">
        <v>169</v>
      </c>
      <c r="I181" s="127">
        <v>0.25</v>
      </c>
      <c r="J181" s="127">
        <v>0.25</v>
      </c>
      <c r="K181" s="127"/>
      <c r="L181" s="127"/>
      <c r="M181" s="144">
        <v>600</v>
      </c>
      <c r="N181" s="129">
        <v>3.2639999999999998</v>
      </c>
      <c r="O181" s="129"/>
      <c r="P181" s="129"/>
      <c r="Q181" s="130"/>
      <c r="R181" s="131"/>
      <c r="S181" s="131"/>
      <c r="T181" s="132"/>
      <c r="U181" s="132"/>
      <c r="V181" s="132"/>
      <c r="W181" s="132"/>
      <c r="X181" s="132"/>
      <c r="Y181" s="133"/>
      <c r="Z181" s="126" t="s">
        <v>169</v>
      </c>
      <c r="AA181" s="134" t="s">
        <v>903</v>
      </c>
      <c r="AB181" s="134" t="s">
        <v>904</v>
      </c>
      <c r="AC181" s="134">
        <v>44376</v>
      </c>
      <c r="AD181" s="134">
        <v>44396</v>
      </c>
      <c r="AE181" s="134"/>
      <c r="AF181" s="134">
        <f t="shared" ca="1" si="12"/>
        <v>44963</v>
      </c>
      <c r="AG181" s="126">
        <f t="shared" ca="1" si="13"/>
        <v>567</v>
      </c>
      <c r="AH181" s="126" t="str">
        <f t="shared" si="14"/>
        <v/>
      </c>
      <c r="AI181" s="134" t="s">
        <v>911</v>
      </c>
      <c r="AJ181" s="143" t="s">
        <v>912</v>
      </c>
      <c r="AK181" s="129">
        <v>3.2639999999999998</v>
      </c>
      <c r="AL181" s="129">
        <f>AK181+0.01</f>
        <v>3.2739999999999996</v>
      </c>
      <c r="AM181" s="129">
        <v>3.2639999999999998</v>
      </c>
      <c r="AN181" s="129">
        <f>AM181+0.01</f>
        <v>3.2739999999999996</v>
      </c>
      <c r="AO181" s="126" t="str">
        <f t="shared" si="15"/>
        <v/>
      </c>
      <c r="AR181" s="99" t="s">
        <v>136</v>
      </c>
      <c r="BG181" s="151"/>
    </row>
    <row r="182" spans="1:59" s="99" customFormat="1" ht="21" customHeight="1" x14ac:dyDescent="0.35">
      <c r="A182" s="99">
        <v>407</v>
      </c>
      <c r="B182" s="126" t="str">
        <f t="shared" si="17"/>
        <v>RM-410/BA-000X600</v>
      </c>
      <c r="C182" s="126" t="s">
        <v>166</v>
      </c>
      <c r="D182" s="126" t="s">
        <v>166</v>
      </c>
      <c r="E182" s="143" t="s">
        <v>913</v>
      </c>
      <c r="F182" s="143" t="s">
        <v>914</v>
      </c>
      <c r="G182" s="126">
        <v>410</v>
      </c>
      <c r="H182" s="126" t="s">
        <v>169</v>
      </c>
      <c r="I182" s="127">
        <v>0.25</v>
      </c>
      <c r="J182" s="127">
        <v>0.25</v>
      </c>
      <c r="K182" s="127"/>
      <c r="L182" s="127"/>
      <c r="M182" s="144">
        <v>600</v>
      </c>
      <c r="N182" s="129">
        <v>2.9910000000000001</v>
      </c>
      <c r="O182" s="129"/>
      <c r="P182" s="129"/>
      <c r="Q182" s="130"/>
      <c r="R182" s="131"/>
      <c r="S182" s="131"/>
      <c r="T182" s="132"/>
      <c r="U182" s="132"/>
      <c r="V182" s="132"/>
      <c r="W182" s="132"/>
      <c r="X182" s="132"/>
      <c r="Y182" s="133"/>
      <c r="Z182" s="126" t="s">
        <v>169</v>
      </c>
      <c r="AA182" s="134" t="s">
        <v>903</v>
      </c>
      <c r="AB182" s="134" t="s">
        <v>904</v>
      </c>
      <c r="AC182" s="134">
        <v>44376</v>
      </c>
      <c r="AD182" s="134">
        <v>44396</v>
      </c>
      <c r="AE182" s="134"/>
      <c r="AF182" s="134">
        <f t="shared" ca="1" si="12"/>
        <v>44963</v>
      </c>
      <c r="AG182" s="126">
        <f t="shared" ca="1" si="13"/>
        <v>567</v>
      </c>
      <c r="AH182" s="126" t="str">
        <f t="shared" si="14"/>
        <v/>
      </c>
      <c r="AI182" s="134" t="s">
        <v>911</v>
      </c>
      <c r="AJ182" s="143" t="s">
        <v>915</v>
      </c>
      <c r="AK182" s="129">
        <v>2.9910000000000001</v>
      </c>
      <c r="AL182" s="129">
        <f>AK182+0.01</f>
        <v>3.0009999999999999</v>
      </c>
      <c r="AM182" s="129">
        <v>2.9910000000000001</v>
      </c>
      <c r="AN182" s="129">
        <f>AM182+0.01</f>
        <v>3.0009999999999999</v>
      </c>
      <c r="AO182" s="126" t="str">
        <f t="shared" si="15"/>
        <v/>
      </c>
      <c r="AR182" s="99" t="s">
        <v>136</v>
      </c>
      <c r="BG182" s="151"/>
    </row>
    <row r="183" spans="1:59" s="99" customFormat="1" ht="21" customHeight="1" x14ac:dyDescent="0.35">
      <c r="A183" s="99">
        <v>408</v>
      </c>
      <c r="B183" s="126" t="str">
        <f t="shared" si="17"/>
        <v>WIP-J3/FH-000X610</v>
      </c>
      <c r="C183" s="126" t="s">
        <v>13</v>
      </c>
      <c r="D183" s="126" t="s">
        <v>13</v>
      </c>
      <c r="E183" s="143" t="s">
        <v>916</v>
      </c>
      <c r="F183" s="143" t="s">
        <v>917</v>
      </c>
      <c r="G183" s="126" t="s">
        <v>29</v>
      </c>
      <c r="H183" s="126" t="s">
        <v>65</v>
      </c>
      <c r="I183" s="127">
        <v>0.72</v>
      </c>
      <c r="J183" s="127">
        <v>0.4</v>
      </c>
      <c r="K183" s="127"/>
      <c r="L183" s="127"/>
      <c r="M183" s="144">
        <v>610</v>
      </c>
      <c r="N183" s="129">
        <v>9.81</v>
      </c>
      <c r="O183" s="129" t="s">
        <v>116</v>
      </c>
      <c r="P183" s="129"/>
      <c r="Q183" s="130" t="s">
        <v>117</v>
      </c>
      <c r="R183" s="131" t="s">
        <v>918</v>
      </c>
      <c r="S183" s="131" t="s">
        <v>919</v>
      </c>
      <c r="T183" s="132">
        <v>44491</v>
      </c>
      <c r="U183" s="132">
        <v>44492</v>
      </c>
      <c r="V183" s="132"/>
      <c r="W183" s="132" t="s">
        <v>920</v>
      </c>
      <c r="X183" s="132"/>
      <c r="Y183" s="133"/>
      <c r="Z183" s="126" t="s">
        <v>65</v>
      </c>
      <c r="AA183" s="134" t="s">
        <v>322</v>
      </c>
      <c r="AB183" s="134"/>
      <c r="AC183" s="134"/>
      <c r="AD183" s="134">
        <v>44398</v>
      </c>
      <c r="AE183" s="134"/>
      <c r="AF183" s="134">
        <f t="shared" ca="1" si="12"/>
        <v>44963</v>
      </c>
      <c r="AG183" s="126">
        <f t="shared" ca="1" si="13"/>
        <v>565</v>
      </c>
      <c r="AH183" s="126" t="str">
        <f t="shared" si="14"/>
        <v/>
      </c>
      <c r="AI183" s="134" t="s">
        <v>921</v>
      </c>
      <c r="AJ183" s="143" t="s">
        <v>922</v>
      </c>
      <c r="AK183" s="129">
        <v>9.9570000000000007</v>
      </c>
      <c r="AL183" s="129">
        <v>9.9969999999999999</v>
      </c>
      <c r="AM183" s="129">
        <v>10.021999999999998</v>
      </c>
      <c r="AN183" s="129">
        <v>10.026999999999999</v>
      </c>
      <c r="AO183" s="126">
        <f t="shared" ca="1" si="15"/>
        <v>471</v>
      </c>
      <c r="AR183" s="99" t="s">
        <v>136</v>
      </c>
      <c r="BG183" s="135" t="s">
        <v>923</v>
      </c>
    </row>
    <row r="184" spans="1:59" s="99" customFormat="1" ht="21" customHeight="1" x14ac:dyDescent="0.35">
      <c r="A184" s="99">
        <v>408</v>
      </c>
      <c r="B184" s="126" t="str">
        <f t="shared" si="17"/>
        <v>WIP-J3/FH-000X610</v>
      </c>
      <c r="C184" s="126" t="s">
        <v>13</v>
      </c>
      <c r="D184" s="126" t="s">
        <v>13</v>
      </c>
      <c r="E184" s="143" t="s">
        <v>924</v>
      </c>
      <c r="F184" s="143" t="s">
        <v>925</v>
      </c>
      <c r="G184" s="126" t="s">
        <v>29</v>
      </c>
      <c r="H184" s="126" t="s">
        <v>65</v>
      </c>
      <c r="I184" s="127">
        <v>0.72</v>
      </c>
      <c r="J184" s="127">
        <v>0.4</v>
      </c>
      <c r="K184" s="127"/>
      <c r="L184" s="127"/>
      <c r="M184" s="144">
        <v>610</v>
      </c>
      <c r="N184" s="129">
        <v>9.8049999999999997</v>
      </c>
      <c r="O184" s="129" t="s">
        <v>116</v>
      </c>
      <c r="P184" s="129"/>
      <c r="Q184" s="130" t="s">
        <v>117</v>
      </c>
      <c r="R184" s="131" t="s">
        <v>918</v>
      </c>
      <c r="S184" s="131" t="s">
        <v>919</v>
      </c>
      <c r="T184" s="132">
        <v>44493</v>
      </c>
      <c r="U184" s="132">
        <v>44494</v>
      </c>
      <c r="V184" s="132"/>
      <c r="W184" s="132" t="s">
        <v>920</v>
      </c>
      <c r="X184" s="132"/>
      <c r="Y184" s="133"/>
      <c r="Z184" s="126" t="s">
        <v>65</v>
      </c>
      <c r="AA184" s="134" t="s">
        <v>322</v>
      </c>
      <c r="AB184" s="134"/>
      <c r="AC184" s="134"/>
      <c r="AD184" s="134">
        <v>44398</v>
      </c>
      <c r="AE184" s="134"/>
      <c r="AF184" s="134">
        <f t="shared" ca="1" si="12"/>
        <v>44963</v>
      </c>
      <c r="AG184" s="126">
        <f t="shared" ca="1" si="13"/>
        <v>565</v>
      </c>
      <c r="AH184" s="126" t="str">
        <f t="shared" si="14"/>
        <v/>
      </c>
      <c r="AI184" s="134" t="s">
        <v>921</v>
      </c>
      <c r="AJ184" s="143" t="s">
        <v>926</v>
      </c>
      <c r="AK184" s="129">
        <v>9.9429999999999996</v>
      </c>
      <c r="AL184" s="129">
        <v>9.9829999999999988</v>
      </c>
      <c r="AM184" s="129">
        <v>10.007999999999997</v>
      </c>
      <c r="AN184" s="129">
        <v>10.012999999999998</v>
      </c>
      <c r="AO184" s="126">
        <f t="shared" ca="1" si="15"/>
        <v>469</v>
      </c>
      <c r="AR184" s="99" t="s">
        <v>136</v>
      </c>
      <c r="BG184" s="135" t="s">
        <v>927</v>
      </c>
    </row>
    <row r="185" spans="1:59" s="99" customFormat="1" ht="21" customHeight="1" x14ac:dyDescent="0.35">
      <c r="A185" s="99">
        <v>408</v>
      </c>
      <c r="B185" s="126" t="str">
        <f t="shared" si="17"/>
        <v>RM-J3/2B</v>
      </c>
      <c r="C185" s="126" t="s">
        <v>166</v>
      </c>
      <c r="D185" s="126" t="s">
        <v>166</v>
      </c>
      <c r="E185" s="143" t="s">
        <v>928</v>
      </c>
      <c r="F185" s="143" t="s">
        <v>929</v>
      </c>
      <c r="G185" s="126" t="s">
        <v>29</v>
      </c>
      <c r="H185" s="126" t="s">
        <v>116</v>
      </c>
      <c r="I185" s="127">
        <v>0.72</v>
      </c>
      <c r="J185" s="127">
        <v>0.72</v>
      </c>
      <c r="K185" s="127"/>
      <c r="L185" s="127"/>
      <c r="M185" s="144">
        <v>620</v>
      </c>
      <c r="N185" s="129">
        <v>9.9610000000000003</v>
      </c>
      <c r="O185" s="129"/>
      <c r="P185" s="129"/>
      <c r="Q185" s="130"/>
      <c r="R185" s="131"/>
      <c r="S185" s="131"/>
      <c r="T185" s="132"/>
      <c r="U185" s="132"/>
      <c r="V185" s="132"/>
      <c r="W185" s="132"/>
      <c r="X185" s="132"/>
      <c r="Y185" s="133"/>
      <c r="Z185" s="126" t="s">
        <v>116</v>
      </c>
      <c r="AA185" s="134" t="s">
        <v>322</v>
      </c>
      <c r="AB185" s="134"/>
      <c r="AC185" s="134"/>
      <c r="AD185" s="134">
        <v>44398</v>
      </c>
      <c r="AE185" s="134"/>
      <c r="AF185" s="134">
        <f t="shared" ca="1" si="12"/>
        <v>44963</v>
      </c>
      <c r="AG185" s="126">
        <f t="shared" ca="1" si="13"/>
        <v>565</v>
      </c>
      <c r="AH185" s="126" t="str">
        <f t="shared" si="14"/>
        <v/>
      </c>
      <c r="AI185" s="134" t="s">
        <v>930</v>
      </c>
      <c r="AJ185" s="143" t="s">
        <v>931</v>
      </c>
      <c r="AK185" s="129">
        <v>9.9610000000000003</v>
      </c>
      <c r="AL185" s="129">
        <v>10.000999999999999</v>
      </c>
      <c r="AM185" s="129">
        <v>10.025999999999998</v>
      </c>
      <c r="AN185" s="129">
        <v>10.030999999999999</v>
      </c>
      <c r="AO185" s="126" t="str">
        <f t="shared" si="15"/>
        <v/>
      </c>
      <c r="AR185" s="99" t="s">
        <v>136</v>
      </c>
      <c r="BG185" s="151"/>
    </row>
    <row r="186" spans="1:59" s="99" customFormat="1" ht="21" customHeight="1" x14ac:dyDescent="0.35">
      <c r="A186" s="99">
        <v>408</v>
      </c>
      <c r="B186" s="126" t="str">
        <f t="shared" si="17"/>
        <v>RM-J3/2B</v>
      </c>
      <c r="C186" s="126" t="s">
        <v>166</v>
      </c>
      <c r="D186" s="126" t="s">
        <v>166</v>
      </c>
      <c r="E186" s="143" t="s">
        <v>932</v>
      </c>
      <c r="F186" s="143" t="s">
        <v>933</v>
      </c>
      <c r="G186" s="126" t="s">
        <v>29</v>
      </c>
      <c r="H186" s="126" t="s">
        <v>116</v>
      </c>
      <c r="I186" s="127">
        <v>0.72</v>
      </c>
      <c r="J186" s="127">
        <v>0.72</v>
      </c>
      <c r="K186" s="127"/>
      <c r="L186" s="127"/>
      <c r="M186" s="144">
        <v>620</v>
      </c>
      <c r="N186" s="129">
        <v>9.8849999999999998</v>
      </c>
      <c r="O186" s="129"/>
      <c r="P186" s="129"/>
      <c r="Q186" s="130"/>
      <c r="R186" s="131"/>
      <c r="S186" s="131"/>
      <c r="T186" s="132"/>
      <c r="U186" s="132"/>
      <c r="V186" s="132"/>
      <c r="W186" s="132"/>
      <c r="X186" s="132"/>
      <c r="Y186" s="133"/>
      <c r="Z186" s="126" t="s">
        <v>116</v>
      </c>
      <c r="AA186" s="134" t="s">
        <v>322</v>
      </c>
      <c r="AB186" s="134"/>
      <c r="AC186" s="134"/>
      <c r="AD186" s="134">
        <v>44398</v>
      </c>
      <c r="AE186" s="134"/>
      <c r="AF186" s="134">
        <f t="shared" ca="1" si="12"/>
        <v>44963</v>
      </c>
      <c r="AG186" s="126">
        <f t="shared" ca="1" si="13"/>
        <v>565</v>
      </c>
      <c r="AH186" s="126" t="str">
        <f t="shared" si="14"/>
        <v/>
      </c>
      <c r="AI186" s="134" t="s">
        <v>930</v>
      </c>
      <c r="AJ186" s="143" t="s">
        <v>934</v>
      </c>
      <c r="AK186" s="129">
        <v>9.8849999999999998</v>
      </c>
      <c r="AL186" s="129">
        <v>9.9249999999999989</v>
      </c>
      <c r="AM186" s="129">
        <v>9.9499999999999975</v>
      </c>
      <c r="AN186" s="129">
        <v>9.9549999999999983</v>
      </c>
      <c r="AO186" s="126" t="str">
        <f t="shared" si="15"/>
        <v/>
      </c>
      <c r="AR186" s="99" t="s">
        <v>136</v>
      </c>
      <c r="BG186" s="151"/>
    </row>
    <row r="187" spans="1:59" s="99" customFormat="1" ht="21" customHeight="1" x14ac:dyDescent="0.35">
      <c r="A187" s="99">
        <v>408</v>
      </c>
      <c r="B187" s="126" t="str">
        <f t="shared" si="17"/>
        <v>RM-J3/2B</v>
      </c>
      <c r="C187" s="126" t="s">
        <v>166</v>
      </c>
      <c r="D187" s="126" t="s">
        <v>166</v>
      </c>
      <c r="E187" s="143" t="s">
        <v>935</v>
      </c>
      <c r="F187" s="143" t="s">
        <v>936</v>
      </c>
      <c r="G187" s="126" t="s">
        <v>29</v>
      </c>
      <c r="H187" s="126" t="s">
        <v>116</v>
      </c>
      <c r="I187" s="127">
        <v>0.72</v>
      </c>
      <c r="J187" s="127">
        <v>0.72</v>
      </c>
      <c r="K187" s="127"/>
      <c r="L187" s="127"/>
      <c r="M187" s="144">
        <v>620</v>
      </c>
      <c r="N187" s="129">
        <v>9.7330000000000005</v>
      </c>
      <c r="O187" s="129"/>
      <c r="P187" s="129"/>
      <c r="Q187" s="130"/>
      <c r="R187" s="131"/>
      <c r="S187" s="131"/>
      <c r="T187" s="132"/>
      <c r="U187" s="132"/>
      <c r="V187" s="132"/>
      <c r="W187" s="132"/>
      <c r="X187" s="132"/>
      <c r="Y187" s="133"/>
      <c r="Z187" s="126" t="s">
        <v>116</v>
      </c>
      <c r="AA187" s="134" t="s">
        <v>322</v>
      </c>
      <c r="AB187" s="134"/>
      <c r="AC187" s="134"/>
      <c r="AD187" s="134">
        <v>44398</v>
      </c>
      <c r="AE187" s="134"/>
      <c r="AF187" s="134">
        <f t="shared" ca="1" si="12"/>
        <v>44963</v>
      </c>
      <c r="AG187" s="126">
        <f t="shared" ca="1" si="13"/>
        <v>565</v>
      </c>
      <c r="AH187" s="126" t="str">
        <f t="shared" si="14"/>
        <v/>
      </c>
      <c r="AI187" s="134" t="s">
        <v>937</v>
      </c>
      <c r="AJ187" s="143" t="s">
        <v>938</v>
      </c>
      <c r="AK187" s="129">
        <v>9.7330000000000005</v>
      </c>
      <c r="AL187" s="129">
        <v>9.7729999999999997</v>
      </c>
      <c r="AM187" s="129">
        <v>9.7979999999999983</v>
      </c>
      <c r="AN187" s="129">
        <v>9.802999999999999</v>
      </c>
      <c r="AO187" s="126" t="str">
        <f t="shared" si="15"/>
        <v/>
      </c>
      <c r="AR187" s="99" t="s">
        <v>136</v>
      </c>
      <c r="BG187" s="151"/>
    </row>
    <row r="188" spans="1:59" s="99" customFormat="1" ht="21" customHeight="1" x14ac:dyDescent="0.35">
      <c r="A188" s="99">
        <v>408</v>
      </c>
      <c r="B188" s="126" t="str">
        <f t="shared" si="17"/>
        <v>RM-J3/2B</v>
      </c>
      <c r="C188" s="126" t="s">
        <v>166</v>
      </c>
      <c r="D188" s="126" t="s">
        <v>166</v>
      </c>
      <c r="E188" s="143" t="s">
        <v>939</v>
      </c>
      <c r="F188" s="143" t="s">
        <v>940</v>
      </c>
      <c r="G188" s="126" t="s">
        <v>29</v>
      </c>
      <c r="H188" s="126" t="s">
        <v>116</v>
      </c>
      <c r="I188" s="127">
        <v>0.72</v>
      </c>
      <c r="J188" s="127">
        <v>0.72</v>
      </c>
      <c r="K188" s="127"/>
      <c r="L188" s="127"/>
      <c r="M188" s="144">
        <v>620</v>
      </c>
      <c r="N188" s="129">
        <v>9.8230000000000004</v>
      </c>
      <c r="O188" s="129"/>
      <c r="P188" s="129"/>
      <c r="Q188" s="130"/>
      <c r="R188" s="131"/>
      <c r="S188" s="131"/>
      <c r="T188" s="132"/>
      <c r="U188" s="132"/>
      <c r="V188" s="132"/>
      <c r="W188" s="132"/>
      <c r="X188" s="132"/>
      <c r="Y188" s="133"/>
      <c r="Z188" s="126" t="s">
        <v>116</v>
      </c>
      <c r="AA188" s="134" t="s">
        <v>322</v>
      </c>
      <c r="AB188" s="134"/>
      <c r="AC188" s="134"/>
      <c r="AD188" s="134">
        <v>44398</v>
      </c>
      <c r="AE188" s="134"/>
      <c r="AF188" s="134">
        <f t="shared" ca="1" si="12"/>
        <v>44963</v>
      </c>
      <c r="AG188" s="126">
        <f t="shared" ca="1" si="13"/>
        <v>565</v>
      </c>
      <c r="AH188" s="126" t="str">
        <f t="shared" si="14"/>
        <v/>
      </c>
      <c r="AI188" s="134" t="s">
        <v>937</v>
      </c>
      <c r="AJ188" s="143" t="s">
        <v>941</v>
      </c>
      <c r="AK188" s="129">
        <v>9.8230000000000004</v>
      </c>
      <c r="AL188" s="129">
        <v>9.8629999999999995</v>
      </c>
      <c r="AM188" s="129">
        <v>9.8879999999999981</v>
      </c>
      <c r="AN188" s="129">
        <v>9.8929999999999989</v>
      </c>
      <c r="AO188" s="126" t="str">
        <f t="shared" si="15"/>
        <v/>
      </c>
      <c r="AR188" s="99" t="s">
        <v>136</v>
      </c>
      <c r="BG188" s="151"/>
    </row>
    <row r="189" spans="1:59" s="99" customFormat="1" ht="21" customHeight="1" x14ac:dyDescent="0.35">
      <c r="A189" s="99">
        <v>408</v>
      </c>
      <c r="B189" s="126" t="str">
        <f t="shared" si="17"/>
        <v>RM-J3/2B</v>
      </c>
      <c r="C189" s="126" t="s">
        <v>166</v>
      </c>
      <c r="D189" s="126" t="s">
        <v>166</v>
      </c>
      <c r="E189" s="143" t="s">
        <v>942</v>
      </c>
      <c r="F189" s="143" t="s">
        <v>943</v>
      </c>
      <c r="G189" s="126" t="s">
        <v>29</v>
      </c>
      <c r="H189" s="126" t="s">
        <v>116</v>
      </c>
      <c r="I189" s="127">
        <v>0.72</v>
      </c>
      <c r="J189" s="127">
        <v>0.72</v>
      </c>
      <c r="K189" s="127"/>
      <c r="L189" s="127"/>
      <c r="M189" s="144">
        <v>620</v>
      </c>
      <c r="N189" s="129">
        <v>9.9809999999999999</v>
      </c>
      <c r="O189" s="129"/>
      <c r="P189" s="129"/>
      <c r="Q189" s="130"/>
      <c r="R189" s="131"/>
      <c r="S189" s="131"/>
      <c r="T189" s="132"/>
      <c r="U189" s="132"/>
      <c r="V189" s="132"/>
      <c r="W189" s="132"/>
      <c r="X189" s="132"/>
      <c r="Y189" s="133"/>
      <c r="Z189" s="126" t="s">
        <v>116</v>
      </c>
      <c r="AA189" s="134" t="s">
        <v>322</v>
      </c>
      <c r="AB189" s="134"/>
      <c r="AC189" s="134"/>
      <c r="AD189" s="134">
        <v>44398</v>
      </c>
      <c r="AE189" s="134"/>
      <c r="AF189" s="134">
        <f t="shared" ca="1" si="12"/>
        <v>44963</v>
      </c>
      <c r="AG189" s="126">
        <f t="shared" ca="1" si="13"/>
        <v>565</v>
      </c>
      <c r="AH189" s="126" t="str">
        <f t="shared" si="14"/>
        <v/>
      </c>
      <c r="AI189" s="134" t="s">
        <v>944</v>
      </c>
      <c r="AJ189" s="143" t="s">
        <v>945</v>
      </c>
      <c r="AK189" s="129">
        <v>9.9809999999999999</v>
      </c>
      <c r="AL189" s="129">
        <v>10.020999999999999</v>
      </c>
      <c r="AM189" s="129">
        <v>10.045999999999998</v>
      </c>
      <c r="AN189" s="129">
        <v>10.050999999999998</v>
      </c>
      <c r="AO189" s="126" t="str">
        <f t="shared" si="15"/>
        <v/>
      </c>
      <c r="AR189" s="99" t="s">
        <v>136</v>
      </c>
      <c r="BG189" s="151"/>
    </row>
    <row r="190" spans="1:59" s="99" customFormat="1" ht="21" customHeight="1" x14ac:dyDescent="0.35">
      <c r="A190" s="99">
        <v>408</v>
      </c>
      <c r="B190" s="126" t="str">
        <f t="shared" si="17"/>
        <v>RM-J3/2B</v>
      </c>
      <c r="C190" s="126" t="s">
        <v>166</v>
      </c>
      <c r="D190" s="126" t="s">
        <v>166</v>
      </c>
      <c r="E190" s="143" t="s">
        <v>946</v>
      </c>
      <c r="F190" s="143" t="s">
        <v>947</v>
      </c>
      <c r="G190" s="126" t="s">
        <v>29</v>
      </c>
      <c r="H190" s="126" t="s">
        <v>116</v>
      </c>
      <c r="I190" s="127">
        <v>0.92</v>
      </c>
      <c r="J190" s="127">
        <v>0.92</v>
      </c>
      <c r="K190" s="127"/>
      <c r="L190" s="127"/>
      <c r="M190" s="144">
        <v>620</v>
      </c>
      <c r="N190" s="129">
        <v>10.035</v>
      </c>
      <c r="O190" s="129"/>
      <c r="P190" s="129"/>
      <c r="Q190" s="130"/>
      <c r="R190" s="131"/>
      <c r="S190" s="131"/>
      <c r="T190" s="132"/>
      <c r="U190" s="132"/>
      <c r="V190" s="132"/>
      <c r="W190" s="132"/>
      <c r="X190" s="132"/>
      <c r="Y190" s="133"/>
      <c r="Z190" s="126" t="s">
        <v>116</v>
      </c>
      <c r="AA190" s="134" t="s">
        <v>322</v>
      </c>
      <c r="AB190" s="134"/>
      <c r="AC190" s="134"/>
      <c r="AD190" s="134">
        <v>44398</v>
      </c>
      <c r="AE190" s="134"/>
      <c r="AF190" s="134">
        <f t="shared" ca="1" si="12"/>
        <v>44963</v>
      </c>
      <c r="AG190" s="126">
        <f t="shared" ca="1" si="13"/>
        <v>565</v>
      </c>
      <c r="AH190" s="126" t="str">
        <f t="shared" si="14"/>
        <v/>
      </c>
      <c r="AI190" s="134" t="s">
        <v>944</v>
      </c>
      <c r="AJ190" s="143" t="s">
        <v>922</v>
      </c>
      <c r="AK190" s="129">
        <v>10.035</v>
      </c>
      <c r="AL190" s="129">
        <v>10.074999999999999</v>
      </c>
      <c r="AM190" s="129">
        <v>10.099999999999998</v>
      </c>
      <c r="AN190" s="129">
        <v>10.104999999999999</v>
      </c>
      <c r="AO190" s="126" t="str">
        <f t="shared" si="15"/>
        <v/>
      </c>
      <c r="AR190" s="99" t="s">
        <v>136</v>
      </c>
      <c r="BG190" s="151"/>
    </row>
    <row r="191" spans="1:59" s="99" customFormat="1" ht="21" customHeight="1" x14ac:dyDescent="0.35">
      <c r="A191" s="99">
        <v>408</v>
      </c>
      <c r="B191" s="126" t="str">
        <f t="shared" si="17"/>
        <v>RM-J3/2B</v>
      </c>
      <c r="C191" s="126" t="s">
        <v>166</v>
      </c>
      <c r="D191" s="126" t="s">
        <v>166</v>
      </c>
      <c r="E191" s="143" t="s">
        <v>948</v>
      </c>
      <c r="F191" s="143" t="s">
        <v>949</v>
      </c>
      <c r="G191" s="126" t="s">
        <v>29</v>
      </c>
      <c r="H191" s="126" t="s">
        <v>116</v>
      </c>
      <c r="I191" s="127">
        <v>0.92</v>
      </c>
      <c r="J191" s="127">
        <v>0.92</v>
      </c>
      <c r="K191" s="127"/>
      <c r="L191" s="127"/>
      <c r="M191" s="144">
        <v>620</v>
      </c>
      <c r="N191" s="129">
        <v>9.9489999999999998</v>
      </c>
      <c r="O191" s="129"/>
      <c r="P191" s="129"/>
      <c r="Q191" s="130"/>
      <c r="R191" s="131"/>
      <c r="S191" s="131"/>
      <c r="T191" s="132"/>
      <c r="U191" s="132"/>
      <c r="V191" s="132"/>
      <c r="W191" s="132"/>
      <c r="X191" s="132"/>
      <c r="Y191" s="133"/>
      <c r="Z191" s="126" t="s">
        <v>116</v>
      </c>
      <c r="AA191" s="134" t="s">
        <v>322</v>
      </c>
      <c r="AB191" s="134"/>
      <c r="AC191" s="134"/>
      <c r="AD191" s="134">
        <v>44398</v>
      </c>
      <c r="AE191" s="134"/>
      <c r="AF191" s="134">
        <f t="shared" ca="1" si="12"/>
        <v>44963</v>
      </c>
      <c r="AG191" s="126">
        <f t="shared" ca="1" si="13"/>
        <v>565</v>
      </c>
      <c r="AH191" s="126" t="str">
        <f t="shared" si="14"/>
        <v/>
      </c>
      <c r="AI191" s="134" t="s">
        <v>950</v>
      </c>
      <c r="AJ191" s="143" t="s">
        <v>941</v>
      </c>
      <c r="AK191" s="129">
        <v>9.9489999999999998</v>
      </c>
      <c r="AL191" s="129">
        <v>9.988999999999999</v>
      </c>
      <c r="AM191" s="129">
        <v>10.013999999999998</v>
      </c>
      <c r="AN191" s="129">
        <v>10.018999999999998</v>
      </c>
      <c r="AO191" s="126" t="str">
        <f t="shared" si="15"/>
        <v/>
      </c>
      <c r="AR191" s="99" t="s">
        <v>136</v>
      </c>
      <c r="BG191" s="151"/>
    </row>
    <row r="192" spans="1:59" s="99" customFormat="1" ht="21" customHeight="1" x14ac:dyDescent="0.35">
      <c r="A192" s="99">
        <v>408</v>
      </c>
      <c r="B192" s="126" t="str">
        <f>IF(C192="HOLD RM","HOLD RM",IF(C192="BAL","WIP",IF(C192="HOLD SLT","HOLD SLT",IF(C192="MILL","RM",IF(C192="RE SLT","WIP",IF(C192="RM","RM",IF(C192="RM BAL","RM",IF(C192="RM SLT","RM",IF(C192="RR","WIP",IF(C192="SKP","WIP",IF(C192="SLT","WIP",IF(C192="CTL","WIP",IF(C192="RM SLT RUST","RM SLT RUST",0)))))))))))))&amp;"-"&amp;G192&amp;"/"&amp;IF(H192="2B","2B",IF(H192="NO.1","1D",IF(H192="FH","FH",0)))&amp;"-"&amp;IF(J192="",(TEXT(I192,"0.00")),TEXT(J192,"0.00"))&amp;"X"&amp;M192</f>
        <v>RM SLT RUST-J3/2B-001X730</v>
      </c>
      <c r="C192" s="126" t="s">
        <v>951</v>
      </c>
      <c r="D192" s="126" t="s">
        <v>951</v>
      </c>
      <c r="E192" s="143" t="s">
        <v>952</v>
      </c>
      <c r="F192" s="143" t="s">
        <v>953</v>
      </c>
      <c r="G192" s="126" t="s">
        <v>29</v>
      </c>
      <c r="H192" s="126" t="s">
        <v>116</v>
      </c>
      <c r="I192" s="127">
        <v>0.75</v>
      </c>
      <c r="J192" s="127">
        <v>0.75</v>
      </c>
      <c r="K192" s="127"/>
      <c r="L192" s="127"/>
      <c r="M192" s="144">
        <v>730</v>
      </c>
      <c r="N192" s="129">
        <v>5.391</v>
      </c>
      <c r="O192" s="129"/>
      <c r="P192" s="129"/>
      <c r="Q192" s="130" t="s">
        <v>954</v>
      </c>
      <c r="R192" s="131"/>
      <c r="S192" s="131" t="s">
        <v>955</v>
      </c>
      <c r="T192" s="132"/>
      <c r="U192" s="132"/>
      <c r="V192" s="132"/>
      <c r="W192" s="132">
        <v>44463</v>
      </c>
      <c r="X192" s="132"/>
      <c r="Y192" s="133"/>
      <c r="Z192" s="126" t="s">
        <v>116</v>
      </c>
      <c r="AA192" s="134" t="s">
        <v>322</v>
      </c>
      <c r="AB192" s="134"/>
      <c r="AC192" s="134"/>
      <c r="AD192" s="134">
        <v>44398</v>
      </c>
      <c r="AE192" s="134"/>
      <c r="AF192" s="134">
        <f t="shared" ca="1" si="12"/>
        <v>44963</v>
      </c>
      <c r="AG192" s="126">
        <f t="shared" ca="1" si="13"/>
        <v>565</v>
      </c>
      <c r="AH192" s="126" t="str">
        <f t="shared" si="14"/>
        <v/>
      </c>
      <c r="AI192" s="134" t="s">
        <v>956</v>
      </c>
      <c r="AJ192" s="143" t="s">
        <v>664</v>
      </c>
      <c r="AK192" s="129">
        <v>5.391</v>
      </c>
      <c r="AL192" s="129">
        <v>5.431</v>
      </c>
      <c r="AM192" s="129">
        <v>5.4560000000000004</v>
      </c>
      <c r="AN192" s="129">
        <v>5.4610000000000003</v>
      </c>
      <c r="AO192" s="126" t="str">
        <f t="shared" si="15"/>
        <v/>
      </c>
      <c r="AR192" s="99" t="s">
        <v>136</v>
      </c>
      <c r="BG192" s="151"/>
    </row>
    <row r="193" spans="1:59" s="99" customFormat="1" ht="21" customHeight="1" x14ac:dyDescent="0.35">
      <c r="A193" s="99">
        <v>408</v>
      </c>
      <c r="B193" s="126" t="str">
        <f>IF(C193="HOLD RM","HOLD RM",IF(C193="BAL","WIP",IF(C193="HOLD SLT","HOLD SLT",IF(C193="MILL","RM",IF(C193="RE SLT","WIP",IF(C193="RM","RM",IF(C193="RM BAL","RM",IF(C193="RM SLT","RM",IF(C193="RR","WIP",IF(C193="SKP","WIP",IF(C193="SLT","WIP",IF(C193="CTL","WIP",0))))))))))))&amp;"-"&amp;G193&amp;"/"&amp;IF(H193="2B","2B",IF(H193="NO.1","1D",IF(H193="FH","FH",IF(H193="BA","BA",0)))&amp;"-"&amp;IF(J193="",(TEXT(I193,"0.00")),TEXT(J193,"0.00"))&amp;"X"&amp;M193)</f>
        <v>RM-J3/2B</v>
      </c>
      <c r="C193" s="126" t="s">
        <v>166</v>
      </c>
      <c r="D193" s="126" t="s">
        <v>166</v>
      </c>
      <c r="E193" s="143" t="s">
        <v>957</v>
      </c>
      <c r="F193" s="143" t="s">
        <v>958</v>
      </c>
      <c r="G193" s="126" t="s">
        <v>29</v>
      </c>
      <c r="H193" s="126" t="s">
        <v>116</v>
      </c>
      <c r="I193" s="127">
        <v>0.75</v>
      </c>
      <c r="J193" s="127">
        <v>0.75</v>
      </c>
      <c r="K193" s="127"/>
      <c r="L193" s="127"/>
      <c r="M193" s="144">
        <v>730</v>
      </c>
      <c r="N193" s="129">
        <v>6.3310000000000004</v>
      </c>
      <c r="O193" s="129"/>
      <c r="P193" s="129"/>
      <c r="Q193" s="130"/>
      <c r="R193" s="131"/>
      <c r="S193" s="131"/>
      <c r="T193" s="132"/>
      <c r="U193" s="132"/>
      <c r="V193" s="132"/>
      <c r="W193" s="132"/>
      <c r="X193" s="132"/>
      <c r="Y193" s="133"/>
      <c r="Z193" s="126" t="s">
        <v>116</v>
      </c>
      <c r="AA193" s="134" t="s">
        <v>322</v>
      </c>
      <c r="AB193" s="134"/>
      <c r="AC193" s="134"/>
      <c r="AD193" s="134">
        <v>44398</v>
      </c>
      <c r="AE193" s="134"/>
      <c r="AF193" s="134">
        <f t="shared" ca="1" si="12"/>
        <v>44963</v>
      </c>
      <c r="AG193" s="126">
        <f t="shared" ca="1" si="13"/>
        <v>565</v>
      </c>
      <c r="AH193" s="126" t="str">
        <f t="shared" si="14"/>
        <v/>
      </c>
      <c r="AI193" s="134" t="s">
        <v>921</v>
      </c>
      <c r="AJ193" s="143" t="s">
        <v>664</v>
      </c>
      <c r="AK193" s="129">
        <v>6.3310000000000004</v>
      </c>
      <c r="AL193" s="129">
        <v>6.3710000000000004</v>
      </c>
      <c r="AM193" s="129">
        <v>6.3960000000000008</v>
      </c>
      <c r="AN193" s="129">
        <v>6.4010000000000007</v>
      </c>
      <c r="AO193" s="126" t="str">
        <f t="shared" si="15"/>
        <v/>
      </c>
      <c r="AR193" s="99" t="s">
        <v>136</v>
      </c>
      <c r="BG193" s="151"/>
    </row>
    <row r="194" spans="1:59" s="99" customFormat="1" ht="21" customHeight="1" x14ac:dyDescent="0.35">
      <c r="A194" s="99">
        <v>408</v>
      </c>
      <c r="B194" s="126" t="str">
        <f>IF(C194="HOLD RM","HOLD RM",IF(C194="BAL","WIP",IF(C194="HOLD SLT","HOLD SLT",IF(C194="MILL","RM",IF(C194="RE SLT","WIP",IF(C194="RM","RM",IF(C194="RM BAL","RM",IF(C194="RM SLT","RM",IF(C194="RR","WIP",IF(C194="SKP","WIP",IF(C194="SLT","WIP",IF(C194="CTL","WIP",IF(C194="RM SLT RUST","RM SLT RUST",0)))))))))))))&amp;"-"&amp;G194&amp;"/"&amp;IF(H194="2B","2B",IF(H194="NO.1","1D",IF(H194="FH","FH",0)))&amp;"-"&amp;IF(J194="",(TEXT(I194,"0.00")),TEXT(J194,"0.00"))&amp;"X"&amp;M194</f>
        <v>WIP-J3/2B-000X722</v>
      </c>
      <c r="C194" s="126" t="s">
        <v>14</v>
      </c>
      <c r="D194" s="126" t="s">
        <v>358</v>
      </c>
      <c r="E194" s="143" t="s">
        <v>959</v>
      </c>
      <c r="F194" s="143" t="s">
        <v>960</v>
      </c>
      <c r="G194" s="126" t="s">
        <v>29</v>
      </c>
      <c r="H194" s="126" t="s">
        <v>116</v>
      </c>
      <c r="I194" s="127">
        <v>0.75</v>
      </c>
      <c r="J194" s="127">
        <v>0.45</v>
      </c>
      <c r="K194" s="127">
        <v>0.45</v>
      </c>
      <c r="L194" s="127">
        <v>0.46</v>
      </c>
      <c r="M194" s="144">
        <v>722</v>
      </c>
      <c r="N194" s="129">
        <v>5.84</v>
      </c>
      <c r="O194" s="129" t="s">
        <v>116</v>
      </c>
      <c r="P194" s="129"/>
      <c r="Q194" s="130" t="s">
        <v>446</v>
      </c>
      <c r="R194" s="130" t="s">
        <v>954</v>
      </c>
      <c r="S194" s="131" t="s">
        <v>955</v>
      </c>
      <c r="T194" s="132">
        <v>44574</v>
      </c>
      <c r="U194" s="132">
        <v>44576</v>
      </c>
      <c r="V194" s="132">
        <v>44598</v>
      </c>
      <c r="W194" s="132">
        <v>44458</v>
      </c>
      <c r="X194" s="132"/>
      <c r="Y194" s="133"/>
      <c r="Z194" s="126" t="s">
        <v>116</v>
      </c>
      <c r="AA194" s="134" t="s">
        <v>322</v>
      </c>
      <c r="AB194" s="134"/>
      <c r="AC194" s="134"/>
      <c r="AD194" s="134">
        <v>44398</v>
      </c>
      <c r="AE194" s="134"/>
      <c r="AF194" s="134">
        <f t="shared" ca="1" si="12"/>
        <v>44963</v>
      </c>
      <c r="AG194" s="126">
        <f t="shared" ca="1" si="13"/>
        <v>565</v>
      </c>
      <c r="AH194" s="126">
        <f t="shared" ca="1" si="14"/>
        <v>365</v>
      </c>
      <c r="AI194" s="134" t="s">
        <v>930</v>
      </c>
      <c r="AJ194" s="143" t="s">
        <v>961</v>
      </c>
      <c r="AK194" s="129">
        <v>5.9470000000000001</v>
      </c>
      <c r="AL194" s="129">
        <v>5.9870000000000001</v>
      </c>
      <c r="AM194" s="129">
        <v>6.0120000000000005</v>
      </c>
      <c r="AN194" s="129">
        <v>6.0170000000000003</v>
      </c>
      <c r="AO194" s="126">
        <f t="shared" ca="1" si="15"/>
        <v>387</v>
      </c>
      <c r="AR194" s="99" t="s">
        <v>136</v>
      </c>
      <c r="BG194" s="151"/>
    </row>
    <row r="195" spans="1:59" s="99" customFormat="1" ht="21" customHeight="1" x14ac:dyDescent="0.35">
      <c r="A195" s="99">
        <v>408</v>
      </c>
      <c r="B195" s="126" t="str">
        <f t="shared" ref="B195:B206" si="18">IF(C195="HOLD RM","HOLD RM",IF(C195="BAL","WIP",IF(C195="HOLD SLT","HOLD SLT",IF(C195="MILL","RM",IF(C195="RE SLT","WIP",IF(C195="RM","RM",IF(C195="RM BAL","RM",IF(C195="RM SLT","RM",IF(C195="RR","WIP",IF(C195="SKP","WIP",IF(C195="SLT","WIP",IF(C195="CTL","WIP",0))))))))))))&amp;"-"&amp;G195&amp;"/"&amp;IF(H195="2B","2B",IF(H195="NO.1","1D",IF(H195="FH","FH",IF(H195="BA","BA",0)))&amp;"-"&amp;IF(J195="",(TEXT(I195,"0.00")),TEXT(J195,"0.00"))&amp;"X"&amp;M195)</f>
        <v>RM-J3/2B</v>
      </c>
      <c r="C195" s="126" t="s">
        <v>166</v>
      </c>
      <c r="D195" s="126" t="s">
        <v>166</v>
      </c>
      <c r="E195" s="143" t="s">
        <v>962</v>
      </c>
      <c r="F195" s="143" t="s">
        <v>963</v>
      </c>
      <c r="G195" s="126" t="s">
        <v>29</v>
      </c>
      <c r="H195" s="126" t="s">
        <v>116</v>
      </c>
      <c r="I195" s="127">
        <v>0.75</v>
      </c>
      <c r="J195" s="127">
        <v>0.75</v>
      </c>
      <c r="K195" s="127"/>
      <c r="L195" s="127"/>
      <c r="M195" s="144">
        <v>730</v>
      </c>
      <c r="N195" s="129">
        <v>5.7469999999999999</v>
      </c>
      <c r="O195" s="129"/>
      <c r="P195" s="129"/>
      <c r="Q195" s="130"/>
      <c r="R195" s="131"/>
      <c r="S195" s="131"/>
      <c r="T195" s="132"/>
      <c r="U195" s="132"/>
      <c r="V195" s="132"/>
      <c r="W195" s="132"/>
      <c r="X195" s="132"/>
      <c r="Y195" s="133"/>
      <c r="Z195" s="126" t="s">
        <v>116</v>
      </c>
      <c r="AA195" s="134" t="s">
        <v>322</v>
      </c>
      <c r="AB195" s="134"/>
      <c r="AC195" s="134"/>
      <c r="AD195" s="134">
        <v>44398</v>
      </c>
      <c r="AE195" s="134"/>
      <c r="AF195" s="134">
        <f t="shared" ca="1" si="12"/>
        <v>44963</v>
      </c>
      <c r="AG195" s="126">
        <f t="shared" ca="1" si="13"/>
        <v>565</v>
      </c>
      <c r="AH195" s="126" t="str">
        <f t="shared" si="14"/>
        <v/>
      </c>
      <c r="AI195" s="134" t="s">
        <v>937</v>
      </c>
      <c r="AJ195" s="143" t="s">
        <v>961</v>
      </c>
      <c r="AK195" s="129">
        <v>5.7469999999999999</v>
      </c>
      <c r="AL195" s="129">
        <v>5.7869999999999999</v>
      </c>
      <c r="AM195" s="129">
        <v>5.8120000000000003</v>
      </c>
      <c r="AN195" s="129">
        <v>5.8170000000000002</v>
      </c>
      <c r="AO195" s="126" t="str">
        <f t="shared" si="15"/>
        <v/>
      </c>
      <c r="AR195" s="99" t="s">
        <v>136</v>
      </c>
      <c r="BG195" s="151"/>
    </row>
    <row r="196" spans="1:59" s="99" customFormat="1" ht="21" customHeight="1" x14ac:dyDescent="0.35">
      <c r="A196" s="99">
        <v>408</v>
      </c>
      <c r="B196" s="126" t="str">
        <f t="shared" si="18"/>
        <v>RM-J3/2B</v>
      </c>
      <c r="C196" s="126" t="s">
        <v>166</v>
      </c>
      <c r="D196" s="126" t="s">
        <v>166</v>
      </c>
      <c r="E196" s="143" t="s">
        <v>964</v>
      </c>
      <c r="F196" s="143" t="s">
        <v>965</v>
      </c>
      <c r="G196" s="126" t="s">
        <v>29</v>
      </c>
      <c r="H196" s="126" t="s">
        <v>116</v>
      </c>
      <c r="I196" s="127">
        <v>0.72</v>
      </c>
      <c r="J196" s="127">
        <v>0.72</v>
      </c>
      <c r="K196" s="127"/>
      <c r="L196" s="127"/>
      <c r="M196" s="144">
        <v>620</v>
      </c>
      <c r="N196" s="129">
        <v>9.3529999999999998</v>
      </c>
      <c r="O196" s="129"/>
      <c r="P196" s="129"/>
      <c r="Q196" s="130"/>
      <c r="R196" s="131"/>
      <c r="S196" s="131"/>
      <c r="T196" s="132"/>
      <c r="U196" s="132"/>
      <c r="V196" s="132"/>
      <c r="W196" s="132"/>
      <c r="X196" s="132"/>
      <c r="Y196" s="133"/>
      <c r="Z196" s="126" t="s">
        <v>116</v>
      </c>
      <c r="AA196" s="134" t="s">
        <v>322</v>
      </c>
      <c r="AB196" s="134"/>
      <c r="AC196" s="134"/>
      <c r="AD196" s="134">
        <v>44398</v>
      </c>
      <c r="AE196" s="134"/>
      <c r="AF196" s="134">
        <f t="shared" ca="1" si="12"/>
        <v>44963</v>
      </c>
      <c r="AG196" s="126">
        <f t="shared" ca="1" si="13"/>
        <v>565</v>
      </c>
      <c r="AH196" s="126" t="str">
        <f t="shared" si="14"/>
        <v/>
      </c>
      <c r="AI196" s="134" t="s">
        <v>950</v>
      </c>
      <c r="AJ196" s="143" t="s">
        <v>966</v>
      </c>
      <c r="AK196" s="129">
        <v>9.3529999999999998</v>
      </c>
      <c r="AL196" s="129">
        <v>9.3929999999999989</v>
      </c>
      <c r="AM196" s="129">
        <v>9.4179999999999975</v>
      </c>
      <c r="AN196" s="129">
        <v>9.4229999999999983</v>
      </c>
      <c r="AO196" s="126" t="str">
        <f t="shared" si="15"/>
        <v/>
      </c>
      <c r="AR196" s="99" t="s">
        <v>136</v>
      </c>
      <c r="BG196" s="151"/>
    </row>
    <row r="197" spans="1:59" s="99" customFormat="1" ht="21" customHeight="1" x14ac:dyDescent="0.35">
      <c r="A197" s="99">
        <v>408</v>
      </c>
      <c r="B197" s="126" t="str">
        <f t="shared" si="18"/>
        <v>RM-J3/2B</v>
      </c>
      <c r="C197" s="126" t="s">
        <v>166</v>
      </c>
      <c r="D197" s="126" t="s">
        <v>166</v>
      </c>
      <c r="E197" s="143" t="s">
        <v>967</v>
      </c>
      <c r="F197" s="143" t="s">
        <v>968</v>
      </c>
      <c r="G197" s="126" t="s">
        <v>29</v>
      </c>
      <c r="H197" s="126" t="s">
        <v>116</v>
      </c>
      <c r="I197" s="127">
        <v>0.72</v>
      </c>
      <c r="J197" s="127">
        <v>0.72</v>
      </c>
      <c r="K197" s="127"/>
      <c r="L197" s="127"/>
      <c r="M197" s="144">
        <v>620</v>
      </c>
      <c r="N197" s="129">
        <v>4.8949999999999996</v>
      </c>
      <c r="O197" s="129"/>
      <c r="P197" s="129"/>
      <c r="Q197" s="130"/>
      <c r="R197" s="131"/>
      <c r="S197" s="131"/>
      <c r="T197" s="132"/>
      <c r="U197" s="132"/>
      <c r="V197" s="132"/>
      <c r="W197" s="132"/>
      <c r="X197" s="132"/>
      <c r="Y197" s="133"/>
      <c r="Z197" s="126" t="s">
        <v>116</v>
      </c>
      <c r="AA197" s="134" t="s">
        <v>322</v>
      </c>
      <c r="AB197" s="134"/>
      <c r="AC197" s="134"/>
      <c r="AD197" s="134">
        <v>44398</v>
      </c>
      <c r="AE197" s="134"/>
      <c r="AF197" s="134">
        <f t="shared" ref="AF197:AF260" ca="1" si="19">TODAY()</f>
        <v>44963</v>
      </c>
      <c r="AG197" s="126">
        <f t="shared" ref="AG197:AG260" ca="1" si="20">IF(AD197&lt;&gt;0,AF197-AD197,0)</f>
        <v>565</v>
      </c>
      <c r="AH197" s="126" t="str">
        <f t="shared" ref="AH197:AH260" si="21">IF(ISNUMBER(V197)=TRUE,AF197-V197,IF(V197="","",(AF197)-(MID(RIGHT(V197,10),4,2)&amp;"/"&amp;LEFT((RIGHT(V197,10)),2)&amp;"/"&amp;RIGHT(V197,4))))</f>
        <v/>
      </c>
      <c r="AI197" s="134" t="s">
        <v>950</v>
      </c>
      <c r="AJ197" s="143" t="s">
        <v>934</v>
      </c>
      <c r="AK197" s="129">
        <v>4.8949999999999996</v>
      </c>
      <c r="AL197" s="129">
        <v>4.9349999999999996</v>
      </c>
      <c r="AM197" s="129">
        <v>4.96</v>
      </c>
      <c r="AN197" s="129">
        <v>4.9649999999999999</v>
      </c>
      <c r="AO197" s="126" t="str">
        <f t="shared" ref="AO197:AO260" si="22">IF(ISNUMBER(U197)=TRUE,AF197-U197,IF(U197="","",(AF197)-(MID(RIGHT(U197,10),4,2)&amp;"/"&amp;LEFT((RIGHT(U197,10)),2)&amp;"/"&amp;RIGHT(U197,4))))</f>
        <v/>
      </c>
      <c r="AR197" s="99" t="s">
        <v>136</v>
      </c>
      <c r="BG197" s="151"/>
    </row>
    <row r="198" spans="1:59" s="99" customFormat="1" ht="21" customHeight="1" x14ac:dyDescent="0.35">
      <c r="A198" s="99">
        <v>408</v>
      </c>
      <c r="B198" s="126" t="str">
        <f t="shared" si="18"/>
        <v>RM-J3/2B</v>
      </c>
      <c r="C198" s="126" t="s">
        <v>166</v>
      </c>
      <c r="D198" s="126" t="s">
        <v>166</v>
      </c>
      <c r="E198" s="143" t="s">
        <v>969</v>
      </c>
      <c r="F198" s="143" t="s">
        <v>970</v>
      </c>
      <c r="G198" s="126" t="s">
        <v>29</v>
      </c>
      <c r="H198" s="126" t="s">
        <v>116</v>
      </c>
      <c r="I198" s="127">
        <v>0.72</v>
      </c>
      <c r="J198" s="127">
        <v>0.72</v>
      </c>
      <c r="K198" s="127"/>
      <c r="L198" s="127"/>
      <c r="M198" s="144">
        <v>620</v>
      </c>
      <c r="N198" s="129">
        <v>5.1109999999999998</v>
      </c>
      <c r="O198" s="129"/>
      <c r="P198" s="129"/>
      <c r="Q198" s="130"/>
      <c r="R198" s="131"/>
      <c r="S198" s="131"/>
      <c r="T198" s="132"/>
      <c r="U198" s="132"/>
      <c r="V198" s="132"/>
      <c r="W198" s="132"/>
      <c r="X198" s="132"/>
      <c r="Y198" s="133"/>
      <c r="Z198" s="126" t="s">
        <v>116</v>
      </c>
      <c r="AA198" s="134" t="s">
        <v>322</v>
      </c>
      <c r="AB198" s="134"/>
      <c r="AC198" s="134"/>
      <c r="AD198" s="134">
        <v>44398</v>
      </c>
      <c r="AE198" s="134"/>
      <c r="AF198" s="134">
        <f t="shared" ca="1" si="19"/>
        <v>44963</v>
      </c>
      <c r="AG198" s="126">
        <f t="shared" ca="1" si="20"/>
        <v>565</v>
      </c>
      <c r="AH198" s="126" t="str">
        <f t="shared" si="21"/>
        <v/>
      </c>
      <c r="AI198" s="134" t="s">
        <v>944</v>
      </c>
      <c r="AJ198" s="143" t="s">
        <v>934</v>
      </c>
      <c r="AK198" s="129">
        <v>5.1109999999999998</v>
      </c>
      <c r="AL198" s="129">
        <v>5.1509999999999998</v>
      </c>
      <c r="AM198" s="129">
        <v>5.1760000000000002</v>
      </c>
      <c r="AN198" s="129">
        <v>5.181</v>
      </c>
      <c r="AO198" s="126" t="str">
        <f t="shared" si="22"/>
        <v/>
      </c>
      <c r="AR198" s="99" t="s">
        <v>136</v>
      </c>
      <c r="BG198" s="151"/>
    </row>
    <row r="199" spans="1:59" s="99" customFormat="1" ht="21" customHeight="1" x14ac:dyDescent="0.35">
      <c r="A199" s="99">
        <v>408</v>
      </c>
      <c r="B199" s="126" t="str">
        <f t="shared" si="18"/>
        <v>RM-J3/2B</v>
      </c>
      <c r="C199" s="126" t="s">
        <v>166</v>
      </c>
      <c r="D199" s="126" t="s">
        <v>166</v>
      </c>
      <c r="E199" s="143" t="s">
        <v>971</v>
      </c>
      <c r="F199" s="143" t="s">
        <v>972</v>
      </c>
      <c r="G199" s="126" t="s">
        <v>29</v>
      </c>
      <c r="H199" s="126" t="s">
        <v>116</v>
      </c>
      <c r="I199" s="127">
        <v>0.92</v>
      </c>
      <c r="J199" s="127">
        <v>0.92</v>
      </c>
      <c r="K199" s="127"/>
      <c r="L199" s="127"/>
      <c r="M199" s="144">
        <v>620</v>
      </c>
      <c r="N199" s="129">
        <v>9.9550000000000001</v>
      </c>
      <c r="O199" s="129"/>
      <c r="P199" s="129"/>
      <c r="Q199" s="130"/>
      <c r="R199" s="131"/>
      <c r="S199" s="131"/>
      <c r="T199" s="132"/>
      <c r="U199" s="132"/>
      <c r="V199" s="132"/>
      <c r="W199" s="132"/>
      <c r="X199" s="132"/>
      <c r="Y199" s="133"/>
      <c r="Z199" s="126" t="s">
        <v>116</v>
      </c>
      <c r="AA199" s="134" t="s">
        <v>322</v>
      </c>
      <c r="AB199" s="134"/>
      <c r="AC199" s="134"/>
      <c r="AD199" s="134">
        <v>44398</v>
      </c>
      <c r="AE199" s="134"/>
      <c r="AF199" s="134">
        <f t="shared" ca="1" si="19"/>
        <v>44963</v>
      </c>
      <c r="AG199" s="126">
        <f t="shared" ca="1" si="20"/>
        <v>565</v>
      </c>
      <c r="AH199" s="126" t="str">
        <f t="shared" si="21"/>
        <v/>
      </c>
      <c r="AI199" s="134"/>
      <c r="AJ199" s="143" t="s">
        <v>779</v>
      </c>
      <c r="AK199" s="129">
        <v>9.9550000000000001</v>
      </c>
      <c r="AL199" s="129">
        <v>9.9949999999999992</v>
      </c>
      <c r="AM199" s="129">
        <v>10.019999999999998</v>
      </c>
      <c r="AN199" s="129">
        <v>10.024999999999999</v>
      </c>
      <c r="AO199" s="126" t="str">
        <f t="shared" si="22"/>
        <v/>
      </c>
      <c r="AR199" s="99" t="s">
        <v>136</v>
      </c>
      <c r="BG199" s="151"/>
    </row>
    <row r="200" spans="1:59" s="99" customFormat="1" ht="21" customHeight="1" x14ac:dyDescent="0.35">
      <c r="A200" s="99">
        <v>408</v>
      </c>
      <c r="B200" s="126" t="str">
        <f t="shared" si="18"/>
        <v>RM-J3/2B</v>
      </c>
      <c r="C200" s="126" t="s">
        <v>166</v>
      </c>
      <c r="D200" s="126" t="s">
        <v>166</v>
      </c>
      <c r="E200" s="152" t="s">
        <v>973</v>
      </c>
      <c r="F200" s="143" t="s">
        <v>974</v>
      </c>
      <c r="G200" s="126" t="s">
        <v>29</v>
      </c>
      <c r="H200" s="126" t="s">
        <v>116</v>
      </c>
      <c r="I200" s="127">
        <v>0.92</v>
      </c>
      <c r="J200" s="127">
        <v>0.92</v>
      </c>
      <c r="K200" s="127"/>
      <c r="L200" s="127"/>
      <c r="M200" s="144">
        <v>620</v>
      </c>
      <c r="N200" s="129">
        <v>9.57</v>
      </c>
      <c r="O200" s="129"/>
      <c r="P200" s="129"/>
      <c r="Q200" s="130"/>
      <c r="R200" s="131"/>
      <c r="S200" s="131" t="s">
        <v>975</v>
      </c>
      <c r="T200" s="132"/>
      <c r="U200" s="132"/>
      <c r="V200" s="132"/>
      <c r="W200" s="132"/>
      <c r="X200" s="132"/>
      <c r="Y200" s="133"/>
      <c r="Z200" s="126" t="s">
        <v>116</v>
      </c>
      <c r="AA200" s="134" t="s">
        <v>322</v>
      </c>
      <c r="AB200" s="134"/>
      <c r="AC200" s="134"/>
      <c r="AD200" s="134">
        <v>44398</v>
      </c>
      <c r="AE200" s="134"/>
      <c r="AF200" s="134">
        <f t="shared" ca="1" si="19"/>
        <v>44963</v>
      </c>
      <c r="AG200" s="126">
        <f t="shared" ca="1" si="20"/>
        <v>565</v>
      </c>
      <c r="AH200" s="126" t="str">
        <f t="shared" si="21"/>
        <v/>
      </c>
      <c r="AI200" s="134"/>
      <c r="AJ200" s="143" t="s">
        <v>976</v>
      </c>
      <c r="AK200" s="129">
        <v>9.9329999999999998</v>
      </c>
      <c r="AL200" s="129">
        <v>9.972999999999999</v>
      </c>
      <c r="AM200" s="129">
        <v>9.9979999999999976</v>
      </c>
      <c r="AN200" s="129">
        <v>10.002999999999998</v>
      </c>
      <c r="AO200" s="126" t="str">
        <f t="shared" si="22"/>
        <v/>
      </c>
      <c r="AR200" s="99" t="s">
        <v>136</v>
      </c>
      <c r="BG200" s="151"/>
    </row>
    <row r="201" spans="1:59" s="99" customFormat="1" ht="21" customHeight="1" x14ac:dyDescent="0.35">
      <c r="A201" s="99">
        <v>408</v>
      </c>
      <c r="B201" s="126" t="str">
        <f t="shared" si="18"/>
        <v>RM-J3/2B</v>
      </c>
      <c r="C201" s="126" t="s">
        <v>166</v>
      </c>
      <c r="D201" s="126" t="s">
        <v>166</v>
      </c>
      <c r="E201" s="143" t="s">
        <v>977</v>
      </c>
      <c r="F201" s="143" t="s">
        <v>978</v>
      </c>
      <c r="G201" s="126" t="s">
        <v>29</v>
      </c>
      <c r="H201" s="126" t="s">
        <v>116</v>
      </c>
      <c r="I201" s="127">
        <v>0.92</v>
      </c>
      <c r="J201" s="127">
        <v>0.92</v>
      </c>
      <c r="K201" s="127"/>
      <c r="L201" s="127"/>
      <c r="M201" s="144">
        <v>620</v>
      </c>
      <c r="N201" s="129">
        <v>9.9269999999999996</v>
      </c>
      <c r="O201" s="129"/>
      <c r="P201" s="129"/>
      <c r="Q201" s="130"/>
      <c r="R201" s="131"/>
      <c r="S201" s="131"/>
      <c r="T201" s="132"/>
      <c r="U201" s="132"/>
      <c r="V201" s="132"/>
      <c r="W201" s="132"/>
      <c r="X201" s="132"/>
      <c r="Y201" s="133"/>
      <c r="Z201" s="126" t="s">
        <v>116</v>
      </c>
      <c r="AA201" s="134" t="s">
        <v>322</v>
      </c>
      <c r="AB201" s="134"/>
      <c r="AC201" s="134"/>
      <c r="AD201" s="134">
        <v>44398</v>
      </c>
      <c r="AE201" s="134"/>
      <c r="AF201" s="134">
        <f t="shared" ca="1" si="19"/>
        <v>44963</v>
      </c>
      <c r="AG201" s="126">
        <f t="shared" ca="1" si="20"/>
        <v>565</v>
      </c>
      <c r="AH201" s="126" t="str">
        <f t="shared" si="21"/>
        <v/>
      </c>
      <c r="AI201" s="134"/>
      <c r="AJ201" s="143" t="s">
        <v>979</v>
      </c>
      <c r="AK201" s="129">
        <v>9.9269999999999996</v>
      </c>
      <c r="AL201" s="129">
        <v>9.9669999999999987</v>
      </c>
      <c r="AM201" s="129">
        <v>9.9919999999999973</v>
      </c>
      <c r="AN201" s="129">
        <v>9.9969999999999981</v>
      </c>
      <c r="AO201" s="126" t="str">
        <f t="shared" si="22"/>
        <v/>
      </c>
      <c r="AR201" s="99" t="s">
        <v>136</v>
      </c>
      <c r="BG201" s="151"/>
    </row>
    <row r="202" spans="1:59" s="99" customFormat="1" ht="21" customHeight="1" x14ac:dyDescent="0.35">
      <c r="A202" s="99">
        <v>408</v>
      </c>
      <c r="B202" s="126" t="str">
        <f t="shared" si="18"/>
        <v>RM-J3/2B</v>
      </c>
      <c r="C202" s="126" t="s">
        <v>166</v>
      </c>
      <c r="D202" s="126" t="s">
        <v>166</v>
      </c>
      <c r="E202" s="143" t="s">
        <v>980</v>
      </c>
      <c r="F202" s="143" t="s">
        <v>981</v>
      </c>
      <c r="G202" s="126" t="s">
        <v>29</v>
      </c>
      <c r="H202" s="126" t="s">
        <v>116</v>
      </c>
      <c r="I202" s="127">
        <v>0.92</v>
      </c>
      <c r="J202" s="127">
        <v>0.92</v>
      </c>
      <c r="K202" s="127"/>
      <c r="L202" s="127"/>
      <c r="M202" s="144">
        <v>620</v>
      </c>
      <c r="N202" s="129">
        <v>9.843</v>
      </c>
      <c r="O202" s="129"/>
      <c r="P202" s="129"/>
      <c r="Q202" s="130"/>
      <c r="R202" s="131"/>
      <c r="S202" s="131"/>
      <c r="T202" s="132"/>
      <c r="U202" s="132"/>
      <c r="V202" s="132"/>
      <c r="W202" s="132"/>
      <c r="X202" s="132"/>
      <c r="Y202" s="133"/>
      <c r="Z202" s="126" t="s">
        <v>116</v>
      </c>
      <c r="AA202" s="134" t="s">
        <v>322</v>
      </c>
      <c r="AB202" s="134"/>
      <c r="AC202" s="134"/>
      <c r="AD202" s="134">
        <v>44398</v>
      </c>
      <c r="AE202" s="134"/>
      <c r="AF202" s="134">
        <f t="shared" ca="1" si="19"/>
        <v>44963</v>
      </c>
      <c r="AG202" s="126">
        <f t="shared" ca="1" si="20"/>
        <v>565</v>
      </c>
      <c r="AH202" s="126" t="str">
        <f t="shared" si="21"/>
        <v/>
      </c>
      <c r="AI202" s="134"/>
      <c r="AJ202" s="143" t="s">
        <v>979</v>
      </c>
      <c r="AK202" s="129">
        <v>9.843</v>
      </c>
      <c r="AL202" s="129">
        <v>9.8829999999999991</v>
      </c>
      <c r="AM202" s="129">
        <v>9.9079999999999977</v>
      </c>
      <c r="AN202" s="129">
        <v>9.9129999999999985</v>
      </c>
      <c r="AO202" s="126" t="str">
        <f t="shared" si="22"/>
        <v/>
      </c>
      <c r="AR202" s="99" t="s">
        <v>136</v>
      </c>
      <c r="BG202" s="151"/>
    </row>
    <row r="203" spans="1:59" s="99" customFormat="1" ht="21" customHeight="1" x14ac:dyDescent="0.35">
      <c r="A203" s="99">
        <v>408</v>
      </c>
      <c r="B203" s="126" t="str">
        <f t="shared" si="18"/>
        <v>RM-J3/2B</v>
      </c>
      <c r="C203" s="126" t="s">
        <v>166</v>
      </c>
      <c r="D203" s="126" t="s">
        <v>166</v>
      </c>
      <c r="E203" s="143" t="s">
        <v>982</v>
      </c>
      <c r="F203" s="143" t="s">
        <v>983</v>
      </c>
      <c r="G203" s="126" t="s">
        <v>29</v>
      </c>
      <c r="H203" s="126" t="s">
        <v>116</v>
      </c>
      <c r="I203" s="127">
        <v>0.92</v>
      </c>
      <c r="J203" s="127">
        <v>0.92</v>
      </c>
      <c r="K203" s="127"/>
      <c r="L203" s="127"/>
      <c r="M203" s="144">
        <v>620</v>
      </c>
      <c r="N203" s="129">
        <v>9.8789999999999996</v>
      </c>
      <c r="O203" s="129"/>
      <c r="P203" s="129"/>
      <c r="Q203" s="130"/>
      <c r="R203" s="131"/>
      <c r="S203" s="131"/>
      <c r="T203" s="132"/>
      <c r="U203" s="132"/>
      <c r="V203" s="132"/>
      <c r="W203" s="132"/>
      <c r="X203" s="132"/>
      <c r="Y203" s="133"/>
      <c r="Z203" s="126" t="s">
        <v>116</v>
      </c>
      <c r="AA203" s="134" t="s">
        <v>322</v>
      </c>
      <c r="AB203" s="134"/>
      <c r="AC203" s="134"/>
      <c r="AD203" s="134">
        <v>44398</v>
      </c>
      <c r="AE203" s="134"/>
      <c r="AF203" s="134">
        <f t="shared" ca="1" si="19"/>
        <v>44963</v>
      </c>
      <c r="AG203" s="126">
        <f t="shared" ca="1" si="20"/>
        <v>565</v>
      </c>
      <c r="AH203" s="126" t="str">
        <f t="shared" si="21"/>
        <v/>
      </c>
      <c r="AI203" s="134"/>
      <c r="AJ203" s="143" t="s">
        <v>976</v>
      </c>
      <c r="AK203" s="129">
        <v>9.8789999999999996</v>
      </c>
      <c r="AL203" s="129">
        <v>9.9189999999999987</v>
      </c>
      <c r="AM203" s="129">
        <v>9.9439999999999973</v>
      </c>
      <c r="AN203" s="129">
        <v>9.9489999999999981</v>
      </c>
      <c r="AO203" s="126" t="str">
        <f t="shared" si="22"/>
        <v/>
      </c>
      <c r="AR203" s="99" t="s">
        <v>136</v>
      </c>
      <c r="BG203" s="151"/>
    </row>
    <row r="204" spans="1:59" s="99" customFormat="1" ht="21" customHeight="1" x14ac:dyDescent="0.35">
      <c r="A204" s="99">
        <v>408</v>
      </c>
      <c r="B204" s="126" t="str">
        <f t="shared" si="18"/>
        <v>RM-J3/2B</v>
      </c>
      <c r="C204" s="126" t="s">
        <v>166</v>
      </c>
      <c r="D204" s="126" t="s">
        <v>166</v>
      </c>
      <c r="E204" s="143" t="s">
        <v>984</v>
      </c>
      <c r="F204" s="143" t="s">
        <v>985</v>
      </c>
      <c r="G204" s="126" t="s">
        <v>29</v>
      </c>
      <c r="H204" s="126" t="s">
        <v>116</v>
      </c>
      <c r="I204" s="127">
        <v>0.92</v>
      </c>
      <c r="J204" s="127">
        <v>0.92</v>
      </c>
      <c r="K204" s="127"/>
      <c r="L204" s="127"/>
      <c r="M204" s="144">
        <v>620</v>
      </c>
      <c r="N204" s="129">
        <v>9.9329999999999998</v>
      </c>
      <c r="O204" s="129"/>
      <c r="P204" s="129"/>
      <c r="Q204" s="130"/>
      <c r="R204" s="131"/>
      <c r="S204" s="131"/>
      <c r="T204" s="132"/>
      <c r="U204" s="132"/>
      <c r="V204" s="132"/>
      <c r="W204" s="132"/>
      <c r="X204" s="132"/>
      <c r="Y204" s="133"/>
      <c r="Z204" s="126" t="s">
        <v>116</v>
      </c>
      <c r="AA204" s="134" t="s">
        <v>322</v>
      </c>
      <c r="AB204" s="134"/>
      <c r="AC204" s="134"/>
      <c r="AD204" s="134">
        <v>44398</v>
      </c>
      <c r="AE204" s="134"/>
      <c r="AF204" s="134">
        <f t="shared" ca="1" si="19"/>
        <v>44963</v>
      </c>
      <c r="AG204" s="126">
        <f t="shared" ca="1" si="20"/>
        <v>565</v>
      </c>
      <c r="AH204" s="126" t="str">
        <f t="shared" si="21"/>
        <v/>
      </c>
      <c r="AI204" s="134"/>
      <c r="AJ204" s="143" t="s">
        <v>779</v>
      </c>
      <c r="AK204" s="129">
        <v>9.9329999999999998</v>
      </c>
      <c r="AL204" s="129">
        <v>9.972999999999999</v>
      </c>
      <c r="AM204" s="129">
        <v>9.9979999999999976</v>
      </c>
      <c r="AN204" s="129">
        <v>10.002999999999998</v>
      </c>
      <c r="AO204" s="126" t="str">
        <f t="shared" si="22"/>
        <v/>
      </c>
      <c r="AR204" s="99" t="s">
        <v>136</v>
      </c>
      <c r="BG204" s="151"/>
    </row>
    <row r="205" spans="1:59" s="99" customFormat="1" ht="21" customHeight="1" x14ac:dyDescent="0.35">
      <c r="A205" s="99">
        <v>408</v>
      </c>
      <c r="B205" s="126" t="str">
        <f t="shared" si="18"/>
        <v>RM-J3/2B</v>
      </c>
      <c r="C205" s="126" t="s">
        <v>166</v>
      </c>
      <c r="D205" s="126" t="s">
        <v>166</v>
      </c>
      <c r="E205" s="143" t="s">
        <v>986</v>
      </c>
      <c r="F205" s="143" t="s">
        <v>987</v>
      </c>
      <c r="G205" s="126" t="s">
        <v>29</v>
      </c>
      <c r="H205" s="126" t="s">
        <v>116</v>
      </c>
      <c r="I205" s="127">
        <v>0.92</v>
      </c>
      <c r="J205" s="127">
        <v>0.92</v>
      </c>
      <c r="K205" s="127"/>
      <c r="L205" s="127"/>
      <c r="M205" s="144">
        <v>620</v>
      </c>
      <c r="N205" s="129">
        <v>9.8870000000000005</v>
      </c>
      <c r="O205" s="129"/>
      <c r="P205" s="129"/>
      <c r="Q205" s="130"/>
      <c r="R205" s="131"/>
      <c r="S205" s="131"/>
      <c r="T205" s="132"/>
      <c r="U205" s="132"/>
      <c r="V205" s="132"/>
      <c r="W205" s="132"/>
      <c r="X205" s="132"/>
      <c r="Y205" s="133"/>
      <c r="Z205" s="126" t="s">
        <v>116</v>
      </c>
      <c r="AA205" s="134" t="s">
        <v>322</v>
      </c>
      <c r="AB205" s="134"/>
      <c r="AC205" s="134"/>
      <c r="AD205" s="134">
        <v>44398</v>
      </c>
      <c r="AE205" s="134"/>
      <c r="AF205" s="134">
        <f t="shared" ca="1" si="19"/>
        <v>44963</v>
      </c>
      <c r="AG205" s="126">
        <f t="shared" ca="1" si="20"/>
        <v>565</v>
      </c>
      <c r="AH205" s="126" t="str">
        <f t="shared" si="21"/>
        <v/>
      </c>
      <c r="AI205" s="134"/>
      <c r="AJ205" s="143" t="s">
        <v>988</v>
      </c>
      <c r="AK205" s="129">
        <v>9.8870000000000005</v>
      </c>
      <c r="AL205" s="129">
        <v>9.9269999999999996</v>
      </c>
      <c r="AM205" s="129">
        <v>9.9519999999999982</v>
      </c>
      <c r="AN205" s="129">
        <v>9.956999999999999</v>
      </c>
      <c r="AO205" s="126" t="str">
        <f t="shared" si="22"/>
        <v/>
      </c>
      <c r="AR205" s="99" t="s">
        <v>136</v>
      </c>
      <c r="BG205" s="151"/>
    </row>
    <row r="206" spans="1:59" s="99" customFormat="1" ht="21" customHeight="1" x14ac:dyDescent="0.35">
      <c r="A206" s="99">
        <v>408</v>
      </c>
      <c r="B206" s="126" t="str">
        <f t="shared" si="18"/>
        <v>RM-J3/2B</v>
      </c>
      <c r="C206" s="126" t="s">
        <v>166</v>
      </c>
      <c r="D206" s="126" t="s">
        <v>166</v>
      </c>
      <c r="E206" s="143" t="s">
        <v>989</v>
      </c>
      <c r="F206" s="143" t="s">
        <v>990</v>
      </c>
      <c r="G206" s="126" t="s">
        <v>29</v>
      </c>
      <c r="H206" s="126" t="s">
        <v>116</v>
      </c>
      <c r="I206" s="127">
        <v>0.92</v>
      </c>
      <c r="J206" s="127">
        <v>0.92</v>
      </c>
      <c r="K206" s="127"/>
      <c r="L206" s="127"/>
      <c r="M206" s="144">
        <v>620</v>
      </c>
      <c r="N206" s="129">
        <v>9.8569999999999993</v>
      </c>
      <c r="O206" s="129"/>
      <c r="P206" s="129"/>
      <c r="Q206" s="130"/>
      <c r="R206" s="131"/>
      <c r="S206" s="131"/>
      <c r="T206" s="132"/>
      <c r="U206" s="132"/>
      <c r="V206" s="132"/>
      <c r="W206" s="132"/>
      <c r="X206" s="132"/>
      <c r="Y206" s="133"/>
      <c r="Z206" s="126" t="s">
        <v>116</v>
      </c>
      <c r="AA206" s="134" t="s">
        <v>322</v>
      </c>
      <c r="AB206" s="134"/>
      <c r="AC206" s="134"/>
      <c r="AD206" s="134">
        <v>44398</v>
      </c>
      <c r="AE206" s="134"/>
      <c r="AF206" s="134">
        <f t="shared" ca="1" si="19"/>
        <v>44963</v>
      </c>
      <c r="AG206" s="126">
        <f t="shared" ca="1" si="20"/>
        <v>565</v>
      </c>
      <c r="AH206" s="126" t="str">
        <f t="shared" si="21"/>
        <v/>
      </c>
      <c r="AI206" s="134"/>
      <c r="AJ206" s="143" t="s">
        <v>988</v>
      </c>
      <c r="AK206" s="129">
        <v>9.8569999999999993</v>
      </c>
      <c r="AL206" s="129">
        <v>9.8969999999999985</v>
      </c>
      <c r="AM206" s="129">
        <v>9.921999999999997</v>
      </c>
      <c r="AN206" s="129">
        <v>9.9269999999999978</v>
      </c>
      <c r="AO206" s="126" t="str">
        <f t="shared" si="22"/>
        <v/>
      </c>
      <c r="AR206" s="99" t="s">
        <v>136</v>
      </c>
      <c r="BG206" s="151"/>
    </row>
    <row r="207" spans="1:59" s="99" customFormat="1" ht="21" customHeight="1" x14ac:dyDescent="0.35">
      <c r="A207" s="99">
        <v>408</v>
      </c>
      <c r="B207" s="126" t="str">
        <f>IF(C207="HOLD RM","HOLD RM",IF(C207="BAL","WIP",IF(C207="HOLD SLT","HOLD SLT",IF(C207="MILL","RM",IF(C207="RE SLT","WIP",IF(C207="RM","RM",IF(C207="RM BAL","RM",IF(C207="RM SLT","RM",IF(C207="RR","WIP",IF(C207="SKP","WIP",IF(C207="SLT","WIP",IF(C207="CTL","WIP",IF(C207="RM SLT RUST","RM SLT RUST",0)))))))))))))&amp;"-"&amp;G207&amp;"/"&amp;IF(H207="2B","2B",IF(H207="NO.1","1D",IF(H207="FH","FH",0)))&amp;"-"&amp;IF(J207="",(TEXT(I207,"0.00")),TEXT(J207,"0.00"))&amp;"X"&amp;M207</f>
        <v>RM SLT RUST-J3/2B-001X730</v>
      </c>
      <c r="C207" s="126" t="s">
        <v>951</v>
      </c>
      <c r="D207" s="126" t="s">
        <v>951</v>
      </c>
      <c r="E207" s="143" t="s">
        <v>991</v>
      </c>
      <c r="F207" s="143" t="s">
        <v>992</v>
      </c>
      <c r="G207" s="126" t="s">
        <v>29</v>
      </c>
      <c r="H207" s="126" t="s">
        <v>116</v>
      </c>
      <c r="I207" s="127">
        <v>0.75</v>
      </c>
      <c r="J207" s="127">
        <v>0.75</v>
      </c>
      <c r="K207" s="127"/>
      <c r="L207" s="127"/>
      <c r="M207" s="144">
        <v>730</v>
      </c>
      <c r="N207" s="129">
        <v>6.4349999999999996</v>
      </c>
      <c r="O207" s="129"/>
      <c r="P207" s="129"/>
      <c r="Q207" s="130" t="s">
        <v>954</v>
      </c>
      <c r="R207" s="130" t="s">
        <v>993</v>
      </c>
      <c r="S207" s="131" t="s">
        <v>955</v>
      </c>
      <c r="T207" s="132"/>
      <c r="U207" s="132"/>
      <c r="V207" s="132"/>
      <c r="W207" s="132">
        <v>44458</v>
      </c>
      <c r="X207" s="132"/>
      <c r="Y207" s="133"/>
      <c r="Z207" s="126" t="s">
        <v>116</v>
      </c>
      <c r="AA207" s="134" t="s">
        <v>322</v>
      </c>
      <c r="AB207" s="134"/>
      <c r="AC207" s="134"/>
      <c r="AD207" s="134">
        <v>44398</v>
      </c>
      <c r="AE207" s="134"/>
      <c r="AF207" s="134">
        <f t="shared" ca="1" si="19"/>
        <v>44963</v>
      </c>
      <c r="AG207" s="126">
        <f t="shared" ca="1" si="20"/>
        <v>565</v>
      </c>
      <c r="AH207" s="126" t="str">
        <f t="shared" si="21"/>
        <v/>
      </c>
      <c r="AI207" s="134"/>
      <c r="AJ207" s="143" t="s">
        <v>961</v>
      </c>
      <c r="AK207" s="129">
        <v>6.4349999999999996</v>
      </c>
      <c r="AL207" s="129">
        <v>6.4749999999999996</v>
      </c>
      <c r="AM207" s="129">
        <v>6.5</v>
      </c>
      <c r="AN207" s="129">
        <v>6.5049999999999999</v>
      </c>
      <c r="AO207" s="126" t="str">
        <f t="shared" si="22"/>
        <v/>
      </c>
      <c r="AR207" s="99" t="s">
        <v>136</v>
      </c>
      <c r="BG207" s="151"/>
    </row>
    <row r="208" spans="1:59" s="99" customFormat="1" ht="21" customHeight="1" x14ac:dyDescent="0.35">
      <c r="A208" s="99">
        <v>408</v>
      </c>
      <c r="B208" s="126" t="str">
        <f>IF(C208="HOLD RM","HOLD RM",IF(C208="BAL","WIP",IF(C208="HOLD SLT","HOLD SLT",IF(C208="MILL","RM",IF(C208="RE SLT","WIP",IF(C208="RM","RM",IF(C208="RM BAL","RM",IF(C208="RM SLT","RM",IF(C208="RR","WIP",IF(C208="SKP","WIP",IF(C208="SLT","WIP",IF(C208="CTL","WIP",IF(C208="RM SLT RUST","RM SLT RUST",0)))))))))))))&amp;"-"&amp;G208&amp;"/"&amp;IF(H208="2B","2B",IF(H208="NO.1","1D",IF(H208="FH","FH",0)))&amp;"-"&amp;IF(J208="",(TEXT(I208,"0.00")),TEXT(J208,"0.00"))&amp;"X"&amp;M208</f>
        <v>WIP-J3/2B-000X722</v>
      </c>
      <c r="C208" s="126" t="s">
        <v>14</v>
      </c>
      <c r="D208" s="126" t="s">
        <v>358</v>
      </c>
      <c r="E208" s="143" t="s">
        <v>994</v>
      </c>
      <c r="F208" s="143" t="s">
        <v>995</v>
      </c>
      <c r="G208" s="126" t="s">
        <v>29</v>
      </c>
      <c r="H208" s="126" t="s">
        <v>116</v>
      </c>
      <c r="I208" s="127">
        <v>0.75</v>
      </c>
      <c r="J208" s="127">
        <v>0.45</v>
      </c>
      <c r="K208" s="127">
        <v>0.45</v>
      </c>
      <c r="L208" s="127">
        <v>0.46</v>
      </c>
      <c r="M208" s="144">
        <v>722</v>
      </c>
      <c r="N208" s="129">
        <v>5.0650000000000004</v>
      </c>
      <c r="O208" s="129" t="s">
        <v>116</v>
      </c>
      <c r="P208" s="129"/>
      <c r="Q208" s="130" t="s">
        <v>446</v>
      </c>
      <c r="R208" s="130" t="s">
        <v>954</v>
      </c>
      <c r="S208" s="131" t="s">
        <v>955</v>
      </c>
      <c r="T208" s="132">
        <v>44574</v>
      </c>
      <c r="U208" s="132">
        <v>44575</v>
      </c>
      <c r="V208" s="132">
        <v>44598</v>
      </c>
      <c r="W208" s="132" t="s">
        <v>996</v>
      </c>
      <c r="X208" s="132"/>
      <c r="Y208" s="133"/>
      <c r="Z208" s="126" t="s">
        <v>116</v>
      </c>
      <c r="AA208" s="134" t="s">
        <v>322</v>
      </c>
      <c r="AB208" s="134"/>
      <c r="AC208" s="134"/>
      <c r="AD208" s="134">
        <v>44398</v>
      </c>
      <c r="AE208" s="134"/>
      <c r="AF208" s="134">
        <f t="shared" ca="1" si="19"/>
        <v>44963</v>
      </c>
      <c r="AG208" s="126">
        <f t="shared" ca="1" si="20"/>
        <v>565</v>
      </c>
      <c r="AH208" s="126">
        <f t="shared" ca="1" si="21"/>
        <v>365</v>
      </c>
      <c r="AI208" s="134"/>
      <c r="AJ208" s="143" t="s">
        <v>961</v>
      </c>
      <c r="AK208" s="129">
        <v>5.1349999999999998</v>
      </c>
      <c r="AL208" s="129">
        <v>5.1749999999999998</v>
      </c>
      <c r="AM208" s="129">
        <v>5.2</v>
      </c>
      <c r="AN208" s="129">
        <v>5.2050000000000001</v>
      </c>
      <c r="AO208" s="126">
        <f t="shared" ca="1" si="22"/>
        <v>388</v>
      </c>
      <c r="AR208" s="99" t="s">
        <v>136</v>
      </c>
      <c r="BG208" s="151"/>
    </row>
    <row r="209" spans="1:59" s="99" customFormat="1" ht="21" customHeight="1" x14ac:dyDescent="0.35">
      <c r="A209" s="99">
        <v>408</v>
      </c>
      <c r="B209" s="126" t="str">
        <f>IF(C209="HOLD RM","HOLD RM",IF(C209="BAL","WIP",IF(C209="HOLD SLT","HOLD SLT",IF(C209="MILL","RM",IF(C209="RE SLT","WIP",IF(C209="RM","RM",IF(C209="RM BAL","RM",IF(C209="RM SLT","RM",IF(C209="RR","WIP",IF(C209="SKP","WIP",IF(C209="SLT","WIP",IF(C209="CTL","WIP",0))))))))))))&amp;"-"&amp;G209&amp;"/"&amp;IF(H209="2B","2B",IF(H209="NO.1","1D",IF(H209="FH","FH",IF(H209="BA","BA",0)))&amp;"-"&amp;IF(J209="",(TEXT(I209,"0.00")),TEXT(J209,"0.00"))&amp;"X"&amp;M209)</f>
        <v>RM-J3/2B</v>
      </c>
      <c r="C209" s="126" t="s">
        <v>166</v>
      </c>
      <c r="D209" s="126" t="s">
        <v>166</v>
      </c>
      <c r="E209" s="143" t="s">
        <v>997</v>
      </c>
      <c r="F209" s="143" t="s">
        <v>998</v>
      </c>
      <c r="G209" s="126" t="s">
        <v>29</v>
      </c>
      <c r="H209" s="126" t="s">
        <v>116</v>
      </c>
      <c r="I209" s="127">
        <v>0.75</v>
      </c>
      <c r="J209" s="127">
        <v>0.75</v>
      </c>
      <c r="K209" s="127"/>
      <c r="L209" s="127"/>
      <c r="M209" s="144">
        <v>730</v>
      </c>
      <c r="N209" s="129">
        <v>5.8049999999999997</v>
      </c>
      <c r="O209" s="129"/>
      <c r="P209" s="129"/>
      <c r="Q209" s="130"/>
      <c r="R209" s="131"/>
      <c r="S209" s="131"/>
      <c r="T209" s="132"/>
      <c r="U209" s="132"/>
      <c r="V209" s="132"/>
      <c r="W209" s="132"/>
      <c r="X209" s="132"/>
      <c r="Y209" s="133"/>
      <c r="Z209" s="126" t="s">
        <v>116</v>
      </c>
      <c r="AA209" s="134" t="s">
        <v>322</v>
      </c>
      <c r="AB209" s="134"/>
      <c r="AC209" s="134"/>
      <c r="AD209" s="134">
        <v>44398</v>
      </c>
      <c r="AE209" s="134"/>
      <c r="AF209" s="134">
        <f t="shared" ca="1" si="19"/>
        <v>44963</v>
      </c>
      <c r="AG209" s="126">
        <f t="shared" ca="1" si="20"/>
        <v>565</v>
      </c>
      <c r="AH209" s="126" t="str">
        <f t="shared" si="21"/>
        <v/>
      </c>
      <c r="AI209" s="134"/>
      <c r="AJ209" s="143" t="s">
        <v>999</v>
      </c>
      <c r="AK209" s="129">
        <v>5.8049999999999997</v>
      </c>
      <c r="AL209" s="129">
        <v>5.8449999999999998</v>
      </c>
      <c r="AM209" s="129">
        <v>5.87</v>
      </c>
      <c r="AN209" s="129">
        <v>5.875</v>
      </c>
      <c r="AO209" s="126" t="str">
        <f t="shared" si="22"/>
        <v/>
      </c>
      <c r="AR209" s="99" t="s">
        <v>136</v>
      </c>
      <c r="BG209" s="151"/>
    </row>
    <row r="210" spans="1:59" s="99" customFormat="1" ht="21" customHeight="1" x14ac:dyDescent="0.35">
      <c r="A210" s="99">
        <v>408</v>
      </c>
      <c r="B210" s="126" t="str">
        <f>IF(C210="HOLD RM","HOLD RM",IF(C210="BAL","WIP",IF(C210="HOLD SLT","HOLD SLT",IF(C210="MILL","RM",IF(C210="RE SLT","WIP",IF(C210="RM","RM",IF(C210="RM BAL","RM",IF(C210="RM SLT","RM",IF(C210="RR","WIP",IF(C210="SKP","WIP",IF(C210="SLT","WIP",IF(C210="CTL","WIP",0))))))))))))&amp;"-"&amp;G210&amp;"/"&amp;IF(H210="2B","2B",IF(H210="NO.1","1D",IF(H210="FH","FH",IF(H210="BA","BA",0)))&amp;"-"&amp;IF(J210="",(TEXT(I210,"0.00")),TEXT(J210,"0.00"))&amp;"X"&amp;M210)</f>
        <v>RM-J3/2B</v>
      </c>
      <c r="C210" s="126" t="s">
        <v>166</v>
      </c>
      <c r="D210" s="126" t="s">
        <v>166</v>
      </c>
      <c r="E210" s="143" t="s">
        <v>1000</v>
      </c>
      <c r="F210" s="143" t="s">
        <v>1001</v>
      </c>
      <c r="G210" s="126" t="s">
        <v>29</v>
      </c>
      <c r="H210" s="126" t="s">
        <v>116</v>
      </c>
      <c r="I210" s="127">
        <v>0.75</v>
      </c>
      <c r="J210" s="127">
        <v>0.75</v>
      </c>
      <c r="K210" s="127"/>
      <c r="L210" s="127"/>
      <c r="M210" s="144">
        <v>730</v>
      </c>
      <c r="N210" s="129">
        <v>5.8849999999999998</v>
      </c>
      <c r="O210" s="129"/>
      <c r="P210" s="129"/>
      <c r="Q210" s="130"/>
      <c r="R210" s="131"/>
      <c r="S210" s="131"/>
      <c r="T210" s="132"/>
      <c r="U210" s="132"/>
      <c r="V210" s="132"/>
      <c r="W210" s="132"/>
      <c r="X210" s="132"/>
      <c r="Y210" s="133"/>
      <c r="Z210" s="126" t="s">
        <v>116</v>
      </c>
      <c r="AA210" s="134" t="s">
        <v>322</v>
      </c>
      <c r="AB210" s="134"/>
      <c r="AC210" s="134"/>
      <c r="AD210" s="134">
        <v>44398</v>
      </c>
      <c r="AE210" s="134"/>
      <c r="AF210" s="134">
        <f t="shared" ca="1" si="19"/>
        <v>44963</v>
      </c>
      <c r="AG210" s="126">
        <f t="shared" ca="1" si="20"/>
        <v>565</v>
      </c>
      <c r="AH210" s="126" t="str">
        <f t="shared" si="21"/>
        <v/>
      </c>
      <c r="AI210" s="134"/>
      <c r="AJ210" s="143" t="s">
        <v>999</v>
      </c>
      <c r="AK210" s="129">
        <v>5.8849999999999998</v>
      </c>
      <c r="AL210" s="129">
        <v>5.9249999999999998</v>
      </c>
      <c r="AM210" s="129">
        <v>5.95</v>
      </c>
      <c r="AN210" s="129">
        <v>5.9550000000000001</v>
      </c>
      <c r="AO210" s="126" t="str">
        <f t="shared" si="22"/>
        <v/>
      </c>
      <c r="AR210" s="99" t="s">
        <v>136</v>
      </c>
      <c r="BG210" s="151"/>
    </row>
    <row r="211" spans="1:59" s="99" customFormat="1" ht="21" customHeight="1" x14ac:dyDescent="0.35">
      <c r="A211" s="99">
        <v>409</v>
      </c>
      <c r="B211" s="126" t="str">
        <f>IF(C211="HOLD RM","HOLD RM",IF(C211="BAL","WIP",IF(C211="HOLD SLT","HOLD SLT",IF(C211="MILL","RM",IF(C211="RE SLT","WIP",IF(C211="RM","RM",IF(C211="RM BAL","RM",IF(C211="RM SLT","RM",IF(C211="RR","WIP",IF(C211="SKP","WIP",IF(C211="SLT","WIP",IF(C211="CTL","WIP",0))))))))))))&amp;"-"&amp;G211&amp;"/"&amp;IF(H211="2B","2B",IF(H211="NO.1","1D",IF(H211="FH","FH",IF(H211="BA","BA",0)))&amp;"-"&amp;IF(J211="",(TEXT(I211,"0.00")),TEXT(J211,"0.00"))&amp;"X"&amp;M211)</f>
        <v>RM-J3/FH-001X730</v>
      </c>
      <c r="C211" s="126" t="s">
        <v>1002</v>
      </c>
      <c r="D211" s="126" t="s">
        <v>1002</v>
      </c>
      <c r="E211" s="143" t="s">
        <v>1003</v>
      </c>
      <c r="F211" s="143" t="s">
        <v>1004</v>
      </c>
      <c r="G211" s="126" t="s">
        <v>29</v>
      </c>
      <c r="H211" s="126" t="s">
        <v>65</v>
      </c>
      <c r="I211" s="127">
        <v>1</v>
      </c>
      <c r="J211" s="127">
        <v>1</v>
      </c>
      <c r="K211" s="127"/>
      <c r="L211" s="127"/>
      <c r="M211" s="144">
        <v>730</v>
      </c>
      <c r="N211" s="129">
        <v>10.199999999999999</v>
      </c>
      <c r="O211" s="129"/>
      <c r="P211" s="129"/>
      <c r="Q211" s="130"/>
      <c r="R211" s="131"/>
      <c r="S211" s="131"/>
      <c r="T211" s="132"/>
      <c r="U211" s="132"/>
      <c r="V211" s="132"/>
      <c r="W211" s="132"/>
      <c r="X211" s="132"/>
      <c r="Y211" s="133"/>
      <c r="Z211" s="126" t="s">
        <v>65</v>
      </c>
      <c r="AA211" s="134" t="s">
        <v>132</v>
      </c>
      <c r="AB211" s="134" t="s">
        <v>1005</v>
      </c>
      <c r="AC211" s="134">
        <v>44357</v>
      </c>
      <c r="AD211" s="134">
        <v>44398</v>
      </c>
      <c r="AE211" s="134"/>
      <c r="AF211" s="134">
        <f t="shared" ca="1" si="19"/>
        <v>44963</v>
      </c>
      <c r="AG211" s="126">
        <f t="shared" ca="1" si="20"/>
        <v>565</v>
      </c>
      <c r="AH211" s="126" t="str">
        <f t="shared" si="21"/>
        <v/>
      </c>
      <c r="AI211" s="134" t="s">
        <v>1006</v>
      </c>
      <c r="AJ211" s="143" t="s">
        <v>1007</v>
      </c>
      <c r="AK211" s="129">
        <v>10.199999999999999</v>
      </c>
      <c r="AL211" s="129">
        <v>10.215</v>
      </c>
      <c r="AM211" s="129">
        <v>10.239999999999998</v>
      </c>
      <c r="AN211" s="129">
        <v>10.244999999999999</v>
      </c>
      <c r="AO211" s="126" t="str">
        <f t="shared" si="22"/>
        <v/>
      </c>
      <c r="AR211" s="99" t="s">
        <v>136</v>
      </c>
      <c r="BG211" s="151"/>
    </row>
    <row r="212" spans="1:59" s="99" customFormat="1" ht="21" customHeight="1" x14ac:dyDescent="0.35">
      <c r="A212" s="99">
        <v>409</v>
      </c>
      <c r="B212" s="126" t="str">
        <f>IF(C212="HOLD RM","HOLD RM",IF(C212="BAL","WIP",IF(C212="HOLD SLT","HOLD SLT",IF(C212="MILL","RM",IF(C212="RE SLT","WIP",IF(C212="RM","RM",IF(C212="RM BAL","RM",IF(C212="RM SLT","RM",IF(C212="RR","WIP",IF(C212="SKP","WIP",IF(C212="SLT","WIP",IF(C212="CTL","WIP",IF(C212="RM SLT RUST","RM SLT RUST",0)))))))))))))&amp;"-"&amp;G212&amp;"/"&amp;IF(H212="2B","2B",IF(H212="NO.1","1D",IF(H212="FH","FH",0)))&amp;"-"&amp;IF(J212="",(TEXT(I212,"0.00")),TEXT(J212,"0.00"))&amp;"X"&amp;M212</f>
        <v>WIP-J3/2B-001X730</v>
      </c>
      <c r="C212" s="126" t="s">
        <v>402</v>
      </c>
      <c r="D212" s="126" t="s">
        <v>403</v>
      </c>
      <c r="E212" s="143" t="s">
        <v>1008</v>
      </c>
      <c r="F212" s="143" t="s">
        <v>1009</v>
      </c>
      <c r="G212" s="126" t="s">
        <v>29</v>
      </c>
      <c r="H212" s="126" t="s">
        <v>116</v>
      </c>
      <c r="I212" s="127">
        <v>1.2</v>
      </c>
      <c r="J212" s="127">
        <v>0.81</v>
      </c>
      <c r="K212" s="127">
        <v>0.83</v>
      </c>
      <c r="L212" s="127">
        <v>0.84</v>
      </c>
      <c r="M212" s="144">
        <v>730</v>
      </c>
      <c r="N212" s="129">
        <v>10.15</v>
      </c>
      <c r="O212" s="129" t="s">
        <v>116</v>
      </c>
      <c r="P212" s="129"/>
      <c r="Q212" s="130" t="s">
        <v>361</v>
      </c>
      <c r="R212" s="131"/>
      <c r="S212" s="131"/>
      <c r="T212" s="132">
        <v>44529</v>
      </c>
      <c r="U212" s="132">
        <v>44530</v>
      </c>
      <c r="V212" s="132" t="s">
        <v>705</v>
      </c>
      <c r="W212" s="132"/>
      <c r="X212" s="132"/>
      <c r="Y212" s="133"/>
      <c r="Z212" s="126" t="s">
        <v>65</v>
      </c>
      <c r="AA212" s="134" t="s">
        <v>132</v>
      </c>
      <c r="AB212" s="134" t="s">
        <v>1005</v>
      </c>
      <c r="AC212" s="134">
        <v>44357</v>
      </c>
      <c r="AD212" s="134">
        <v>44398</v>
      </c>
      <c r="AE212" s="134"/>
      <c r="AF212" s="134">
        <f t="shared" ca="1" si="19"/>
        <v>44963</v>
      </c>
      <c r="AG212" s="126">
        <f t="shared" ca="1" si="20"/>
        <v>565</v>
      </c>
      <c r="AH212" s="126" t="e">
        <f t="shared" ca="1" si="21"/>
        <v>#VALUE!</v>
      </c>
      <c r="AI212" s="134" t="s">
        <v>1006</v>
      </c>
      <c r="AJ212" s="143" t="s">
        <v>1010</v>
      </c>
      <c r="AK212" s="129">
        <v>10.199999999999999</v>
      </c>
      <c r="AL212" s="129">
        <v>10.215</v>
      </c>
      <c r="AM212" s="129">
        <v>10.239999999999998</v>
      </c>
      <c r="AN212" s="129">
        <v>10.244999999999999</v>
      </c>
      <c r="AO212" s="126">
        <f t="shared" ca="1" si="22"/>
        <v>433</v>
      </c>
      <c r="AR212" s="99" t="s">
        <v>136</v>
      </c>
      <c r="BG212" s="135" t="s">
        <v>1011</v>
      </c>
    </row>
    <row r="213" spans="1:59" s="99" customFormat="1" ht="21" customHeight="1" x14ac:dyDescent="0.35">
      <c r="A213" s="99">
        <v>413</v>
      </c>
      <c r="B213" s="126" t="str">
        <f t="shared" ref="B213:B240" si="23">IF(C213="HOLD RM","HOLD RM",IF(C213="BAL","WIP",IF(C213="HOLD SLT","HOLD SLT",IF(C213="MILL","RM",IF(C213="RE SLT","WIP",IF(C213="RM","RM",IF(C213="RM BAL","RM",IF(C213="RM SLT","RM",IF(C213="RR","WIP",IF(C213="SKP","WIP",IF(C213="SLT","WIP",IF(C213="CTL","WIP",0))))))))))))&amp;"-"&amp;G213&amp;"/"&amp;IF(H213="2B","2B",IF(H213="NO.1","1D",IF(H213="FH","FH",IF(H213="BA","BA",0)))&amp;"-"&amp;IF(J213="",(TEXT(I213,"0.00")),TEXT(J213,"0.00"))&amp;"X"&amp;M213)</f>
        <v>RM-410/BA-000X600</v>
      </c>
      <c r="C213" s="126" t="s">
        <v>166</v>
      </c>
      <c r="D213" s="126" t="s">
        <v>166</v>
      </c>
      <c r="E213" s="143" t="s">
        <v>1012</v>
      </c>
      <c r="F213" s="143" t="s">
        <v>1013</v>
      </c>
      <c r="G213" s="126">
        <v>410</v>
      </c>
      <c r="H213" s="126" t="s">
        <v>169</v>
      </c>
      <c r="I213" s="127">
        <v>0.25</v>
      </c>
      <c r="J213" s="127">
        <v>0.25</v>
      </c>
      <c r="K213" s="127"/>
      <c r="L213" s="127"/>
      <c r="M213" s="144">
        <v>600</v>
      </c>
      <c r="N213" s="129">
        <v>2.198</v>
      </c>
      <c r="O213" s="129"/>
      <c r="P213" s="129"/>
      <c r="Q213" s="130"/>
      <c r="R213" s="131"/>
      <c r="S213" s="131"/>
      <c r="T213" s="132"/>
      <c r="U213" s="132"/>
      <c r="V213" s="132"/>
      <c r="W213" s="132"/>
      <c r="X213" s="132"/>
      <c r="Y213" s="133"/>
      <c r="Z213" s="126" t="s">
        <v>169</v>
      </c>
      <c r="AA213" s="134" t="s">
        <v>903</v>
      </c>
      <c r="AB213" s="134" t="s">
        <v>1014</v>
      </c>
      <c r="AC213" s="134">
        <v>44389</v>
      </c>
      <c r="AD213" s="134">
        <v>44412</v>
      </c>
      <c r="AE213" s="134"/>
      <c r="AF213" s="134">
        <f t="shared" ca="1" si="19"/>
        <v>44963</v>
      </c>
      <c r="AG213" s="126">
        <f t="shared" ca="1" si="20"/>
        <v>551</v>
      </c>
      <c r="AH213" s="126" t="str">
        <f t="shared" si="21"/>
        <v/>
      </c>
      <c r="AI213" s="134" t="s">
        <v>1015</v>
      </c>
      <c r="AJ213" s="143" t="s">
        <v>1016</v>
      </c>
      <c r="AK213" s="129">
        <v>2.198</v>
      </c>
      <c r="AL213" s="129">
        <v>2.2079999999999997</v>
      </c>
      <c r="AM213" s="129">
        <v>2.198</v>
      </c>
      <c r="AN213" s="129">
        <v>2.2079999999999997</v>
      </c>
      <c r="AO213" s="126" t="str">
        <f t="shared" si="22"/>
        <v/>
      </c>
      <c r="AR213" s="99" t="s">
        <v>136</v>
      </c>
      <c r="BG213" s="151"/>
    </row>
    <row r="214" spans="1:59" s="99" customFormat="1" ht="21" customHeight="1" x14ac:dyDescent="0.35">
      <c r="A214" s="99">
        <v>413</v>
      </c>
      <c r="B214" s="126" t="str">
        <f t="shared" si="23"/>
        <v>RM-410/BA-000X600</v>
      </c>
      <c r="C214" s="126" t="s">
        <v>166</v>
      </c>
      <c r="D214" s="126" t="s">
        <v>166</v>
      </c>
      <c r="E214" s="143" t="s">
        <v>1017</v>
      </c>
      <c r="F214" s="143" t="s">
        <v>1018</v>
      </c>
      <c r="G214" s="126">
        <v>410</v>
      </c>
      <c r="H214" s="126" t="s">
        <v>169</v>
      </c>
      <c r="I214" s="127">
        <v>0.25</v>
      </c>
      <c r="J214" s="127">
        <v>0.25</v>
      </c>
      <c r="K214" s="127"/>
      <c r="L214" s="127"/>
      <c r="M214" s="144">
        <v>600</v>
      </c>
      <c r="N214" s="129">
        <v>2.2919999999999998</v>
      </c>
      <c r="O214" s="129"/>
      <c r="P214" s="129"/>
      <c r="Q214" s="130"/>
      <c r="R214" s="131"/>
      <c r="S214" s="131"/>
      <c r="T214" s="132"/>
      <c r="U214" s="132"/>
      <c r="V214" s="132"/>
      <c r="W214" s="132"/>
      <c r="X214" s="132"/>
      <c r="Y214" s="133"/>
      <c r="Z214" s="126" t="s">
        <v>169</v>
      </c>
      <c r="AA214" s="134" t="s">
        <v>903</v>
      </c>
      <c r="AB214" s="134" t="s">
        <v>1014</v>
      </c>
      <c r="AC214" s="134">
        <v>44389</v>
      </c>
      <c r="AD214" s="134">
        <v>44412</v>
      </c>
      <c r="AE214" s="134"/>
      <c r="AF214" s="134">
        <f t="shared" ca="1" si="19"/>
        <v>44963</v>
      </c>
      <c r="AG214" s="126">
        <f t="shared" ca="1" si="20"/>
        <v>551</v>
      </c>
      <c r="AH214" s="126" t="str">
        <f t="shared" si="21"/>
        <v/>
      </c>
      <c r="AI214" s="134" t="s">
        <v>1019</v>
      </c>
      <c r="AJ214" s="143" t="s">
        <v>1020</v>
      </c>
      <c r="AK214" s="129">
        <v>2.2919999999999998</v>
      </c>
      <c r="AL214" s="129">
        <v>2.3019999999999996</v>
      </c>
      <c r="AM214" s="129">
        <v>2.2919999999999998</v>
      </c>
      <c r="AN214" s="129">
        <v>2.3019999999999996</v>
      </c>
      <c r="AO214" s="126" t="str">
        <f t="shared" si="22"/>
        <v/>
      </c>
      <c r="AR214" s="99" t="s">
        <v>136</v>
      </c>
      <c r="BG214" s="151"/>
    </row>
    <row r="215" spans="1:59" s="99" customFormat="1" ht="21" customHeight="1" x14ac:dyDescent="0.35">
      <c r="A215" s="99">
        <v>413</v>
      </c>
      <c r="B215" s="126" t="str">
        <f t="shared" si="23"/>
        <v>RM-410/BA-000X600</v>
      </c>
      <c r="C215" s="126" t="s">
        <v>166</v>
      </c>
      <c r="D215" s="126" t="s">
        <v>166</v>
      </c>
      <c r="E215" s="143" t="s">
        <v>1021</v>
      </c>
      <c r="F215" s="143" t="s">
        <v>1022</v>
      </c>
      <c r="G215" s="126">
        <v>410</v>
      </c>
      <c r="H215" s="126" t="s">
        <v>169</v>
      </c>
      <c r="I215" s="127">
        <v>0.25</v>
      </c>
      <c r="J215" s="127">
        <v>0.25</v>
      </c>
      <c r="K215" s="127"/>
      <c r="L215" s="127"/>
      <c r="M215" s="144">
        <v>600</v>
      </c>
      <c r="N215" s="129">
        <v>1.41</v>
      </c>
      <c r="O215" s="129"/>
      <c r="P215" s="129"/>
      <c r="Q215" s="130"/>
      <c r="R215" s="131"/>
      <c r="S215" s="131"/>
      <c r="T215" s="132"/>
      <c r="U215" s="132"/>
      <c r="V215" s="132"/>
      <c r="W215" s="132"/>
      <c r="X215" s="132"/>
      <c r="Y215" s="133"/>
      <c r="Z215" s="126" t="s">
        <v>169</v>
      </c>
      <c r="AA215" s="134" t="s">
        <v>903</v>
      </c>
      <c r="AB215" s="134" t="s">
        <v>1014</v>
      </c>
      <c r="AC215" s="134">
        <v>44389</v>
      </c>
      <c r="AD215" s="134">
        <v>44412</v>
      </c>
      <c r="AE215" s="134"/>
      <c r="AF215" s="134">
        <f t="shared" ca="1" si="19"/>
        <v>44963</v>
      </c>
      <c r="AG215" s="126">
        <f t="shared" ca="1" si="20"/>
        <v>551</v>
      </c>
      <c r="AH215" s="126" t="str">
        <f t="shared" si="21"/>
        <v/>
      </c>
      <c r="AI215" s="134" t="s">
        <v>1019</v>
      </c>
      <c r="AJ215" s="143" t="s">
        <v>1023</v>
      </c>
      <c r="AK215" s="129">
        <v>1.41</v>
      </c>
      <c r="AL215" s="129">
        <v>1.42</v>
      </c>
      <c r="AM215" s="129">
        <v>1.41</v>
      </c>
      <c r="AN215" s="129">
        <v>1.42</v>
      </c>
      <c r="AO215" s="126" t="str">
        <f t="shared" si="22"/>
        <v/>
      </c>
      <c r="AR215" s="99" t="s">
        <v>136</v>
      </c>
      <c r="BG215" s="151"/>
    </row>
    <row r="216" spans="1:59" s="99" customFormat="1" ht="21" customHeight="1" x14ac:dyDescent="0.35">
      <c r="A216" s="99">
        <v>413</v>
      </c>
      <c r="B216" s="126" t="str">
        <f t="shared" si="23"/>
        <v>RM-410/BA-000X600</v>
      </c>
      <c r="C216" s="126" t="s">
        <v>166</v>
      </c>
      <c r="D216" s="126" t="s">
        <v>166</v>
      </c>
      <c r="E216" s="143" t="s">
        <v>1024</v>
      </c>
      <c r="F216" s="143" t="s">
        <v>1025</v>
      </c>
      <c r="G216" s="126">
        <v>410</v>
      </c>
      <c r="H216" s="126" t="s">
        <v>169</v>
      </c>
      <c r="I216" s="127">
        <v>0.25</v>
      </c>
      <c r="J216" s="127">
        <v>0.25</v>
      </c>
      <c r="K216" s="127"/>
      <c r="L216" s="127"/>
      <c r="M216" s="144">
        <v>600</v>
      </c>
      <c r="N216" s="129">
        <v>2.2679999999999998</v>
      </c>
      <c r="O216" s="129"/>
      <c r="P216" s="129"/>
      <c r="Q216" s="130"/>
      <c r="R216" s="131"/>
      <c r="S216" s="131"/>
      <c r="T216" s="132"/>
      <c r="U216" s="132"/>
      <c r="V216" s="132"/>
      <c r="W216" s="132"/>
      <c r="X216" s="132"/>
      <c r="Y216" s="133"/>
      <c r="Z216" s="126" t="s">
        <v>169</v>
      </c>
      <c r="AA216" s="134" t="s">
        <v>903</v>
      </c>
      <c r="AB216" s="134" t="s">
        <v>1014</v>
      </c>
      <c r="AC216" s="134">
        <v>44389</v>
      </c>
      <c r="AD216" s="134">
        <v>44412</v>
      </c>
      <c r="AE216" s="134"/>
      <c r="AF216" s="134">
        <f t="shared" ca="1" si="19"/>
        <v>44963</v>
      </c>
      <c r="AG216" s="126">
        <f t="shared" ca="1" si="20"/>
        <v>551</v>
      </c>
      <c r="AH216" s="126" t="str">
        <f t="shared" si="21"/>
        <v/>
      </c>
      <c r="AI216" s="134" t="s">
        <v>1019</v>
      </c>
      <c r="AJ216" s="143" t="s">
        <v>1026</v>
      </c>
      <c r="AK216" s="129">
        <v>2.2679999999999998</v>
      </c>
      <c r="AL216" s="129">
        <v>2.2779999999999996</v>
      </c>
      <c r="AM216" s="129">
        <v>2.2679999999999998</v>
      </c>
      <c r="AN216" s="129">
        <v>2.2779999999999996</v>
      </c>
      <c r="AO216" s="126" t="str">
        <f t="shared" si="22"/>
        <v/>
      </c>
      <c r="AR216" s="99" t="s">
        <v>136</v>
      </c>
      <c r="BG216" s="151"/>
    </row>
    <row r="217" spans="1:59" s="99" customFormat="1" ht="21" customHeight="1" x14ac:dyDescent="0.35">
      <c r="A217" s="99">
        <v>413</v>
      </c>
      <c r="B217" s="126" t="str">
        <f t="shared" si="23"/>
        <v>RM-410/BA-000X600</v>
      </c>
      <c r="C217" s="126" t="s">
        <v>166</v>
      </c>
      <c r="D217" s="126" t="s">
        <v>166</v>
      </c>
      <c r="E217" s="143" t="s">
        <v>1027</v>
      </c>
      <c r="F217" s="143" t="s">
        <v>1028</v>
      </c>
      <c r="G217" s="126">
        <v>410</v>
      </c>
      <c r="H217" s="126" t="s">
        <v>169</v>
      </c>
      <c r="I217" s="127">
        <v>0.25</v>
      </c>
      <c r="J217" s="127">
        <v>0.25</v>
      </c>
      <c r="K217" s="127"/>
      <c r="L217" s="127"/>
      <c r="M217" s="144">
        <v>600</v>
      </c>
      <c r="N217" s="129">
        <v>1.607</v>
      </c>
      <c r="O217" s="129"/>
      <c r="P217" s="129"/>
      <c r="Q217" s="130"/>
      <c r="R217" s="131"/>
      <c r="S217" s="131"/>
      <c r="T217" s="132"/>
      <c r="U217" s="132"/>
      <c r="V217" s="132"/>
      <c r="W217" s="132"/>
      <c r="X217" s="132"/>
      <c r="Y217" s="133"/>
      <c r="Z217" s="126" t="s">
        <v>169</v>
      </c>
      <c r="AA217" s="134" t="s">
        <v>903</v>
      </c>
      <c r="AB217" s="134" t="s">
        <v>1014</v>
      </c>
      <c r="AC217" s="134">
        <v>44389</v>
      </c>
      <c r="AD217" s="134">
        <v>44412</v>
      </c>
      <c r="AE217" s="134"/>
      <c r="AF217" s="134">
        <f t="shared" ca="1" si="19"/>
        <v>44963</v>
      </c>
      <c r="AG217" s="126">
        <f t="shared" ca="1" si="20"/>
        <v>551</v>
      </c>
      <c r="AH217" s="126" t="str">
        <f t="shared" si="21"/>
        <v/>
      </c>
      <c r="AI217" s="134" t="s">
        <v>1019</v>
      </c>
      <c r="AJ217" s="143" t="s">
        <v>1029</v>
      </c>
      <c r="AK217" s="129">
        <v>1.607</v>
      </c>
      <c r="AL217" s="129">
        <v>1.617</v>
      </c>
      <c r="AM217" s="129">
        <v>1.607</v>
      </c>
      <c r="AN217" s="129">
        <v>1.617</v>
      </c>
      <c r="AO217" s="126" t="str">
        <f t="shared" si="22"/>
        <v/>
      </c>
      <c r="AR217" s="99" t="s">
        <v>136</v>
      </c>
      <c r="BG217" s="151"/>
    </row>
    <row r="218" spans="1:59" s="99" customFormat="1" ht="21" customHeight="1" x14ac:dyDescent="0.35">
      <c r="A218" s="99">
        <v>413</v>
      </c>
      <c r="B218" s="126" t="str">
        <f t="shared" si="23"/>
        <v>RM-410/BA-000X600</v>
      </c>
      <c r="C218" s="126" t="s">
        <v>166</v>
      </c>
      <c r="D218" s="126" t="s">
        <v>166</v>
      </c>
      <c r="E218" s="143" t="s">
        <v>1030</v>
      </c>
      <c r="F218" s="143" t="s">
        <v>1031</v>
      </c>
      <c r="G218" s="126">
        <v>410</v>
      </c>
      <c r="H218" s="126" t="s">
        <v>169</v>
      </c>
      <c r="I218" s="127">
        <v>0.25</v>
      </c>
      <c r="J218" s="127">
        <v>0.25</v>
      </c>
      <c r="K218" s="127"/>
      <c r="L218" s="127"/>
      <c r="M218" s="144">
        <v>600</v>
      </c>
      <c r="N218" s="129">
        <v>1.665</v>
      </c>
      <c r="O218" s="129"/>
      <c r="P218" s="129"/>
      <c r="Q218" s="130"/>
      <c r="R218" s="131"/>
      <c r="S218" s="131"/>
      <c r="T218" s="132"/>
      <c r="U218" s="132"/>
      <c r="V218" s="132"/>
      <c r="W218" s="132"/>
      <c r="X218" s="132"/>
      <c r="Y218" s="133"/>
      <c r="Z218" s="126" t="s">
        <v>169</v>
      </c>
      <c r="AA218" s="134" t="s">
        <v>903</v>
      </c>
      <c r="AB218" s="134" t="s">
        <v>1014</v>
      </c>
      <c r="AC218" s="134">
        <v>44389</v>
      </c>
      <c r="AD218" s="134">
        <v>44412</v>
      </c>
      <c r="AE218" s="134"/>
      <c r="AF218" s="134">
        <f t="shared" ca="1" si="19"/>
        <v>44963</v>
      </c>
      <c r="AG218" s="126">
        <f t="shared" ca="1" si="20"/>
        <v>551</v>
      </c>
      <c r="AH218" s="126" t="str">
        <f t="shared" si="21"/>
        <v/>
      </c>
      <c r="AI218" s="134" t="s">
        <v>1019</v>
      </c>
      <c r="AJ218" s="143" t="s">
        <v>1032</v>
      </c>
      <c r="AK218" s="129">
        <v>1.665</v>
      </c>
      <c r="AL218" s="129">
        <v>1.675</v>
      </c>
      <c r="AM218" s="129">
        <v>1.665</v>
      </c>
      <c r="AN218" s="129">
        <v>1.675</v>
      </c>
      <c r="AO218" s="126" t="str">
        <f t="shared" si="22"/>
        <v/>
      </c>
      <c r="AR218" s="99" t="s">
        <v>136</v>
      </c>
      <c r="BG218" s="151"/>
    </row>
    <row r="219" spans="1:59" s="99" customFormat="1" ht="21" customHeight="1" x14ac:dyDescent="0.35">
      <c r="A219" s="99">
        <v>413</v>
      </c>
      <c r="B219" s="126" t="str">
        <f t="shared" si="23"/>
        <v>RM-410/BA-000X600</v>
      </c>
      <c r="C219" s="126" t="s">
        <v>166</v>
      </c>
      <c r="D219" s="126" t="s">
        <v>166</v>
      </c>
      <c r="E219" s="143" t="s">
        <v>1033</v>
      </c>
      <c r="F219" s="143" t="s">
        <v>1034</v>
      </c>
      <c r="G219" s="126">
        <v>410</v>
      </c>
      <c r="H219" s="126" t="s">
        <v>169</v>
      </c>
      <c r="I219" s="127">
        <v>0.25</v>
      </c>
      <c r="J219" s="127">
        <v>0.25</v>
      </c>
      <c r="K219" s="127"/>
      <c r="L219" s="127"/>
      <c r="M219" s="144">
        <v>600</v>
      </c>
      <c r="N219" s="129">
        <v>2.1779999999999999</v>
      </c>
      <c r="O219" s="129"/>
      <c r="P219" s="129"/>
      <c r="Q219" s="130"/>
      <c r="R219" s="131"/>
      <c r="S219" s="131"/>
      <c r="T219" s="132"/>
      <c r="U219" s="132"/>
      <c r="V219" s="132"/>
      <c r="W219" s="132"/>
      <c r="X219" s="132"/>
      <c r="Y219" s="133"/>
      <c r="Z219" s="126" t="s">
        <v>169</v>
      </c>
      <c r="AA219" s="134" t="s">
        <v>903</v>
      </c>
      <c r="AB219" s="134" t="s">
        <v>1014</v>
      </c>
      <c r="AC219" s="134">
        <v>44389</v>
      </c>
      <c r="AD219" s="134">
        <v>44412</v>
      </c>
      <c r="AE219" s="134"/>
      <c r="AF219" s="134">
        <f t="shared" ca="1" si="19"/>
        <v>44963</v>
      </c>
      <c r="AG219" s="126">
        <f t="shared" ca="1" si="20"/>
        <v>551</v>
      </c>
      <c r="AH219" s="126" t="str">
        <f t="shared" si="21"/>
        <v/>
      </c>
      <c r="AI219" s="134" t="s">
        <v>1019</v>
      </c>
      <c r="AJ219" s="143" t="s">
        <v>1035</v>
      </c>
      <c r="AK219" s="129">
        <v>2.1779999999999999</v>
      </c>
      <c r="AL219" s="129">
        <v>2.1879999999999997</v>
      </c>
      <c r="AM219" s="129">
        <v>2.1779999999999999</v>
      </c>
      <c r="AN219" s="129">
        <v>2.1879999999999997</v>
      </c>
      <c r="AO219" s="126" t="str">
        <f t="shared" si="22"/>
        <v/>
      </c>
      <c r="AR219" s="99" t="s">
        <v>136</v>
      </c>
      <c r="BG219" s="151"/>
    </row>
    <row r="220" spans="1:59" s="99" customFormat="1" ht="21" customHeight="1" x14ac:dyDescent="0.35">
      <c r="A220" s="99">
        <v>413</v>
      </c>
      <c r="B220" s="126" t="str">
        <f t="shared" si="23"/>
        <v>RM-410/BA-000X600</v>
      </c>
      <c r="C220" s="126" t="s">
        <v>166</v>
      </c>
      <c r="D220" s="126" t="s">
        <v>166</v>
      </c>
      <c r="E220" s="143" t="s">
        <v>1036</v>
      </c>
      <c r="F220" s="143" t="s">
        <v>1037</v>
      </c>
      <c r="G220" s="126">
        <v>410</v>
      </c>
      <c r="H220" s="126" t="s">
        <v>169</v>
      </c>
      <c r="I220" s="127">
        <v>0.2</v>
      </c>
      <c r="J220" s="127">
        <v>0.2</v>
      </c>
      <c r="K220" s="127"/>
      <c r="L220" s="127"/>
      <c r="M220" s="144">
        <v>600</v>
      </c>
      <c r="N220" s="129">
        <v>2.2589999999999999</v>
      </c>
      <c r="O220" s="129"/>
      <c r="P220" s="129"/>
      <c r="Q220" s="130"/>
      <c r="R220" s="131"/>
      <c r="S220" s="131"/>
      <c r="T220" s="132"/>
      <c r="U220" s="132"/>
      <c r="V220" s="132"/>
      <c r="W220" s="132"/>
      <c r="X220" s="132"/>
      <c r="Y220" s="133"/>
      <c r="Z220" s="126" t="s">
        <v>169</v>
      </c>
      <c r="AA220" s="134" t="s">
        <v>903</v>
      </c>
      <c r="AB220" s="134" t="s">
        <v>1014</v>
      </c>
      <c r="AC220" s="134">
        <v>44389</v>
      </c>
      <c r="AD220" s="134">
        <v>44412</v>
      </c>
      <c r="AE220" s="134"/>
      <c r="AF220" s="134">
        <f t="shared" ca="1" si="19"/>
        <v>44963</v>
      </c>
      <c r="AG220" s="126">
        <f t="shared" ca="1" si="20"/>
        <v>551</v>
      </c>
      <c r="AH220" s="126" t="str">
        <f t="shared" si="21"/>
        <v/>
      </c>
      <c r="AI220" s="134" t="s">
        <v>1015</v>
      </c>
      <c r="AJ220" s="143" t="s">
        <v>1038</v>
      </c>
      <c r="AK220" s="129">
        <v>2.2589999999999999</v>
      </c>
      <c r="AL220" s="129">
        <v>2.2689999999999997</v>
      </c>
      <c r="AM220" s="129">
        <v>2.2589999999999999</v>
      </c>
      <c r="AN220" s="129">
        <v>2.2689999999999997</v>
      </c>
      <c r="AO220" s="126" t="str">
        <f t="shared" si="22"/>
        <v/>
      </c>
      <c r="AR220" s="99" t="s">
        <v>136</v>
      </c>
      <c r="BG220" s="151"/>
    </row>
    <row r="221" spans="1:59" s="99" customFormat="1" ht="21" customHeight="1" x14ac:dyDescent="0.35">
      <c r="A221" s="99">
        <v>413</v>
      </c>
      <c r="B221" s="126" t="str">
        <f t="shared" si="23"/>
        <v>RM-410/BA-000X600</v>
      </c>
      <c r="C221" s="126" t="s">
        <v>166</v>
      </c>
      <c r="D221" s="126" t="s">
        <v>166</v>
      </c>
      <c r="E221" s="143" t="s">
        <v>1039</v>
      </c>
      <c r="F221" s="143" t="s">
        <v>1040</v>
      </c>
      <c r="G221" s="126">
        <v>410</v>
      </c>
      <c r="H221" s="126" t="s">
        <v>169</v>
      </c>
      <c r="I221" s="127">
        <v>0.2</v>
      </c>
      <c r="J221" s="127">
        <v>0.2</v>
      </c>
      <c r="K221" s="127"/>
      <c r="L221" s="127"/>
      <c r="M221" s="144">
        <v>600</v>
      </c>
      <c r="N221" s="129">
        <v>2.319</v>
      </c>
      <c r="O221" s="129"/>
      <c r="P221" s="129"/>
      <c r="Q221" s="130"/>
      <c r="R221" s="131"/>
      <c r="S221" s="131"/>
      <c r="T221" s="132"/>
      <c r="U221" s="132"/>
      <c r="V221" s="132"/>
      <c r="W221" s="132"/>
      <c r="X221" s="132"/>
      <c r="Y221" s="133"/>
      <c r="Z221" s="126" t="s">
        <v>169</v>
      </c>
      <c r="AA221" s="134" t="s">
        <v>903</v>
      </c>
      <c r="AB221" s="134" t="s">
        <v>1014</v>
      </c>
      <c r="AC221" s="134">
        <v>44389</v>
      </c>
      <c r="AD221" s="134">
        <v>44412</v>
      </c>
      <c r="AE221" s="134"/>
      <c r="AF221" s="134">
        <f t="shared" ca="1" si="19"/>
        <v>44963</v>
      </c>
      <c r="AG221" s="126">
        <f t="shared" ca="1" si="20"/>
        <v>551</v>
      </c>
      <c r="AH221" s="126" t="str">
        <f t="shared" si="21"/>
        <v/>
      </c>
      <c r="AI221" s="134" t="s">
        <v>1015</v>
      </c>
      <c r="AJ221" s="143" t="s">
        <v>1041</v>
      </c>
      <c r="AK221" s="129">
        <v>2.319</v>
      </c>
      <c r="AL221" s="129">
        <v>2.3289999999999997</v>
      </c>
      <c r="AM221" s="129">
        <v>2.319</v>
      </c>
      <c r="AN221" s="129">
        <v>2.3289999999999997</v>
      </c>
      <c r="AO221" s="126" t="str">
        <f t="shared" si="22"/>
        <v/>
      </c>
      <c r="AR221" s="99" t="s">
        <v>136</v>
      </c>
      <c r="BG221" s="151"/>
    </row>
    <row r="222" spans="1:59" s="99" customFormat="1" ht="21" customHeight="1" x14ac:dyDescent="0.35">
      <c r="A222" s="99">
        <v>413</v>
      </c>
      <c r="B222" s="126" t="str">
        <f t="shared" si="23"/>
        <v>RM-410/BA-000X600</v>
      </c>
      <c r="C222" s="126" t="s">
        <v>166</v>
      </c>
      <c r="D222" s="126" t="s">
        <v>166</v>
      </c>
      <c r="E222" s="143" t="s">
        <v>1042</v>
      </c>
      <c r="F222" s="143" t="s">
        <v>1043</v>
      </c>
      <c r="G222" s="126">
        <v>410</v>
      </c>
      <c r="H222" s="126" t="s">
        <v>169</v>
      </c>
      <c r="I222" s="127">
        <v>0.2</v>
      </c>
      <c r="J222" s="127">
        <v>0.2</v>
      </c>
      <c r="K222" s="127"/>
      <c r="L222" s="127"/>
      <c r="M222" s="144">
        <v>600</v>
      </c>
      <c r="N222" s="129">
        <v>2.234</v>
      </c>
      <c r="O222" s="129"/>
      <c r="P222" s="129"/>
      <c r="Q222" s="130"/>
      <c r="R222" s="131"/>
      <c r="S222" s="131"/>
      <c r="T222" s="132"/>
      <c r="U222" s="132"/>
      <c r="V222" s="132"/>
      <c r="W222" s="132"/>
      <c r="X222" s="132"/>
      <c r="Y222" s="133"/>
      <c r="Z222" s="126" t="s">
        <v>169</v>
      </c>
      <c r="AA222" s="134" t="s">
        <v>903</v>
      </c>
      <c r="AB222" s="134" t="s">
        <v>1014</v>
      </c>
      <c r="AC222" s="134">
        <v>44389</v>
      </c>
      <c r="AD222" s="134">
        <v>44412</v>
      </c>
      <c r="AE222" s="134"/>
      <c r="AF222" s="134">
        <f t="shared" ca="1" si="19"/>
        <v>44963</v>
      </c>
      <c r="AG222" s="126">
        <f t="shared" ca="1" si="20"/>
        <v>551</v>
      </c>
      <c r="AH222" s="126" t="str">
        <f t="shared" si="21"/>
        <v/>
      </c>
      <c r="AI222" s="134" t="s">
        <v>1015</v>
      </c>
      <c r="AJ222" s="143" t="s">
        <v>1044</v>
      </c>
      <c r="AK222" s="129">
        <v>2.234</v>
      </c>
      <c r="AL222" s="129">
        <v>2.2439999999999998</v>
      </c>
      <c r="AM222" s="129">
        <v>2.234</v>
      </c>
      <c r="AN222" s="129">
        <v>2.2439999999999998</v>
      </c>
      <c r="AO222" s="126" t="str">
        <f t="shared" si="22"/>
        <v/>
      </c>
      <c r="AR222" s="99" t="s">
        <v>136</v>
      </c>
      <c r="BG222" s="151"/>
    </row>
    <row r="223" spans="1:59" s="99" customFormat="1" ht="21" customHeight="1" x14ac:dyDescent="0.35">
      <c r="A223" s="99">
        <v>414</v>
      </c>
      <c r="B223" s="126" t="str">
        <f t="shared" si="23"/>
        <v>RM-J3/2B</v>
      </c>
      <c r="C223" s="126" t="s">
        <v>166</v>
      </c>
      <c r="D223" s="126" t="s">
        <v>166</v>
      </c>
      <c r="E223" s="143" t="s">
        <v>1045</v>
      </c>
      <c r="F223" s="143" t="s">
        <v>1046</v>
      </c>
      <c r="G223" s="126" t="s">
        <v>29</v>
      </c>
      <c r="H223" s="126" t="s">
        <v>116</v>
      </c>
      <c r="I223" s="127">
        <v>0.72</v>
      </c>
      <c r="J223" s="127">
        <v>0.72</v>
      </c>
      <c r="K223" s="127"/>
      <c r="L223" s="127"/>
      <c r="M223" s="144">
        <v>620</v>
      </c>
      <c r="N223" s="129">
        <v>9.8290000000000006</v>
      </c>
      <c r="O223" s="129"/>
      <c r="P223" s="129"/>
      <c r="Q223" s="130"/>
      <c r="R223" s="131"/>
      <c r="S223" s="131"/>
      <c r="T223" s="132"/>
      <c r="U223" s="132"/>
      <c r="V223" s="132"/>
      <c r="W223" s="132"/>
      <c r="X223" s="132"/>
      <c r="Y223" s="133"/>
      <c r="Z223" s="126" t="s">
        <v>116</v>
      </c>
      <c r="AA223" s="134" t="s">
        <v>322</v>
      </c>
      <c r="AB223" s="134"/>
      <c r="AC223" s="134"/>
      <c r="AD223" s="134">
        <v>44417</v>
      </c>
      <c r="AE223" s="134"/>
      <c r="AF223" s="134">
        <f t="shared" ca="1" si="19"/>
        <v>44963</v>
      </c>
      <c r="AG223" s="126">
        <f t="shared" ca="1" si="20"/>
        <v>546</v>
      </c>
      <c r="AH223" s="126" t="str">
        <f t="shared" si="21"/>
        <v/>
      </c>
      <c r="AI223" s="134" t="s">
        <v>1047</v>
      </c>
      <c r="AJ223" s="143" t="s">
        <v>1048</v>
      </c>
      <c r="AK223" s="129">
        <v>9.8290000000000006</v>
      </c>
      <c r="AL223" s="129">
        <v>9.8689999999999998</v>
      </c>
      <c r="AM223" s="129">
        <v>9.8939999999999984</v>
      </c>
      <c r="AN223" s="129">
        <v>9.8989999999999991</v>
      </c>
      <c r="AO223" s="126" t="str">
        <f t="shared" si="22"/>
        <v/>
      </c>
      <c r="AR223" s="99" t="s">
        <v>136</v>
      </c>
      <c r="BG223" s="151"/>
    </row>
    <row r="224" spans="1:59" s="99" customFormat="1" ht="21" customHeight="1" x14ac:dyDescent="0.35">
      <c r="A224" s="99">
        <v>414</v>
      </c>
      <c r="B224" s="126" t="str">
        <f t="shared" si="23"/>
        <v>WIP-J3/FH-000X610</v>
      </c>
      <c r="C224" s="126" t="s">
        <v>13</v>
      </c>
      <c r="D224" s="126" t="s">
        <v>13</v>
      </c>
      <c r="E224" s="143" t="s">
        <v>1049</v>
      </c>
      <c r="F224" s="143" t="s">
        <v>1050</v>
      </c>
      <c r="G224" s="126" t="s">
        <v>29</v>
      </c>
      <c r="H224" s="126" t="s">
        <v>65</v>
      </c>
      <c r="I224" s="127">
        <v>0.72</v>
      </c>
      <c r="J224" s="127">
        <v>0.4</v>
      </c>
      <c r="K224" s="127"/>
      <c r="L224" s="127"/>
      <c r="M224" s="144">
        <v>610</v>
      </c>
      <c r="N224" s="129">
        <v>9.7949999999999999</v>
      </c>
      <c r="O224" s="129" t="s">
        <v>116</v>
      </c>
      <c r="P224" s="129"/>
      <c r="Q224" s="130" t="s">
        <v>117</v>
      </c>
      <c r="R224" s="131" t="s">
        <v>918</v>
      </c>
      <c r="S224" s="131"/>
      <c r="T224" s="132">
        <v>44492</v>
      </c>
      <c r="U224" s="132">
        <v>44492</v>
      </c>
      <c r="V224" s="132"/>
      <c r="W224" s="132">
        <v>44491</v>
      </c>
      <c r="X224" s="132"/>
      <c r="Y224" s="133"/>
      <c r="Z224" s="126" t="s">
        <v>116</v>
      </c>
      <c r="AA224" s="134" t="s">
        <v>322</v>
      </c>
      <c r="AB224" s="134"/>
      <c r="AC224" s="134"/>
      <c r="AD224" s="134">
        <v>44417</v>
      </c>
      <c r="AE224" s="134"/>
      <c r="AF224" s="134">
        <f t="shared" ca="1" si="19"/>
        <v>44963</v>
      </c>
      <c r="AG224" s="126">
        <f t="shared" ca="1" si="20"/>
        <v>546</v>
      </c>
      <c r="AH224" s="126" t="str">
        <f t="shared" si="21"/>
        <v/>
      </c>
      <c r="AI224" s="134" t="s">
        <v>1051</v>
      </c>
      <c r="AJ224" s="143" t="s">
        <v>1052</v>
      </c>
      <c r="AK224" s="129">
        <v>9.9469999999999992</v>
      </c>
      <c r="AL224" s="129">
        <v>9.9869999999999983</v>
      </c>
      <c r="AM224" s="129">
        <v>10.011999999999997</v>
      </c>
      <c r="AN224" s="129">
        <v>10.016999999999998</v>
      </c>
      <c r="AO224" s="126">
        <f t="shared" ca="1" si="22"/>
        <v>471</v>
      </c>
      <c r="AR224" s="99" t="s">
        <v>136</v>
      </c>
      <c r="BG224" s="135" t="s">
        <v>427</v>
      </c>
    </row>
    <row r="225" spans="1:59" s="99" customFormat="1" ht="21" customHeight="1" x14ac:dyDescent="0.35">
      <c r="A225" s="99">
        <v>414</v>
      </c>
      <c r="B225" s="126" t="str">
        <f t="shared" si="23"/>
        <v>RM-J3/2B</v>
      </c>
      <c r="C225" s="126" t="s">
        <v>166</v>
      </c>
      <c r="D225" s="126" t="s">
        <v>166</v>
      </c>
      <c r="E225" s="143" t="s">
        <v>1053</v>
      </c>
      <c r="F225" s="143" t="s">
        <v>1054</v>
      </c>
      <c r="G225" s="126" t="s">
        <v>29</v>
      </c>
      <c r="H225" s="126" t="s">
        <v>116</v>
      </c>
      <c r="I225" s="127">
        <v>0.72</v>
      </c>
      <c r="J225" s="127">
        <v>0.72</v>
      </c>
      <c r="K225" s="127"/>
      <c r="L225" s="127"/>
      <c r="M225" s="144">
        <v>620</v>
      </c>
      <c r="N225" s="129">
        <v>9.7050000000000001</v>
      </c>
      <c r="O225" s="129"/>
      <c r="P225" s="129"/>
      <c r="Q225" s="130"/>
      <c r="R225" s="131"/>
      <c r="S225" s="131"/>
      <c r="T225" s="132"/>
      <c r="U225" s="132"/>
      <c r="V225" s="132"/>
      <c r="W225" s="132"/>
      <c r="X225" s="132"/>
      <c r="Y225" s="133"/>
      <c r="Z225" s="126" t="s">
        <v>116</v>
      </c>
      <c r="AA225" s="134" t="s">
        <v>322</v>
      </c>
      <c r="AB225" s="134"/>
      <c r="AC225" s="134"/>
      <c r="AD225" s="134">
        <v>44417</v>
      </c>
      <c r="AE225" s="134"/>
      <c r="AF225" s="134">
        <f t="shared" ca="1" si="19"/>
        <v>44963</v>
      </c>
      <c r="AG225" s="126">
        <f t="shared" ca="1" si="20"/>
        <v>546</v>
      </c>
      <c r="AH225" s="126" t="str">
        <f t="shared" si="21"/>
        <v/>
      </c>
      <c r="AI225" s="134" t="s">
        <v>1055</v>
      </c>
      <c r="AJ225" s="143" t="s">
        <v>1056</v>
      </c>
      <c r="AK225" s="129">
        <v>9.7050000000000001</v>
      </c>
      <c r="AL225" s="129">
        <v>9.7449999999999992</v>
      </c>
      <c r="AM225" s="129">
        <v>9.7699999999999978</v>
      </c>
      <c r="AN225" s="129">
        <v>9.7749999999999986</v>
      </c>
      <c r="AO225" s="126" t="str">
        <f t="shared" si="22"/>
        <v/>
      </c>
      <c r="AR225" s="99" t="s">
        <v>136</v>
      </c>
      <c r="BG225" s="151"/>
    </row>
    <row r="226" spans="1:59" s="99" customFormat="1" ht="21" customHeight="1" x14ac:dyDescent="0.35">
      <c r="A226" s="99">
        <v>414</v>
      </c>
      <c r="B226" s="126" t="str">
        <f t="shared" si="23"/>
        <v>RM-J3/2B</v>
      </c>
      <c r="C226" s="126" t="s">
        <v>166</v>
      </c>
      <c r="D226" s="126" t="s">
        <v>166</v>
      </c>
      <c r="E226" s="143" t="s">
        <v>1057</v>
      </c>
      <c r="F226" s="143" t="s">
        <v>1058</v>
      </c>
      <c r="G226" s="126" t="s">
        <v>29</v>
      </c>
      <c r="H226" s="126" t="s">
        <v>116</v>
      </c>
      <c r="I226" s="127">
        <v>0.72</v>
      </c>
      <c r="J226" s="127">
        <v>0.72</v>
      </c>
      <c r="K226" s="127"/>
      <c r="L226" s="127"/>
      <c r="M226" s="144">
        <v>620</v>
      </c>
      <c r="N226" s="129">
        <v>9.9770000000000003</v>
      </c>
      <c r="O226" s="129"/>
      <c r="P226" s="129"/>
      <c r="Q226" s="130"/>
      <c r="R226" s="131"/>
      <c r="S226" s="131"/>
      <c r="T226" s="132"/>
      <c r="U226" s="132"/>
      <c r="V226" s="132"/>
      <c r="W226" s="132"/>
      <c r="X226" s="132"/>
      <c r="Y226" s="133"/>
      <c r="Z226" s="126" t="s">
        <v>116</v>
      </c>
      <c r="AA226" s="134" t="s">
        <v>322</v>
      </c>
      <c r="AB226" s="134"/>
      <c r="AC226" s="134"/>
      <c r="AD226" s="134">
        <v>44417</v>
      </c>
      <c r="AE226" s="134"/>
      <c r="AF226" s="134">
        <f t="shared" ca="1" si="19"/>
        <v>44963</v>
      </c>
      <c r="AG226" s="126">
        <f t="shared" ca="1" si="20"/>
        <v>546</v>
      </c>
      <c r="AH226" s="126" t="str">
        <f t="shared" si="21"/>
        <v/>
      </c>
      <c r="AI226" s="134" t="s">
        <v>1059</v>
      </c>
      <c r="AJ226" s="143" t="s">
        <v>1052</v>
      </c>
      <c r="AK226" s="129">
        <v>9.9770000000000003</v>
      </c>
      <c r="AL226" s="129">
        <v>10.016999999999999</v>
      </c>
      <c r="AM226" s="129">
        <v>10.041999999999998</v>
      </c>
      <c r="AN226" s="129">
        <v>10.046999999999999</v>
      </c>
      <c r="AO226" s="126" t="str">
        <f t="shared" si="22"/>
        <v/>
      </c>
      <c r="AR226" s="99" t="s">
        <v>136</v>
      </c>
      <c r="BG226" s="151"/>
    </row>
    <row r="227" spans="1:59" s="99" customFormat="1" ht="21" customHeight="1" x14ac:dyDescent="0.35">
      <c r="A227" s="99">
        <v>414</v>
      </c>
      <c r="B227" s="126" t="str">
        <f t="shared" si="23"/>
        <v>RM-J3/2B</v>
      </c>
      <c r="C227" s="126" t="s">
        <v>166</v>
      </c>
      <c r="D227" s="126" t="s">
        <v>166</v>
      </c>
      <c r="E227" s="143" t="s">
        <v>1060</v>
      </c>
      <c r="F227" s="143" t="s">
        <v>1061</v>
      </c>
      <c r="G227" s="126" t="s">
        <v>29</v>
      </c>
      <c r="H227" s="126" t="s">
        <v>116</v>
      </c>
      <c r="I227" s="127">
        <v>0.72</v>
      </c>
      <c r="J227" s="127">
        <v>0.72</v>
      </c>
      <c r="K227" s="127"/>
      <c r="L227" s="127"/>
      <c r="M227" s="144">
        <v>620</v>
      </c>
      <c r="N227" s="129">
        <v>9.9870000000000001</v>
      </c>
      <c r="O227" s="129"/>
      <c r="P227" s="129"/>
      <c r="Q227" s="130"/>
      <c r="R227" s="131"/>
      <c r="S227" s="131"/>
      <c r="T227" s="132"/>
      <c r="U227" s="132"/>
      <c r="V227" s="132"/>
      <c r="W227" s="132"/>
      <c r="X227" s="132"/>
      <c r="Y227" s="133"/>
      <c r="Z227" s="126" t="s">
        <v>116</v>
      </c>
      <c r="AA227" s="134" t="s">
        <v>322</v>
      </c>
      <c r="AB227" s="134"/>
      <c r="AC227" s="134"/>
      <c r="AD227" s="134">
        <v>44417</v>
      </c>
      <c r="AE227" s="134"/>
      <c r="AF227" s="134">
        <f t="shared" ca="1" si="19"/>
        <v>44963</v>
      </c>
      <c r="AG227" s="126">
        <f t="shared" ca="1" si="20"/>
        <v>546</v>
      </c>
      <c r="AH227" s="126" t="str">
        <f t="shared" si="21"/>
        <v/>
      </c>
      <c r="AI227" s="134" t="s">
        <v>1062</v>
      </c>
      <c r="AJ227" s="143" t="s">
        <v>1063</v>
      </c>
      <c r="AK227" s="129">
        <v>9.9870000000000001</v>
      </c>
      <c r="AL227" s="129">
        <v>10.026999999999999</v>
      </c>
      <c r="AM227" s="129">
        <v>10.051999999999998</v>
      </c>
      <c r="AN227" s="129">
        <v>10.056999999999999</v>
      </c>
      <c r="AO227" s="126" t="str">
        <f t="shared" si="22"/>
        <v/>
      </c>
      <c r="AR227" s="99" t="s">
        <v>136</v>
      </c>
      <c r="BG227" s="151"/>
    </row>
    <row r="228" spans="1:59" s="99" customFormat="1" ht="21" customHeight="1" x14ac:dyDescent="0.35">
      <c r="A228" s="99">
        <v>414</v>
      </c>
      <c r="B228" s="126" t="str">
        <f t="shared" si="23"/>
        <v>RM-J3/2B</v>
      </c>
      <c r="C228" s="126" t="s">
        <v>166</v>
      </c>
      <c r="D228" s="126" t="s">
        <v>166</v>
      </c>
      <c r="E228" s="143" t="s">
        <v>1064</v>
      </c>
      <c r="F228" s="143" t="s">
        <v>1065</v>
      </c>
      <c r="G228" s="126" t="s">
        <v>29</v>
      </c>
      <c r="H228" s="126" t="s">
        <v>116</v>
      </c>
      <c r="I228" s="127">
        <v>0.75</v>
      </c>
      <c r="J228" s="127">
        <v>0.75</v>
      </c>
      <c r="K228" s="127"/>
      <c r="L228" s="127"/>
      <c r="M228" s="144">
        <v>620</v>
      </c>
      <c r="N228" s="129">
        <v>9.8550000000000004</v>
      </c>
      <c r="O228" s="129"/>
      <c r="P228" s="129"/>
      <c r="Q228" s="130"/>
      <c r="R228" s="131"/>
      <c r="S228" s="131"/>
      <c r="T228" s="132"/>
      <c r="U228" s="132"/>
      <c r="V228" s="132"/>
      <c r="W228" s="132"/>
      <c r="X228" s="132"/>
      <c r="Y228" s="133"/>
      <c r="Z228" s="126" t="s">
        <v>116</v>
      </c>
      <c r="AA228" s="134" t="s">
        <v>322</v>
      </c>
      <c r="AB228" s="134"/>
      <c r="AC228" s="134"/>
      <c r="AD228" s="134">
        <v>44417</v>
      </c>
      <c r="AE228" s="134"/>
      <c r="AF228" s="134">
        <f t="shared" ca="1" si="19"/>
        <v>44963</v>
      </c>
      <c r="AG228" s="126">
        <f t="shared" ca="1" si="20"/>
        <v>546</v>
      </c>
      <c r="AH228" s="126" t="str">
        <f t="shared" si="21"/>
        <v/>
      </c>
      <c r="AI228" s="134" t="s">
        <v>1047</v>
      </c>
      <c r="AJ228" s="143" t="s">
        <v>1066</v>
      </c>
      <c r="AK228" s="129">
        <v>9.8550000000000004</v>
      </c>
      <c r="AL228" s="129">
        <v>9.8949999999999996</v>
      </c>
      <c r="AM228" s="129">
        <v>9.9199999999999982</v>
      </c>
      <c r="AN228" s="129">
        <v>9.9249999999999989</v>
      </c>
      <c r="AO228" s="126" t="str">
        <f t="shared" si="22"/>
        <v/>
      </c>
      <c r="AR228" s="99" t="s">
        <v>136</v>
      </c>
      <c r="BG228" s="151"/>
    </row>
    <row r="229" spans="1:59" s="99" customFormat="1" ht="21" customHeight="1" x14ac:dyDescent="0.35">
      <c r="A229" s="99">
        <v>414</v>
      </c>
      <c r="B229" s="126" t="str">
        <f t="shared" si="23"/>
        <v>RM-J3/2B</v>
      </c>
      <c r="C229" s="126" t="s">
        <v>166</v>
      </c>
      <c r="D229" s="126" t="s">
        <v>166</v>
      </c>
      <c r="E229" s="143" t="s">
        <v>1067</v>
      </c>
      <c r="F229" s="143" t="s">
        <v>1068</v>
      </c>
      <c r="G229" s="126" t="s">
        <v>29</v>
      </c>
      <c r="H229" s="126" t="s">
        <v>116</v>
      </c>
      <c r="I229" s="127">
        <v>0.75</v>
      </c>
      <c r="J229" s="127">
        <v>0.75</v>
      </c>
      <c r="K229" s="127"/>
      <c r="L229" s="127"/>
      <c r="M229" s="144">
        <v>620</v>
      </c>
      <c r="N229" s="129">
        <v>9.9770000000000003</v>
      </c>
      <c r="O229" s="129"/>
      <c r="P229" s="129"/>
      <c r="Q229" s="130"/>
      <c r="R229" s="131"/>
      <c r="S229" s="131"/>
      <c r="T229" s="132"/>
      <c r="U229" s="132"/>
      <c r="V229" s="132"/>
      <c r="W229" s="132"/>
      <c r="X229" s="132"/>
      <c r="Y229" s="133"/>
      <c r="Z229" s="126" t="s">
        <v>116</v>
      </c>
      <c r="AA229" s="134" t="s">
        <v>322</v>
      </c>
      <c r="AB229" s="134"/>
      <c r="AC229" s="134"/>
      <c r="AD229" s="134">
        <v>44417</v>
      </c>
      <c r="AE229" s="134"/>
      <c r="AF229" s="134">
        <f t="shared" ca="1" si="19"/>
        <v>44963</v>
      </c>
      <c r="AG229" s="126">
        <f t="shared" ca="1" si="20"/>
        <v>546</v>
      </c>
      <c r="AH229" s="126" t="str">
        <f t="shared" si="21"/>
        <v/>
      </c>
      <c r="AI229" s="134" t="s">
        <v>1069</v>
      </c>
      <c r="AJ229" s="143" t="s">
        <v>1070</v>
      </c>
      <c r="AK229" s="129">
        <v>9.9770000000000003</v>
      </c>
      <c r="AL229" s="129">
        <v>10.016999999999999</v>
      </c>
      <c r="AM229" s="129">
        <v>10.041999999999998</v>
      </c>
      <c r="AN229" s="129">
        <v>10.046999999999999</v>
      </c>
      <c r="AO229" s="126" t="str">
        <f t="shared" si="22"/>
        <v/>
      </c>
      <c r="AR229" s="99" t="s">
        <v>136</v>
      </c>
      <c r="BG229" s="151"/>
    </row>
    <row r="230" spans="1:59" s="99" customFormat="1" ht="21" customHeight="1" x14ac:dyDescent="0.35">
      <c r="A230" s="99">
        <v>414</v>
      </c>
      <c r="B230" s="126" t="str">
        <f t="shared" si="23"/>
        <v>RM-J3/2B</v>
      </c>
      <c r="C230" s="126" t="s">
        <v>166</v>
      </c>
      <c r="D230" s="126" t="s">
        <v>166</v>
      </c>
      <c r="E230" s="143" t="s">
        <v>1071</v>
      </c>
      <c r="F230" s="143" t="s">
        <v>1072</v>
      </c>
      <c r="G230" s="126" t="s">
        <v>29</v>
      </c>
      <c r="H230" s="126" t="s">
        <v>116</v>
      </c>
      <c r="I230" s="127">
        <v>0.75</v>
      </c>
      <c r="J230" s="127">
        <v>0.75</v>
      </c>
      <c r="K230" s="127"/>
      <c r="L230" s="127"/>
      <c r="M230" s="144">
        <v>620</v>
      </c>
      <c r="N230" s="129">
        <v>9.673</v>
      </c>
      <c r="O230" s="129"/>
      <c r="P230" s="129"/>
      <c r="Q230" s="130"/>
      <c r="R230" s="131"/>
      <c r="S230" s="131"/>
      <c r="T230" s="132"/>
      <c r="U230" s="132"/>
      <c r="V230" s="132"/>
      <c r="W230" s="132"/>
      <c r="X230" s="132"/>
      <c r="Y230" s="133"/>
      <c r="Z230" s="126" t="s">
        <v>116</v>
      </c>
      <c r="AA230" s="134" t="s">
        <v>322</v>
      </c>
      <c r="AB230" s="134"/>
      <c r="AC230" s="134"/>
      <c r="AD230" s="134">
        <v>44417</v>
      </c>
      <c r="AE230" s="134"/>
      <c r="AF230" s="134">
        <f t="shared" ca="1" si="19"/>
        <v>44963</v>
      </c>
      <c r="AG230" s="126">
        <f t="shared" ca="1" si="20"/>
        <v>546</v>
      </c>
      <c r="AH230" s="126" t="str">
        <f t="shared" si="21"/>
        <v/>
      </c>
      <c r="AI230" s="134" t="s">
        <v>1073</v>
      </c>
      <c r="AJ230" s="143" t="s">
        <v>1074</v>
      </c>
      <c r="AK230" s="129">
        <v>9.673</v>
      </c>
      <c r="AL230" s="129">
        <v>9.7129999999999992</v>
      </c>
      <c r="AM230" s="129">
        <v>9.7379999999999978</v>
      </c>
      <c r="AN230" s="129">
        <v>9.7429999999999986</v>
      </c>
      <c r="AO230" s="126" t="str">
        <f t="shared" si="22"/>
        <v/>
      </c>
      <c r="AR230" s="99" t="s">
        <v>136</v>
      </c>
      <c r="BG230" s="151"/>
    </row>
    <row r="231" spans="1:59" s="99" customFormat="1" ht="21" customHeight="1" x14ac:dyDescent="0.35">
      <c r="A231" s="99">
        <v>414</v>
      </c>
      <c r="B231" s="126" t="str">
        <f t="shared" si="23"/>
        <v>RM-J3/2B</v>
      </c>
      <c r="C231" s="126" t="s">
        <v>166</v>
      </c>
      <c r="D231" s="126" t="s">
        <v>166</v>
      </c>
      <c r="E231" s="143" t="s">
        <v>1075</v>
      </c>
      <c r="F231" s="143" t="s">
        <v>1076</v>
      </c>
      <c r="G231" s="126" t="s">
        <v>29</v>
      </c>
      <c r="H231" s="126" t="s">
        <v>116</v>
      </c>
      <c r="I231" s="127">
        <v>0.75</v>
      </c>
      <c r="J231" s="127">
        <v>0.75</v>
      </c>
      <c r="K231" s="127"/>
      <c r="L231" s="127"/>
      <c r="M231" s="144">
        <v>620</v>
      </c>
      <c r="N231" s="129">
        <v>9.9990000000000006</v>
      </c>
      <c r="O231" s="129"/>
      <c r="P231" s="129"/>
      <c r="Q231" s="130"/>
      <c r="R231" s="131"/>
      <c r="S231" s="131"/>
      <c r="T231" s="132"/>
      <c r="U231" s="132"/>
      <c r="V231" s="132"/>
      <c r="W231" s="132"/>
      <c r="X231" s="132"/>
      <c r="Y231" s="133"/>
      <c r="Z231" s="126" t="s">
        <v>116</v>
      </c>
      <c r="AA231" s="134" t="s">
        <v>322</v>
      </c>
      <c r="AB231" s="134"/>
      <c r="AC231" s="134"/>
      <c r="AD231" s="134">
        <v>44417</v>
      </c>
      <c r="AE231" s="134"/>
      <c r="AF231" s="134">
        <f t="shared" ca="1" si="19"/>
        <v>44963</v>
      </c>
      <c r="AG231" s="126">
        <f t="shared" ca="1" si="20"/>
        <v>546</v>
      </c>
      <c r="AH231" s="126" t="str">
        <f t="shared" si="21"/>
        <v/>
      </c>
      <c r="AI231" s="134" t="s">
        <v>1077</v>
      </c>
      <c r="AJ231" s="143" t="s">
        <v>1066</v>
      </c>
      <c r="AK231" s="129">
        <v>9.9990000000000006</v>
      </c>
      <c r="AL231" s="129">
        <v>10.039</v>
      </c>
      <c r="AM231" s="129">
        <v>10.063999999999998</v>
      </c>
      <c r="AN231" s="129">
        <v>10.068999999999999</v>
      </c>
      <c r="AO231" s="126" t="str">
        <f t="shared" si="22"/>
        <v/>
      </c>
      <c r="AR231" s="99" t="s">
        <v>136</v>
      </c>
      <c r="BG231" s="151"/>
    </row>
    <row r="232" spans="1:59" s="99" customFormat="1" ht="21" customHeight="1" x14ac:dyDescent="0.35">
      <c r="A232" s="99">
        <v>414</v>
      </c>
      <c r="B232" s="126" t="str">
        <f t="shared" si="23"/>
        <v>RM-J3/2B</v>
      </c>
      <c r="C232" s="126" t="s">
        <v>166</v>
      </c>
      <c r="D232" s="126" t="s">
        <v>166</v>
      </c>
      <c r="E232" s="143" t="s">
        <v>1078</v>
      </c>
      <c r="F232" s="143" t="s">
        <v>1079</v>
      </c>
      <c r="G232" s="126" t="s">
        <v>29</v>
      </c>
      <c r="H232" s="126" t="s">
        <v>116</v>
      </c>
      <c r="I232" s="127">
        <v>0.72</v>
      </c>
      <c r="J232" s="127">
        <v>0.72</v>
      </c>
      <c r="K232" s="127"/>
      <c r="L232" s="127"/>
      <c r="M232" s="144">
        <v>620</v>
      </c>
      <c r="N232" s="129">
        <v>9.9030000000000005</v>
      </c>
      <c r="O232" s="129"/>
      <c r="P232" s="129"/>
      <c r="Q232" s="130"/>
      <c r="R232" s="131"/>
      <c r="S232" s="131"/>
      <c r="T232" s="132"/>
      <c r="U232" s="132"/>
      <c r="V232" s="132"/>
      <c r="W232" s="132"/>
      <c r="X232" s="132"/>
      <c r="Y232" s="133"/>
      <c r="Z232" s="126" t="s">
        <v>116</v>
      </c>
      <c r="AA232" s="134" t="s">
        <v>322</v>
      </c>
      <c r="AB232" s="134"/>
      <c r="AC232" s="134"/>
      <c r="AD232" s="134">
        <v>44417</v>
      </c>
      <c r="AE232" s="134"/>
      <c r="AF232" s="134">
        <f t="shared" ca="1" si="19"/>
        <v>44963</v>
      </c>
      <c r="AG232" s="126">
        <f t="shared" ca="1" si="20"/>
        <v>546</v>
      </c>
      <c r="AH232" s="126" t="str">
        <f t="shared" si="21"/>
        <v/>
      </c>
      <c r="AI232" s="134" t="s">
        <v>1080</v>
      </c>
      <c r="AJ232" s="143" t="s">
        <v>1081</v>
      </c>
      <c r="AK232" s="129">
        <v>9.9030000000000005</v>
      </c>
      <c r="AL232" s="129">
        <v>9.9429999999999996</v>
      </c>
      <c r="AM232" s="129">
        <v>9.9679999999999982</v>
      </c>
      <c r="AN232" s="129">
        <v>9.972999999999999</v>
      </c>
      <c r="AO232" s="126" t="str">
        <f t="shared" si="22"/>
        <v/>
      </c>
      <c r="AR232" s="99" t="s">
        <v>136</v>
      </c>
      <c r="BG232" s="151"/>
    </row>
    <row r="233" spans="1:59" s="99" customFormat="1" ht="21" customHeight="1" x14ac:dyDescent="0.35">
      <c r="A233" s="99">
        <v>414</v>
      </c>
      <c r="B233" s="126" t="str">
        <f t="shared" si="23"/>
        <v>RM-J3/2B</v>
      </c>
      <c r="C233" s="126" t="s">
        <v>166</v>
      </c>
      <c r="D233" s="126" t="s">
        <v>166</v>
      </c>
      <c r="E233" s="143" t="s">
        <v>1082</v>
      </c>
      <c r="F233" s="143" t="s">
        <v>1083</v>
      </c>
      <c r="G233" s="126" t="s">
        <v>29</v>
      </c>
      <c r="H233" s="126" t="s">
        <v>116</v>
      </c>
      <c r="I233" s="127">
        <v>0.72</v>
      </c>
      <c r="J233" s="127">
        <v>0.72</v>
      </c>
      <c r="K233" s="127"/>
      <c r="L233" s="127"/>
      <c r="M233" s="144">
        <v>620</v>
      </c>
      <c r="N233" s="129">
        <v>9.9550000000000001</v>
      </c>
      <c r="O233" s="129"/>
      <c r="P233" s="129"/>
      <c r="Q233" s="130"/>
      <c r="R233" s="131"/>
      <c r="S233" s="131"/>
      <c r="T233" s="132"/>
      <c r="U233" s="132"/>
      <c r="V233" s="132"/>
      <c r="W233" s="132"/>
      <c r="X233" s="132"/>
      <c r="Y233" s="133"/>
      <c r="Z233" s="126" t="s">
        <v>116</v>
      </c>
      <c r="AA233" s="134" t="s">
        <v>322</v>
      </c>
      <c r="AB233" s="134"/>
      <c r="AC233" s="134"/>
      <c r="AD233" s="134">
        <v>44417</v>
      </c>
      <c r="AE233" s="134"/>
      <c r="AF233" s="134">
        <f t="shared" ca="1" si="19"/>
        <v>44963</v>
      </c>
      <c r="AG233" s="126">
        <f t="shared" ca="1" si="20"/>
        <v>546</v>
      </c>
      <c r="AH233" s="126" t="str">
        <f t="shared" si="21"/>
        <v/>
      </c>
      <c r="AI233" s="134" t="s">
        <v>1059</v>
      </c>
      <c r="AJ233" s="143" t="s">
        <v>1084</v>
      </c>
      <c r="AK233" s="129">
        <v>9.9550000000000001</v>
      </c>
      <c r="AL233" s="129">
        <v>9.9949999999999992</v>
      </c>
      <c r="AM233" s="129">
        <v>10.019999999999998</v>
      </c>
      <c r="AN233" s="129">
        <v>10.024999999999999</v>
      </c>
      <c r="AO233" s="126" t="str">
        <f t="shared" si="22"/>
        <v/>
      </c>
      <c r="AR233" s="99" t="s">
        <v>136</v>
      </c>
      <c r="BG233" s="151"/>
    </row>
    <row r="234" spans="1:59" s="99" customFormat="1" ht="21" customHeight="1" x14ac:dyDescent="0.35">
      <c r="A234" s="99">
        <v>414</v>
      </c>
      <c r="B234" s="126" t="str">
        <f t="shared" si="23"/>
        <v>RM-J3/2B</v>
      </c>
      <c r="C234" s="126" t="s">
        <v>166</v>
      </c>
      <c r="D234" s="126" t="s">
        <v>166</v>
      </c>
      <c r="E234" s="143" t="s">
        <v>1085</v>
      </c>
      <c r="F234" s="143" t="s">
        <v>1086</v>
      </c>
      <c r="G234" s="126" t="s">
        <v>29</v>
      </c>
      <c r="H234" s="126" t="s">
        <v>116</v>
      </c>
      <c r="I234" s="127">
        <v>0.72</v>
      </c>
      <c r="J234" s="127">
        <v>0.72</v>
      </c>
      <c r="K234" s="127"/>
      <c r="L234" s="127"/>
      <c r="M234" s="144">
        <v>620</v>
      </c>
      <c r="N234" s="129">
        <v>9.9589999999999996</v>
      </c>
      <c r="O234" s="129"/>
      <c r="P234" s="129"/>
      <c r="Q234" s="130"/>
      <c r="R234" s="131"/>
      <c r="S234" s="131"/>
      <c r="T234" s="132"/>
      <c r="U234" s="132"/>
      <c r="V234" s="132"/>
      <c r="W234" s="132"/>
      <c r="X234" s="132"/>
      <c r="Y234" s="133"/>
      <c r="Z234" s="126" t="s">
        <v>116</v>
      </c>
      <c r="AA234" s="134" t="s">
        <v>322</v>
      </c>
      <c r="AB234" s="134"/>
      <c r="AC234" s="134"/>
      <c r="AD234" s="134">
        <v>44417</v>
      </c>
      <c r="AE234" s="134"/>
      <c r="AF234" s="134">
        <f t="shared" ca="1" si="19"/>
        <v>44963</v>
      </c>
      <c r="AG234" s="126">
        <f t="shared" ca="1" si="20"/>
        <v>546</v>
      </c>
      <c r="AH234" s="126" t="str">
        <f t="shared" si="21"/>
        <v/>
      </c>
      <c r="AI234" s="134" t="s">
        <v>1087</v>
      </c>
      <c r="AJ234" s="143" t="s">
        <v>1088</v>
      </c>
      <c r="AK234" s="129">
        <v>9.9589999999999996</v>
      </c>
      <c r="AL234" s="129">
        <v>9.9989999999999988</v>
      </c>
      <c r="AM234" s="129">
        <v>10.023999999999997</v>
      </c>
      <c r="AN234" s="129">
        <v>10.028999999999998</v>
      </c>
      <c r="AO234" s="126" t="str">
        <f t="shared" si="22"/>
        <v/>
      </c>
      <c r="AR234" s="99" t="s">
        <v>136</v>
      </c>
      <c r="BG234" s="151"/>
    </row>
    <row r="235" spans="1:59" s="99" customFormat="1" ht="21" customHeight="1" x14ac:dyDescent="0.35">
      <c r="A235" s="99">
        <v>414</v>
      </c>
      <c r="B235" s="126" t="str">
        <f t="shared" si="23"/>
        <v>RM-J3/2B</v>
      </c>
      <c r="C235" s="126" t="s">
        <v>166</v>
      </c>
      <c r="D235" s="126" t="s">
        <v>166</v>
      </c>
      <c r="E235" s="143" t="s">
        <v>1089</v>
      </c>
      <c r="F235" s="143" t="s">
        <v>1090</v>
      </c>
      <c r="G235" s="126" t="s">
        <v>29</v>
      </c>
      <c r="H235" s="126" t="s">
        <v>116</v>
      </c>
      <c r="I235" s="127">
        <v>0.72</v>
      </c>
      <c r="J235" s="127">
        <v>0.72</v>
      </c>
      <c r="K235" s="127"/>
      <c r="L235" s="127"/>
      <c r="M235" s="144">
        <v>620</v>
      </c>
      <c r="N235" s="129">
        <v>9.7010000000000005</v>
      </c>
      <c r="O235" s="129"/>
      <c r="P235" s="129"/>
      <c r="Q235" s="130"/>
      <c r="R235" s="131"/>
      <c r="S235" s="131"/>
      <c r="T235" s="132"/>
      <c r="U235" s="132"/>
      <c r="V235" s="132"/>
      <c r="W235" s="132"/>
      <c r="X235" s="132"/>
      <c r="Y235" s="133"/>
      <c r="Z235" s="126" t="s">
        <v>116</v>
      </c>
      <c r="AA235" s="134" t="s">
        <v>322</v>
      </c>
      <c r="AB235" s="134"/>
      <c r="AC235" s="134"/>
      <c r="AD235" s="134">
        <v>44417</v>
      </c>
      <c r="AE235" s="134"/>
      <c r="AF235" s="134">
        <f t="shared" ca="1" si="19"/>
        <v>44963</v>
      </c>
      <c r="AG235" s="126">
        <f t="shared" ca="1" si="20"/>
        <v>546</v>
      </c>
      <c r="AH235" s="126" t="str">
        <f t="shared" si="21"/>
        <v/>
      </c>
      <c r="AI235" s="134" t="s">
        <v>1091</v>
      </c>
      <c r="AJ235" s="143" t="s">
        <v>938</v>
      </c>
      <c r="AK235" s="129">
        <v>9.7010000000000005</v>
      </c>
      <c r="AL235" s="129">
        <v>9.7409999999999997</v>
      </c>
      <c r="AM235" s="129">
        <v>9.7659999999999982</v>
      </c>
      <c r="AN235" s="129">
        <v>9.770999999999999</v>
      </c>
      <c r="AO235" s="126" t="str">
        <f t="shared" si="22"/>
        <v/>
      </c>
      <c r="AR235" s="99" t="s">
        <v>136</v>
      </c>
      <c r="BG235" s="151"/>
    </row>
    <row r="236" spans="1:59" s="99" customFormat="1" ht="21" customHeight="1" x14ac:dyDescent="0.35">
      <c r="A236" s="99">
        <v>414</v>
      </c>
      <c r="B236" s="126" t="str">
        <f t="shared" si="23"/>
        <v>RM-J3/2B</v>
      </c>
      <c r="C236" s="126" t="s">
        <v>166</v>
      </c>
      <c r="D236" s="126" t="s">
        <v>166</v>
      </c>
      <c r="E236" s="143" t="s">
        <v>1092</v>
      </c>
      <c r="F236" s="143" t="s">
        <v>1093</v>
      </c>
      <c r="G236" s="126" t="s">
        <v>29</v>
      </c>
      <c r="H236" s="126" t="s">
        <v>116</v>
      </c>
      <c r="I236" s="127">
        <v>0.75</v>
      </c>
      <c r="J236" s="127">
        <v>0.75</v>
      </c>
      <c r="K236" s="127"/>
      <c r="L236" s="127"/>
      <c r="M236" s="144">
        <v>620</v>
      </c>
      <c r="N236" s="129">
        <v>9.9329999999999998</v>
      </c>
      <c r="O236" s="129"/>
      <c r="P236" s="129"/>
      <c r="Q236" s="130"/>
      <c r="R236" s="131"/>
      <c r="S236" s="131"/>
      <c r="T236" s="132"/>
      <c r="U236" s="132"/>
      <c r="V236" s="132"/>
      <c r="W236" s="132"/>
      <c r="X236" s="132"/>
      <c r="Y236" s="133"/>
      <c r="Z236" s="126" t="s">
        <v>116</v>
      </c>
      <c r="AA236" s="134" t="s">
        <v>322</v>
      </c>
      <c r="AB236" s="134"/>
      <c r="AC236" s="134"/>
      <c r="AD236" s="134">
        <v>44417</v>
      </c>
      <c r="AE236" s="134"/>
      <c r="AF236" s="134">
        <f t="shared" ca="1" si="19"/>
        <v>44963</v>
      </c>
      <c r="AG236" s="126">
        <f t="shared" ca="1" si="20"/>
        <v>546</v>
      </c>
      <c r="AH236" s="126" t="str">
        <f t="shared" si="21"/>
        <v/>
      </c>
      <c r="AI236" s="134" t="s">
        <v>1077</v>
      </c>
      <c r="AJ236" s="143" t="s">
        <v>1094</v>
      </c>
      <c r="AK236" s="129">
        <v>9.9329999999999998</v>
      </c>
      <c r="AL236" s="129">
        <v>9.972999999999999</v>
      </c>
      <c r="AM236" s="129">
        <v>9.9979999999999976</v>
      </c>
      <c r="AN236" s="129">
        <v>10.002999999999998</v>
      </c>
      <c r="AO236" s="126" t="str">
        <f t="shared" si="22"/>
        <v/>
      </c>
      <c r="AR236" s="99" t="s">
        <v>136</v>
      </c>
      <c r="BG236" s="151"/>
    </row>
    <row r="237" spans="1:59" s="99" customFormat="1" ht="21" customHeight="1" x14ac:dyDescent="0.35">
      <c r="A237" s="99">
        <v>414</v>
      </c>
      <c r="B237" s="126" t="str">
        <f t="shared" si="23"/>
        <v>RM-J3/2B</v>
      </c>
      <c r="C237" s="126" t="s">
        <v>166</v>
      </c>
      <c r="D237" s="126" t="s">
        <v>166</v>
      </c>
      <c r="E237" s="143" t="s">
        <v>1095</v>
      </c>
      <c r="F237" s="143" t="s">
        <v>1096</v>
      </c>
      <c r="G237" s="126" t="s">
        <v>29</v>
      </c>
      <c r="H237" s="126" t="s">
        <v>116</v>
      </c>
      <c r="I237" s="127">
        <v>0.75</v>
      </c>
      <c r="J237" s="127">
        <v>0.75</v>
      </c>
      <c r="K237" s="127"/>
      <c r="L237" s="127"/>
      <c r="M237" s="144">
        <v>620</v>
      </c>
      <c r="N237" s="129">
        <v>9.7530000000000001</v>
      </c>
      <c r="O237" s="129"/>
      <c r="P237" s="129"/>
      <c r="Q237" s="130"/>
      <c r="R237" s="131"/>
      <c r="S237" s="131"/>
      <c r="T237" s="132"/>
      <c r="U237" s="132"/>
      <c r="V237" s="132"/>
      <c r="W237" s="132"/>
      <c r="X237" s="132"/>
      <c r="Y237" s="133"/>
      <c r="Z237" s="126" t="s">
        <v>116</v>
      </c>
      <c r="AA237" s="134" t="s">
        <v>322</v>
      </c>
      <c r="AB237" s="134"/>
      <c r="AC237" s="134"/>
      <c r="AD237" s="134">
        <v>44417</v>
      </c>
      <c r="AE237" s="134"/>
      <c r="AF237" s="134">
        <f t="shared" ca="1" si="19"/>
        <v>44963</v>
      </c>
      <c r="AG237" s="126">
        <f t="shared" ca="1" si="20"/>
        <v>546</v>
      </c>
      <c r="AH237" s="126" t="str">
        <f t="shared" si="21"/>
        <v/>
      </c>
      <c r="AI237" s="134" t="s">
        <v>1069</v>
      </c>
      <c r="AJ237" s="143" t="s">
        <v>1048</v>
      </c>
      <c r="AK237" s="129">
        <v>9.7530000000000001</v>
      </c>
      <c r="AL237" s="129">
        <v>9.7929999999999993</v>
      </c>
      <c r="AM237" s="129">
        <v>9.8179999999999978</v>
      </c>
      <c r="AN237" s="129">
        <v>9.8229999999999986</v>
      </c>
      <c r="AO237" s="126" t="str">
        <f t="shared" si="22"/>
        <v/>
      </c>
      <c r="AR237" s="99" t="s">
        <v>136</v>
      </c>
      <c r="BG237" s="151"/>
    </row>
    <row r="238" spans="1:59" s="99" customFormat="1" ht="21" customHeight="1" x14ac:dyDescent="0.35">
      <c r="A238" s="99">
        <v>414</v>
      </c>
      <c r="B238" s="126" t="str">
        <f t="shared" si="23"/>
        <v>RM-J3/2B</v>
      </c>
      <c r="C238" s="126" t="s">
        <v>166</v>
      </c>
      <c r="D238" s="126" t="s">
        <v>166</v>
      </c>
      <c r="E238" s="143" t="s">
        <v>1097</v>
      </c>
      <c r="F238" s="143" t="s">
        <v>1098</v>
      </c>
      <c r="G238" s="126" t="s">
        <v>29</v>
      </c>
      <c r="H238" s="126" t="s">
        <v>116</v>
      </c>
      <c r="I238" s="127">
        <v>0.75</v>
      </c>
      <c r="J238" s="127">
        <v>0.75</v>
      </c>
      <c r="K238" s="127"/>
      <c r="L238" s="127"/>
      <c r="M238" s="144">
        <v>620</v>
      </c>
      <c r="N238" s="129">
        <v>9.9090000000000007</v>
      </c>
      <c r="O238" s="129"/>
      <c r="P238" s="129"/>
      <c r="Q238" s="130"/>
      <c r="R238" s="131"/>
      <c r="S238" s="131"/>
      <c r="T238" s="132"/>
      <c r="U238" s="132"/>
      <c r="V238" s="132"/>
      <c r="W238" s="132"/>
      <c r="X238" s="132"/>
      <c r="Y238" s="133"/>
      <c r="Z238" s="126" t="s">
        <v>116</v>
      </c>
      <c r="AA238" s="134" t="s">
        <v>322</v>
      </c>
      <c r="AB238" s="134"/>
      <c r="AC238" s="134"/>
      <c r="AD238" s="134">
        <v>44417</v>
      </c>
      <c r="AE238" s="134"/>
      <c r="AF238" s="134">
        <f t="shared" ca="1" si="19"/>
        <v>44963</v>
      </c>
      <c r="AG238" s="126">
        <f t="shared" ca="1" si="20"/>
        <v>546</v>
      </c>
      <c r="AH238" s="126" t="str">
        <f t="shared" si="21"/>
        <v/>
      </c>
      <c r="AI238" s="134" t="s">
        <v>1073</v>
      </c>
      <c r="AJ238" s="143" t="s">
        <v>1099</v>
      </c>
      <c r="AK238" s="129">
        <v>9.9090000000000007</v>
      </c>
      <c r="AL238" s="129">
        <v>9.9489999999999998</v>
      </c>
      <c r="AM238" s="129">
        <v>9.9739999999999984</v>
      </c>
      <c r="AN238" s="129">
        <v>9.9789999999999992</v>
      </c>
      <c r="AO238" s="126" t="str">
        <f t="shared" si="22"/>
        <v/>
      </c>
      <c r="AR238" s="99" t="s">
        <v>136</v>
      </c>
      <c r="BG238" s="151"/>
    </row>
    <row r="239" spans="1:59" s="99" customFormat="1" ht="21" customHeight="1" x14ac:dyDescent="0.35">
      <c r="A239" s="99">
        <v>414</v>
      </c>
      <c r="B239" s="126" t="str">
        <f t="shared" si="23"/>
        <v>RM-J3/2B</v>
      </c>
      <c r="C239" s="126" t="s">
        <v>166</v>
      </c>
      <c r="D239" s="126" t="s">
        <v>166</v>
      </c>
      <c r="E239" s="143" t="s">
        <v>1100</v>
      </c>
      <c r="F239" s="143" t="s">
        <v>1101</v>
      </c>
      <c r="G239" s="126" t="s">
        <v>29</v>
      </c>
      <c r="H239" s="126" t="s">
        <v>116</v>
      </c>
      <c r="I239" s="127">
        <v>0.63</v>
      </c>
      <c r="J239" s="127">
        <v>0.63</v>
      </c>
      <c r="K239" s="127"/>
      <c r="L239" s="127"/>
      <c r="M239" s="144">
        <v>620</v>
      </c>
      <c r="N239" s="129">
        <v>9.9269999999999996</v>
      </c>
      <c r="O239" s="129"/>
      <c r="P239" s="129"/>
      <c r="Q239" s="130"/>
      <c r="R239" s="131"/>
      <c r="S239" s="131"/>
      <c r="T239" s="132"/>
      <c r="U239" s="132"/>
      <c r="V239" s="132"/>
      <c r="W239" s="132"/>
      <c r="X239" s="132"/>
      <c r="Y239" s="133"/>
      <c r="Z239" s="126" t="s">
        <v>116</v>
      </c>
      <c r="AA239" s="134" t="s">
        <v>322</v>
      </c>
      <c r="AB239" s="134"/>
      <c r="AC239" s="134"/>
      <c r="AD239" s="134">
        <v>44417</v>
      </c>
      <c r="AE239" s="134"/>
      <c r="AF239" s="134">
        <f t="shared" ca="1" si="19"/>
        <v>44963</v>
      </c>
      <c r="AG239" s="126">
        <f t="shared" ca="1" si="20"/>
        <v>546</v>
      </c>
      <c r="AH239" s="126" t="str">
        <f t="shared" si="21"/>
        <v/>
      </c>
      <c r="AI239" s="134" t="s">
        <v>1087</v>
      </c>
      <c r="AJ239" s="143" t="s">
        <v>1102</v>
      </c>
      <c r="AK239" s="129">
        <v>9.9269999999999996</v>
      </c>
      <c r="AL239" s="129">
        <v>9.9669999999999987</v>
      </c>
      <c r="AM239" s="129">
        <v>9.9919999999999973</v>
      </c>
      <c r="AN239" s="129">
        <v>9.9969999999999981</v>
      </c>
      <c r="AO239" s="126" t="str">
        <f t="shared" si="22"/>
        <v/>
      </c>
      <c r="AR239" s="99" t="s">
        <v>136</v>
      </c>
      <c r="BG239" s="151"/>
    </row>
    <row r="240" spans="1:59" s="99" customFormat="1" ht="21" customHeight="1" x14ac:dyDescent="0.35">
      <c r="A240" s="99">
        <v>414</v>
      </c>
      <c r="B240" s="126" t="str">
        <f t="shared" si="23"/>
        <v>RM-J3/2B</v>
      </c>
      <c r="C240" s="126" t="s">
        <v>166</v>
      </c>
      <c r="D240" s="126" t="s">
        <v>166</v>
      </c>
      <c r="E240" s="143" t="s">
        <v>1103</v>
      </c>
      <c r="F240" s="143" t="s">
        <v>1104</v>
      </c>
      <c r="G240" s="126" t="s">
        <v>29</v>
      </c>
      <c r="H240" s="126" t="s">
        <v>116</v>
      </c>
      <c r="I240" s="127">
        <v>0.74</v>
      </c>
      <c r="J240" s="127">
        <v>0.74</v>
      </c>
      <c r="K240" s="127"/>
      <c r="L240" s="127"/>
      <c r="M240" s="144">
        <v>730</v>
      </c>
      <c r="N240" s="129">
        <v>5.8550000000000004</v>
      </c>
      <c r="O240" s="129"/>
      <c r="P240" s="129"/>
      <c r="Q240" s="130"/>
      <c r="R240" s="131"/>
      <c r="S240" s="131"/>
      <c r="T240" s="132"/>
      <c r="U240" s="132"/>
      <c r="V240" s="132"/>
      <c r="W240" s="132"/>
      <c r="X240" s="132"/>
      <c r="Y240" s="133"/>
      <c r="Z240" s="126" t="s">
        <v>116</v>
      </c>
      <c r="AA240" s="134" t="s">
        <v>322</v>
      </c>
      <c r="AB240" s="134"/>
      <c r="AC240" s="134"/>
      <c r="AD240" s="134">
        <v>44417</v>
      </c>
      <c r="AE240" s="134"/>
      <c r="AF240" s="134">
        <f t="shared" ca="1" si="19"/>
        <v>44963</v>
      </c>
      <c r="AG240" s="126">
        <f t="shared" ca="1" si="20"/>
        <v>546</v>
      </c>
      <c r="AH240" s="126" t="str">
        <f t="shared" si="21"/>
        <v/>
      </c>
      <c r="AI240" s="134" t="s">
        <v>1069</v>
      </c>
      <c r="AJ240" s="143" t="s">
        <v>1105</v>
      </c>
      <c r="AK240" s="129">
        <v>5.8550000000000004</v>
      </c>
      <c r="AL240" s="129">
        <v>5.8950000000000005</v>
      </c>
      <c r="AM240" s="129">
        <v>5.9200000000000008</v>
      </c>
      <c r="AN240" s="129">
        <v>5.9250000000000007</v>
      </c>
      <c r="AO240" s="126" t="str">
        <f t="shared" si="22"/>
        <v/>
      </c>
      <c r="AR240" s="99" t="s">
        <v>136</v>
      </c>
      <c r="BG240" s="151"/>
    </row>
    <row r="241" spans="1:59" s="99" customFormat="1" ht="21" customHeight="1" x14ac:dyDescent="0.35">
      <c r="A241" s="99">
        <v>414</v>
      </c>
      <c r="B241" s="126" t="str">
        <f>IF(C241="HOLD RM","HOLD RM",IF(C241="BAL","WIP",IF(C241="HOLD SLT","HOLD SLT",IF(C241="MILL","RM",IF(C241="RE SLT","WIP",IF(C241="RM","RM",IF(C241="RM BAL","RM",IF(C241="RM SLT","RM",IF(C241="RR","WIP",IF(C241="SKP","WIP",IF(C241="SLT","WIP",IF(C241="CTL","WIP",IF(C241="RM SLT RUST","RM SLT RUST",0)))))))))))))&amp;"-"&amp;G241&amp;"/"&amp;IF(H241="2B","2B",IF(H241="NO.1","1D",IF(H241="FH","FH",0)))&amp;"-"&amp;IF(J241="",(TEXT(I241,"0.00")),TEXT(J241,"0.00"))&amp;"X"&amp;M241</f>
        <v>RM SLT RUST-J3/2B-001X730</v>
      </c>
      <c r="C241" s="126" t="s">
        <v>951</v>
      </c>
      <c r="D241" s="126" t="s">
        <v>951</v>
      </c>
      <c r="E241" s="143" t="s">
        <v>1106</v>
      </c>
      <c r="F241" s="143" t="s">
        <v>1107</v>
      </c>
      <c r="G241" s="126" t="s">
        <v>29</v>
      </c>
      <c r="H241" s="126" t="s">
        <v>116</v>
      </c>
      <c r="I241" s="127">
        <v>0.74</v>
      </c>
      <c r="J241" s="127">
        <v>0.74</v>
      </c>
      <c r="K241" s="127"/>
      <c r="L241" s="127"/>
      <c r="M241" s="144">
        <v>730</v>
      </c>
      <c r="N241" s="129">
        <v>5.8570000000000002</v>
      </c>
      <c r="O241" s="129"/>
      <c r="P241" s="129"/>
      <c r="Q241" s="130" t="s">
        <v>954</v>
      </c>
      <c r="R241" s="131"/>
      <c r="S241" s="131" t="s">
        <v>955</v>
      </c>
      <c r="T241" s="132"/>
      <c r="U241" s="132"/>
      <c r="V241" s="132"/>
      <c r="W241" s="132">
        <v>44467</v>
      </c>
      <c r="X241" s="132"/>
      <c r="Y241" s="133"/>
      <c r="Z241" s="126" t="s">
        <v>116</v>
      </c>
      <c r="AA241" s="134" t="s">
        <v>322</v>
      </c>
      <c r="AB241" s="134"/>
      <c r="AC241" s="134"/>
      <c r="AD241" s="134">
        <v>44417</v>
      </c>
      <c r="AE241" s="134"/>
      <c r="AF241" s="134">
        <f t="shared" ca="1" si="19"/>
        <v>44963</v>
      </c>
      <c r="AG241" s="126">
        <f t="shared" ca="1" si="20"/>
        <v>546</v>
      </c>
      <c r="AH241" s="126" t="str">
        <f t="shared" si="21"/>
        <v/>
      </c>
      <c r="AI241" s="134" t="s">
        <v>1080</v>
      </c>
      <c r="AJ241" s="143" t="s">
        <v>1099</v>
      </c>
      <c r="AK241" s="129">
        <v>5.8570000000000002</v>
      </c>
      <c r="AL241" s="129">
        <v>5.8970000000000002</v>
      </c>
      <c r="AM241" s="129">
        <v>5.9220000000000006</v>
      </c>
      <c r="AN241" s="129">
        <v>5.9270000000000005</v>
      </c>
      <c r="AO241" s="126" t="str">
        <f t="shared" si="22"/>
        <v/>
      </c>
      <c r="AR241" s="99" t="s">
        <v>136</v>
      </c>
      <c r="BG241" s="151"/>
    </row>
    <row r="242" spans="1:59" s="99" customFormat="1" ht="21" customHeight="1" x14ac:dyDescent="0.35">
      <c r="A242" s="99">
        <v>414</v>
      </c>
      <c r="B242" s="126" t="str">
        <f>IF(C242="HOLD RM","HOLD RM",IF(C242="BAL","WIP",IF(C242="HOLD SLT","HOLD SLT",IF(C242="MILL","RM",IF(C242="RE SLT","WIP",IF(C242="RM","RM",IF(C242="RM BAL","RM",IF(C242="RM SLT","RM",IF(C242="RR","WIP",IF(C242="SKP","WIP",IF(C242="SLT","WIP",IF(C242="CTL","WIP",IF(C242="RM SLT RUST","RM SLT RUST",0)))))))))))))&amp;"-"&amp;G242&amp;"/"&amp;IF(H242="2B","2B",IF(H242="NO.1","1D",IF(H242="FH","FH",0)))&amp;"-"&amp;IF(J242="",(TEXT(I242,"0.00")),TEXT(J242,"0.00"))&amp;"X"&amp;M242</f>
        <v>RM SLT RUST-J3/2B-001X730</v>
      </c>
      <c r="C242" s="126" t="s">
        <v>951</v>
      </c>
      <c r="D242" s="126" t="s">
        <v>951</v>
      </c>
      <c r="E242" s="143" t="s">
        <v>1108</v>
      </c>
      <c r="F242" s="143" t="s">
        <v>1109</v>
      </c>
      <c r="G242" s="126" t="s">
        <v>29</v>
      </c>
      <c r="H242" s="126" t="s">
        <v>116</v>
      </c>
      <c r="I242" s="127">
        <v>0.74</v>
      </c>
      <c r="J242" s="127">
        <v>0.74</v>
      </c>
      <c r="K242" s="127"/>
      <c r="L242" s="127"/>
      <c r="M242" s="144">
        <v>730</v>
      </c>
      <c r="N242" s="129">
        <v>5.7569999999999997</v>
      </c>
      <c r="O242" s="129"/>
      <c r="P242" s="129"/>
      <c r="Q242" s="130" t="s">
        <v>954</v>
      </c>
      <c r="R242" s="131"/>
      <c r="S242" s="131" t="s">
        <v>955</v>
      </c>
      <c r="T242" s="132"/>
      <c r="U242" s="132"/>
      <c r="V242" s="132"/>
      <c r="W242" s="132">
        <v>44467</v>
      </c>
      <c r="X242" s="132"/>
      <c r="Y242" s="133"/>
      <c r="Z242" s="126" t="s">
        <v>116</v>
      </c>
      <c r="AA242" s="134" t="s">
        <v>322</v>
      </c>
      <c r="AB242" s="134"/>
      <c r="AC242" s="134"/>
      <c r="AD242" s="134">
        <v>44417</v>
      </c>
      <c r="AE242" s="134"/>
      <c r="AF242" s="134">
        <f t="shared" ca="1" si="19"/>
        <v>44963</v>
      </c>
      <c r="AG242" s="126">
        <f t="shared" ca="1" si="20"/>
        <v>546</v>
      </c>
      <c r="AH242" s="126" t="str">
        <f t="shared" si="21"/>
        <v/>
      </c>
      <c r="AI242" s="134" t="s">
        <v>1059</v>
      </c>
      <c r="AJ242" s="143" t="s">
        <v>1099</v>
      </c>
      <c r="AK242" s="129">
        <v>5.7569999999999997</v>
      </c>
      <c r="AL242" s="129">
        <v>5.7969999999999997</v>
      </c>
      <c r="AM242" s="129">
        <v>5.8220000000000001</v>
      </c>
      <c r="AN242" s="129">
        <v>5.827</v>
      </c>
      <c r="AO242" s="126" t="str">
        <f t="shared" si="22"/>
        <v/>
      </c>
      <c r="AR242" s="99" t="s">
        <v>136</v>
      </c>
      <c r="BG242" s="151"/>
    </row>
    <row r="243" spans="1:59" s="99" customFormat="1" ht="21" customHeight="1" x14ac:dyDescent="0.35">
      <c r="A243" s="99">
        <v>414</v>
      </c>
      <c r="B243" s="126" t="str">
        <f>IF(C243="HOLD RM","HOLD RM",IF(C243="BAL","WIP",IF(C243="HOLD SLT","HOLD SLT",IF(C243="MILL","RM",IF(C243="RE SLT","WIP",IF(C243="RM","RM",IF(C243="RM BAL","RM",IF(C243="RM SLT","RM",IF(C243="RR","WIP",IF(C243="SKP","WIP",IF(C243="SLT","WIP",IF(C243="CTL","WIP",0))))))))))))&amp;"-"&amp;G243&amp;"/"&amp;IF(H243="2B","2B",IF(H243="NO.1","1D",IF(H243="FH","FH",IF(H243="BA","BA",0)))&amp;"-"&amp;IF(J243="",(TEXT(I243,"0.00")),TEXT(J243,"0.00"))&amp;"X"&amp;M243)</f>
        <v>RM-J3/2B</v>
      </c>
      <c r="C243" s="126" t="s">
        <v>166</v>
      </c>
      <c r="D243" s="126" t="s">
        <v>166</v>
      </c>
      <c r="E243" s="143" t="s">
        <v>1110</v>
      </c>
      <c r="F243" s="143" t="s">
        <v>1111</v>
      </c>
      <c r="G243" s="126" t="s">
        <v>29</v>
      </c>
      <c r="H243" s="126" t="s">
        <v>116</v>
      </c>
      <c r="I243" s="127">
        <v>0.74</v>
      </c>
      <c r="J243" s="127">
        <v>0.74</v>
      </c>
      <c r="K243" s="127"/>
      <c r="L243" s="127"/>
      <c r="M243" s="144">
        <v>730</v>
      </c>
      <c r="N243" s="129">
        <v>5.9189999999999996</v>
      </c>
      <c r="O243" s="129"/>
      <c r="P243" s="129"/>
      <c r="Q243" s="130"/>
      <c r="R243" s="131"/>
      <c r="S243" s="131"/>
      <c r="T243" s="132"/>
      <c r="U243" s="132"/>
      <c r="V243" s="132"/>
      <c r="W243" s="132"/>
      <c r="X243" s="132"/>
      <c r="Y243" s="133"/>
      <c r="Z243" s="126" t="s">
        <v>116</v>
      </c>
      <c r="AA243" s="134" t="s">
        <v>322</v>
      </c>
      <c r="AB243" s="134"/>
      <c r="AC243" s="134"/>
      <c r="AD243" s="134">
        <v>44417</v>
      </c>
      <c r="AE243" s="134"/>
      <c r="AF243" s="134">
        <f t="shared" ca="1" si="19"/>
        <v>44963</v>
      </c>
      <c r="AG243" s="126">
        <f t="shared" ca="1" si="20"/>
        <v>546</v>
      </c>
      <c r="AH243" s="126" t="str">
        <f t="shared" si="21"/>
        <v/>
      </c>
      <c r="AI243" s="134" t="s">
        <v>1112</v>
      </c>
      <c r="AJ243" s="143" t="s">
        <v>1113</v>
      </c>
      <c r="AK243" s="129">
        <v>5.9189999999999996</v>
      </c>
      <c r="AL243" s="129">
        <v>5.9589999999999996</v>
      </c>
      <c r="AM243" s="129">
        <v>5.984</v>
      </c>
      <c r="AN243" s="129">
        <v>5.9889999999999999</v>
      </c>
      <c r="AO243" s="126" t="str">
        <f t="shared" si="22"/>
        <v/>
      </c>
      <c r="AR243" s="99" t="s">
        <v>136</v>
      </c>
      <c r="BG243" s="151"/>
    </row>
    <row r="244" spans="1:59" s="99" customFormat="1" ht="21" customHeight="1" x14ac:dyDescent="0.35">
      <c r="A244" s="99">
        <v>414</v>
      </c>
      <c r="B244" s="126" t="str">
        <f>IF(C244="HOLD RM","HOLD RM",IF(C244="BAL","WIP",IF(C244="HOLD SLT","HOLD SLT",IF(C244="MILL","RM",IF(C244="RE SLT","WIP",IF(C244="RM","RM",IF(C244="RM BAL","RM",IF(C244="RM SLT","RM",IF(C244="RR","WIP",IF(C244="SKP","WIP",IF(C244="SLT","WIP",IF(C244="CTL","WIP",IF(C244="RM SLT RUST","RM SLT RUST",0)))))))))))))&amp;"-"&amp;G244&amp;"/"&amp;IF(H244="2B","2B",IF(H244="NO.1","1D",IF(H244="FH","FH",0)))&amp;"-"&amp;IF(J244="",(TEXT(I244,"0.00")),TEXT(J244,"0.00"))&amp;"X"&amp;M244</f>
        <v>RM SLT RUST-J3/2B-001X730</v>
      </c>
      <c r="C244" s="126" t="s">
        <v>951</v>
      </c>
      <c r="D244" s="126" t="s">
        <v>951</v>
      </c>
      <c r="E244" s="143" t="s">
        <v>1114</v>
      </c>
      <c r="F244" s="143" t="s">
        <v>1115</v>
      </c>
      <c r="G244" s="126" t="s">
        <v>29</v>
      </c>
      <c r="H244" s="126" t="s">
        <v>116</v>
      </c>
      <c r="I244" s="127">
        <v>0.74</v>
      </c>
      <c r="J244" s="127">
        <v>0.74</v>
      </c>
      <c r="K244" s="127"/>
      <c r="L244" s="127"/>
      <c r="M244" s="144">
        <v>730</v>
      </c>
      <c r="N244" s="129">
        <v>5.8570000000000002</v>
      </c>
      <c r="O244" s="129"/>
      <c r="P244" s="129"/>
      <c r="Q244" s="130" t="s">
        <v>954</v>
      </c>
      <c r="R244" s="131"/>
      <c r="S244" s="131" t="s">
        <v>955</v>
      </c>
      <c r="T244" s="132"/>
      <c r="U244" s="132"/>
      <c r="V244" s="132"/>
      <c r="W244" s="132">
        <v>44467</v>
      </c>
      <c r="X244" s="132"/>
      <c r="Y244" s="133"/>
      <c r="Z244" s="126" t="s">
        <v>116</v>
      </c>
      <c r="AA244" s="134" t="s">
        <v>322</v>
      </c>
      <c r="AB244" s="134"/>
      <c r="AC244" s="134"/>
      <c r="AD244" s="134">
        <v>44417</v>
      </c>
      <c r="AE244" s="134"/>
      <c r="AF244" s="134">
        <f t="shared" ca="1" si="19"/>
        <v>44963</v>
      </c>
      <c r="AG244" s="126">
        <f t="shared" ca="1" si="20"/>
        <v>546</v>
      </c>
      <c r="AH244" s="126" t="str">
        <f t="shared" si="21"/>
        <v/>
      </c>
      <c r="AI244" s="134" t="s">
        <v>1055</v>
      </c>
      <c r="AJ244" s="143" t="s">
        <v>1113</v>
      </c>
      <c r="AK244" s="129">
        <v>5.8570000000000002</v>
      </c>
      <c r="AL244" s="129">
        <v>5.8970000000000002</v>
      </c>
      <c r="AM244" s="129">
        <v>5.9220000000000006</v>
      </c>
      <c r="AN244" s="129">
        <v>5.9270000000000005</v>
      </c>
      <c r="AO244" s="126" t="str">
        <f t="shared" si="22"/>
        <v/>
      </c>
      <c r="AR244" s="99" t="s">
        <v>136</v>
      </c>
      <c r="BG244" s="151"/>
    </row>
    <row r="245" spans="1:59" s="99" customFormat="1" ht="21" customHeight="1" x14ac:dyDescent="0.35">
      <c r="A245" s="99">
        <v>414</v>
      </c>
      <c r="B245" s="126" t="str">
        <f>IF(C245="HOLD RM","HOLD RM",IF(C245="BAL","WIP",IF(C245="HOLD SLT","HOLD SLT",IF(C245="MILL","RM",IF(C245="RE SLT","WIP",IF(C245="RM","RM",IF(C245="RM BAL","RM",IF(C245="RM SLT","RM",IF(C245="RR","WIP",IF(C245="SKP","WIP",IF(C245="SLT","WIP",IF(C245="CTL","WIP",IF(C245="RM SLT RUST","RM SLT RUST",0)))))))))))))&amp;"-"&amp;G245&amp;"/"&amp;IF(H245="2B","2B",IF(H245="NO.1","1D",IF(H245="FH","FH",0)))&amp;"-"&amp;IF(J245="",(TEXT(I245,"0.00")),TEXT(J245,"0.00"))&amp;"X"&amp;M245</f>
        <v>RM SLT RUST-J3/2B-001X730</v>
      </c>
      <c r="C245" s="126" t="s">
        <v>951</v>
      </c>
      <c r="D245" s="126" t="s">
        <v>951</v>
      </c>
      <c r="E245" s="143" t="s">
        <v>1116</v>
      </c>
      <c r="F245" s="143" t="s">
        <v>1117</v>
      </c>
      <c r="G245" s="126" t="s">
        <v>29</v>
      </c>
      <c r="H245" s="126" t="s">
        <v>116</v>
      </c>
      <c r="I245" s="127">
        <v>0.75</v>
      </c>
      <c r="J245" s="127">
        <v>0.75</v>
      </c>
      <c r="K245" s="127"/>
      <c r="L245" s="127"/>
      <c r="M245" s="144">
        <v>730</v>
      </c>
      <c r="N245" s="129">
        <v>5.8449999999999998</v>
      </c>
      <c r="O245" s="129"/>
      <c r="P245" s="129"/>
      <c r="Q245" s="130" t="s">
        <v>954</v>
      </c>
      <c r="R245" s="131"/>
      <c r="S245" s="131" t="s">
        <v>955</v>
      </c>
      <c r="T245" s="132"/>
      <c r="U245" s="132"/>
      <c r="V245" s="132"/>
      <c r="W245" s="132">
        <v>44462</v>
      </c>
      <c r="X245" s="132"/>
      <c r="Y245" s="133"/>
      <c r="Z245" s="126" t="s">
        <v>116</v>
      </c>
      <c r="AA245" s="134" t="s">
        <v>322</v>
      </c>
      <c r="AB245" s="134"/>
      <c r="AC245" s="134"/>
      <c r="AD245" s="134">
        <v>44417</v>
      </c>
      <c r="AE245" s="134"/>
      <c r="AF245" s="134">
        <f t="shared" ca="1" si="19"/>
        <v>44963</v>
      </c>
      <c r="AG245" s="126">
        <f t="shared" ca="1" si="20"/>
        <v>546</v>
      </c>
      <c r="AH245" s="126" t="str">
        <f t="shared" si="21"/>
        <v/>
      </c>
      <c r="AI245" s="134" t="s">
        <v>1091</v>
      </c>
      <c r="AJ245" s="143" t="s">
        <v>1094</v>
      </c>
      <c r="AK245" s="129">
        <v>5.8449999999999998</v>
      </c>
      <c r="AL245" s="129">
        <v>5.8849999999999998</v>
      </c>
      <c r="AM245" s="129">
        <v>5.91</v>
      </c>
      <c r="AN245" s="129">
        <v>5.915</v>
      </c>
      <c r="AO245" s="126" t="str">
        <f t="shared" si="22"/>
        <v/>
      </c>
      <c r="AR245" s="99" t="s">
        <v>136</v>
      </c>
      <c r="BG245" s="151"/>
    </row>
    <row r="246" spans="1:59" s="99" customFormat="1" ht="21" customHeight="1" x14ac:dyDescent="0.35">
      <c r="A246" s="99">
        <v>414</v>
      </c>
      <c r="B246" s="126" t="str">
        <f>IF(C246="HOLD RM","HOLD RM",IF(C246="BAL","WIP",IF(C246="HOLD SLT","HOLD SLT",IF(C246="MILL","RM",IF(C246="RE SLT","WIP",IF(C246="RM","RM",IF(C246="RM BAL","RM",IF(C246="RM SLT","RM",IF(C246="RR","WIP",IF(C246="SKP","WIP",IF(C246="SLT","WIP",IF(C246="CTL","WIP",IF(C246="RM SLT RUST","RM SLT RUST",0)))))))))))))&amp;"-"&amp;G246&amp;"/"&amp;IF(H246="2B","2B",IF(H246="NO.1","1D",IF(H246="FH","FH",0)))&amp;"-"&amp;IF(J246="",(TEXT(I246,"0.00")),TEXT(J246,"0.00"))&amp;"X"&amp;M246</f>
        <v>RM SLT RUST-J3/2B-001X730</v>
      </c>
      <c r="C246" s="126" t="s">
        <v>951</v>
      </c>
      <c r="D246" s="126" t="s">
        <v>951</v>
      </c>
      <c r="E246" s="143" t="s">
        <v>1118</v>
      </c>
      <c r="F246" s="143" t="s">
        <v>1119</v>
      </c>
      <c r="G246" s="126" t="s">
        <v>29</v>
      </c>
      <c r="H246" s="126" t="s">
        <v>116</v>
      </c>
      <c r="I246" s="127">
        <v>0.75</v>
      </c>
      <c r="J246" s="127">
        <v>0.75</v>
      </c>
      <c r="K246" s="127"/>
      <c r="L246" s="127"/>
      <c r="M246" s="144">
        <v>730</v>
      </c>
      <c r="N246" s="129">
        <v>5.835</v>
      </c>
      <c r="O246" s="129"/>
      <c r="P246" s="129"/>
      <c r="Q246" s="130" t="s">
        <v>954</v>
      </c>
      <c r="R246" s="131"/>
      <c r="S246" s="131" t="s">
        <v>1120</v>
      </c>
      <c r="T246" s="132"/>
      <c r="U246" s="132"/>
      <c r="V246" s="132"/>
      <c r="W246" s="132" t="s">
        <v>1121</v>
      </c>
      <c r="X246" s="132"/>
      <c r="Y246" s="133"/>
      <c r="Z246" s="126" t="s">
        <v>116</v>
      </c>
      <c r="AA246" s="134" t="s">
        <v>322</v>
      </c>
      <c r="AB246" s="134"/>
      <c r="AC246" s="134"/>
      <c r="AD246" s="134">
        <v>44417</v>
      </c>
      <c r="AE246" s="134"/>
      <c r="AF246" s="134">
        <f t="shared" ca="1" si="19"/>
        <v>44963</v>
      </c>
      <c r="AG246" s="126">
        <f t="shared" ca="1" si="20"/>
        <v>546</v>
      </c>
      <c r="AH246" s="126" t="str">
        <f t="shared" si="21"/>
        <v/>
      </c>
      <c r="AI246" s="134" t="s">
        <v>1062</v>
      </c>
      <c r="AJ246" s="143" t="s">
        <v>1122</v>
      </c>
      <c r="AK246" s="129">
        <v>5.835</v>
      </c>
      <c r="AL246" s="129">
        <v>5.875</v>
      </c>
      <c r="AM246" s="129">
        <v>5.9</v>
      </c>
      <c r="AN246" s="129">
        <v>5.9050000000000002</v>
      </c>
      <c r="AO246" s="126" t="str">
        <f t="shared" si="22"/>
        <v/>
      </c>
      <c r="AR246" s="99" t="s">
        <v>136</v>
      </c>
      <c r="BG246" s="135" t="s">
        <v>401</v>
      </c>
    </row>
    <row r="247" spans="1:59" s="99" customFormat="1" ht="21" customHeight="1" x14ac:dyDescent="0.35">
      <c r="A247" s="99">
        <v>414</v>
      </c>
      <c r="B247" s="126" t="str">
        <f>IF(C247="HOLD RM","HOLD RM",IF(C247="BAL","WIP",IF(C247="HOLD SLT","HOLD SLT",IF(C247="MILL","RM",IF(C247="RE SLT","WIP",IF(C247="RM","RM",IF(C247="RM BAL","RM",IF(C247="RM SLT","RM",IF(C247="RR","WIP",IF(C247="SKP","WIP",IF(C247="SLT","WIP",IF(C247="CTL","WIP",IF(C247="RM SLT RUST","RM SLT RUST",0)))))))))))))&amp;"-"&amp;G247&amp;"/"&amp;IF(H247="2B","2B",IF(H247="NO.1","1D",IF(H247="FH","FH",0)))&amp;"-"&amp;IF(J247="",(TEXT(I247,"0.00")),TEXT(J247,"0.00"))&amp;"X"&amp;M247</f>
        <v>RM SLT RUST-J3/2B-001X730</v>
      </c>
      <c r="C247" s="126" t="s">
        <v>951</v>
      </c>
      <c r="D247" s="126" t="s">
        <v>951</v>
      </c>
      <c r="E247" s="143" t="s">
        <v>1123</v>
      </c>
      <c r="F247" s="143" t="s">
        <v>1124</v>
      </c>
      <c r="G247" s="126" t="s">
        <v>29</v>
      </c>
      <c r="H247" s="126" t="s">
        <v>116</v>
      </c>
      <c r="I247" s="127">
        <v>0.75</v>
      </c>
      <c r="J247" s="127">
        <v>0.75</v>
      </c>
      <c r="K247" s="127"/>
      <c r="L247" s="127"/>
      <c r="M247" s="144">
        <v>730</v>
      </c>
      <c r="N247" s="129">
        <v>5.8550000000000004</v>
      </c>
      <c r="O247" s="129"/>
      <c r="P247" s="129"/>
      <c r="Q247" s="130" t="s">
        <v>954</v>
      </c>
      <c r="R247" s="131"/>
      <c r="S247" s="131" t="s">
        <v>1120</v>
      </c>
      <c r="T247" s="132"/>
      <c r="U247" s="132"/>
      <c r="V247" s="132"/>
      <c r="W247" s="132" t="s">
        <v>1121</v>
      </c>
      <c r="X247" s="132"/>
      <c r="Y247" s="133"/>
      <c r="Z247" s="126" t="s">
        <v>116</v>
      </c>
      <c r="AA247" s="134" t="s">
        <v>322</v>
      </c>
      <c r="AB247" s="134"/>
      <c r="AC247" s="134"/>
      <c r="AD247" s="134">
        <v>44417</v>
      </c>
      <c r="AE247" s="134"/>
      <c r="AF247" s="134">
        <f t="shared" ca="1" si="19"/>
        <v>44963</v>
      </c>
      <c r="AG247" s="126">
        <f t="shared" ca="1" si="20"/>
        <v>546</v>
      </c>
      <c r="AH247" s="126" t="str">
        <f t="shared" si="21"/>
        <v/>
      </c>
      <c r="AI247" s="134" t="s">
        <v>1087</v>
      </c>
      <c r="AJ247" s="143" t="s">
        <v>1094</v>
      </c>
      <c r="AK247" s="129">
        <v>5.8550000000000004</v>
      </c>
      <c r="AL247" s="129">
        <v>5.8950000000000005</v>
      </c>
      <c r="AM247" s="129">
        <v>5.9200000000000008</v>
      </c>
      <c r="AN247" s="129">
        <v>5.9250000000000007</v>
      </c>
      <c r="AO247" s="126" t="str">
        <f t="shared" si="22"/>
        <v/>
      </c>
      <c r="AR247" s="99" t="s">
        <v>136</v>
      </c>
      <c r="BG247" s="135" t="s">
        <v>221</v>
      </c>
    </row>
    <row r="248" spans="1:59" s="99" customFormat="1" ht="21" customHeight="1" x14ac:dyDescent="0.35">
      <c r="A248" s="99">
        <v>416</v>
      </c>
      <c r="B248" s="126" t="str">
        <f>IF(C248="HOLD RM","HOLD RM",IF(C248="BAL","WIP",IF(C248="HOLD SLT","HOLD SLT",IF(C248="MILL","RM",IF(C248="RE SLT","WIP",IF(C248="RM","RM",IF(C248="RM BAL","RM",IF(C248="RM SLT","RM",IF(C248="RR","WIP",IF(C248="SKP","WIP",IF(C248="SLT","WIP",IF(C248="CTL","WIP",0))))))))))))&amp;"-"&amp;G248&amp;"/"&amp;IF(H248="2B","2B",IF(H248="NO.1","1D",IF(H248="FH","FH",IF(H248="BA","BA",0)))&amp;"-"&amp;IF(J248="",(TEXT(I248,"0.00")),TEXT(J248,"0.00"))&amp;"X"&amp;M248)</f>
        <v>RM-J1/2B</v>
      </c>
      <c r="C248" s="126" t="s">
        <v>166</v>
      </c>
      <c r="D248" s="126" t="s">
        <v>166</v>
      </c>
      <c r="E248" s="143" t="s">
        <v>1125</v>
      </c>
      <c r="F248" s="143" t="s">
        <v>1126</v>
      </c>
      <c r="G248" s="126" t="s">
        <v>27</v>
      </c>
      <c r="H248" s="126" t="s">
        <v>116</v>
      </c>
      <c r="I248" s="127">
        <v>0.55000000000000004</v>
      </c>
      <c r="J248" s="127">
        <v>0.55000000000000004</v>
      </c>
      <c r="K248" s="127"/>
      <c r="L248" s="127"/>
      <c r="M248" s="144">
        <v>620</v>
      </c>
      <c r="N248" s="129">
        <v>5.0170000000000003</v>
      </c>
      <c r="O248" s="129"/>
      <c r="P248" s="129"/>
      <c r="Q248" s="130" t="s">
        <v>117</v>
      </c>
      <c r="R248" s="131" t="s">
        <v>256</v>
      </c>
      <c r="S248" s="131"/>
      <c r="T248" s="132"/>
      <c r="U248" s="132"/>
      <c r="V248" s="132"/>
      <c r="W248" s="132"/>
      <c r="X248" s="132"/>
      <c r="Y248" s="133"/>
      <c r="Z248" s="126" t="s">
        <v>116</v>
      </c>
      <c r="AA248" s="134" t="s">
        <v>903</v>
      </c>
      <c r="AB248" s="134" t="s">
        <v>1127</v>
      </c>
      <c r="AC248" s="134">
        <v>44399</v>
      </c>
      <c r="AD248" s="134">
        <v>44428</v>
      </c>
      <c r="AE248" s="134"/>
      <c r="AF248" s="134">
        <f t="shared" ca="1" si="19"/>
        <v>44963</v>
      </c>
      <c r="AG248" s="126">
        <f t="shared" ca="1" si="20"/>
        <v>535</v>
      </c>
      <c r="AH248" s="126" t="str">
        <f t="shared" si="21"/>
        <v/>
      </c>
      <c r="AI248" s="134" t="s">
        <v>1128</v>
      </c>
      <c r="AJ248" s="143" t="s">
        <v>1129</v>
      </c>
      <c r="AK248" s="129">
        <v>5.0170000000000003</v>
      </c>
      <c r="AL248" s="129">
        <v>5.0270000000000001</v>
      </c>
      <c r="AM248" s="129">
        <v>5.0170000000000003</v>
      </c>
      <c r="AN248" s="129">
        <v>5.0270000000000001</v>
      </c>
      <c r="AO248" s="126" t="str">
        <f t="shared" si="22"/>
        <v/>
      </c>
      <c r="AR248" s="99" t="s">
        <v>136</v>
      </c>
      <c r="BG248" s="151"/>
    </row>
    <row r="249" spans="1:59" s="99" customFormat="1" ht="21" customHeight="1" x14ac:dyDescent="0.35">
      <c r="A249" s="99">
        <v>416</v>
      </c>
      <c r="B249" s="126" t="str">
        <f>IF(C249="HOLD RM","HOLD RM",IF(C249="BAL","WIP",IF(C249="HOLD SLT","HOLD SLT",IF(C249="MILL","RM",IF(C249="RE SLT","WIP",IF(C249="RM","RM",IF(C249="RM BAL","RM",IF(C249="RM SLT","RM",IF(C249="RR","WIP",IF(C249="SKP","WIP",IF(C249="SLT","WIP",IF(C249="CTL","WIP",0))))))))))))&amp;"-"&amp;G249&amp;"/"&amp;IF(H249="2B","2B",IF(H249="NO.1","1D",IF(H249="FH","FH",IF(H249="BA","BA",0)))&amp;"-"&amp;IF(J249="",(TEXT(I249,"0.00")),TEXT(J249,"0.00"))&amp;"X"&amp;M249)</f>
        <v>WIP-J1/2B</v>
      </c>
      <c r="C249" s="126" t="s">
        <v>14</v>
      </c>
      <c r="D249" s="126" t="s">
        <v>113</v>
      </c>
      <c r="E249" s="143" t="s">
        <v>1130</v>
      </c>
      <c r="F249" s="143" t="s">
        <v>1131</v>
      </c>
      <c r="G249" s="126" t="s">
        <v>27</v>
      </c>
      <c r="H249" s="126" t="s">
        <v>116</v>
      </c>
      <c r="I249" s="127">
        <v>0.55000000000000004</v>
      </c>
      <c r="J249" s="127">
        <v>0.55000000000000004</v>
      </c>
      <c r="K249" s="127"/>
      <c r="L249" s="127"/>
      <c r="M249" s="144">
        <v>600</v>
      </c>
      <c r="N249" s="129">
        <v>4.84</v>
      </c>
      <c r="O249" s="129"/>
      <c r="P249" s="129"/>
      <c r="Q249" s="130" t="s">
        <v>117</v>
      </c>
      <c r="R249" s="131" t="s">
        <v>256</v>
      </c>
      <c r="S249" s="131"/>
      <c r="T249" s="132"/>
      <c r="U249" s="132"/>
      <c r="V249" s="132"/>
      <c r="W249" s="132">
        <v>44431</v>
      </c>
      <c r="X249" s="132"/>
      <c r="Y249" s="133"/>
      <c r="Z249" s="126" t="s">
        <v>116</v>
      </c>
      <c r="AA249" s="134" t="s">
        <v>903</v>
      </c>
      <c r="AB249" s="134" t="s">
        <v>1127</v>
      </c>
      <c r="AC249" s="134">
        <v>44399</v>
      </c>
      <c r="AD249" s="134">
        <v>44428</v>
      </c>
      <c r="AE249" s="134"/>
      <c r="AF249" s="134">
        <f t="shared" ca="1" si="19"/>
        <v>44963</v>
      </c>
      <c r="AG249" s="126">
        <f t="shared" ca="1" si="20"/>
        <v>535</v>
      </c>
      <c r="AH249" s="126" t="str">
        <f t="shared" si="21"/>
        <v/>
      </c>
      <c r="AI249" s="134" t="s">
        <v>1128</v>
      </c>
      <c r="AJ249" s="143" t="s">
        <v>1016</v>
      </c>
      <c r="AK249" s="129">
        <v>5.0549999999999997</v>
      </c>
      <c r="AL249" s="129">
        <v>5.0650000000000004</v>
      </c>
      <c r="AM249" s="129">
        <v>5.0549999999999997</v>
      </c>
      <c r="AN249" s="129">
        <v>5.0650000000000004</v>
      </c>
      <c r="AO249" s="126" t="str">
        <f t="shared" si="22"/>
        <v/>
      </c>
      <c r="AR249" s="99" t="s">
        <v>136</v>
      </c>
      <c r="BG249" s="135" t="s">
        <v>281</v>
      </c>
    </row>
    <row r="250" spans="1:59" s="99" customFormat="1" ht="21" customHeight="1" x14ac:dyDescent="0.35">
      <c r="A250" s="99">
        <v>417</v>
      </c>
      <c r="B250" s="126" t="str">
        <f t="shared" ref="B250:B313" si="24">IF(C250="HOLD RM","HOLD RM",IF(C250="BAL","WIP",IF(C250="HOLD SLT","HOLD SLT",IF(C250="MILL","RM",IF(C250="RE SLT","WIP",IF(C250="RM","RM",IF(C250="RM BAL","RM",IF(C250="RM SLT","RM",IF(C250="RR","WIP",IF(C250="SKP","WIP",IF(C250="SLT","WIP",IF(C250="CTL","WIP",IF(C250="RM SLT RUST","RM SLT RUST",0)))))))))))))&amp;"-"&amp;G250&amp;"/"&amp;IF(H250="2B","2B",IF(H250="NO.1","1D",IF(H250="FH","FH",0)))&amp;"-"&amp;IF(J250="",(TEXT(I250,"0.00")),TEXT(J250,"0.00"))&amp;"X"&amp;M250</f>
        <v>WIP-304/304L/2B-000X765</v>
      </c>
      <c r="C250" s="126" t="s">
        <v>14</v>
      </c>
      <c r="D250" s="126" t="s">
        <v>113</v>
      </c>
      <c r="E250" s="143" t="s">
        <v>1132</v>
      </c>
      <c r="F250" s="143" t="s">
        <v>1133</v>
      </c>
      <c r="G250" s="126" t="s">
        <v>377</v>
      </c>
      <c r="H250" s="126" t="s">
        <v>116</v>
      </c>
      <c r="I250" s="127">
        <v>0.6</v>
      </c>
      <c r="J250" s="127">
        <v>0.4</v>
      </c>
      <c r="K250" s="127">
        <v>0.39</v>
      </c>
      <c r="L250" s="127">
        <v>0.41</v>
      </c>
      <c r="M250" s="144">
        <v>765</v>
      </c>
      <c r="N250" s="129">
        <v>10.795</v>
      </c>
      <c r="O250" s="129" t="s">
        <v>116</v>
      </c>
      <c r="P250" s="129"/>
      <c r="Q250" s="130" t="s">
        <v>389</v>
      </c>
      <c r="R250" s="130" t="s">
        <v>1134</v>
      </c>
      <c r="S250" s="131" t="s">
        <v>1135</v>
      </c>
      <c r="T250" s="132" t="s">
        <v>1136</v>
      </c>
      <c r="U250" s="132" t="s">
        <v>1137</v>
      </c>
      <c r="V250" s="132" t="s">
        <v>1138</v>
      </c>
      <c r="W250" s="132">
        <v>44454</v>
      </c>
      <c r="X250" s="132"/>
      <c r="Y250" s="133"/>
      <c r="Z250" s="126" t="s">
        <v>64</v>
      </c>
      <c r="AA250" s="134" t="s">
        <v>154</v>
      </c>
      <c r="AB250" s="134" t="s">
        <v>1139</v>
      </c>
      <c r="AC250" s="134"/>
      <c r="AD250" s="134">
        <v>44431</v>
      </c>
      <c r="AE250" s="134"/>
      <c r="AF250" s="134">
        <f t="shared" ca="1" si="19"/>
        <v>44963</v>
      </c>
      <c r="AG250" s="126">
        <f t="shared" ca="1" si="20"/>
        <v>532</v>
      </c>
      <c r="AH250" s="126" t="e">
        <f t="shared" ca="1" si="21"/>
        <v>#VALUE!</v>
      </c>
      <c r="AI250" s="134"/>
      <c r="AJ250" s="143" t="s">
        <v>1140</v>
      </c>
      <c r="AK250" s="129">
        <v>12.085000000000001</v>
      </c>
      <c r="AL250" s="129">
        <v>12.095000000000001</v>
      </c>
      <c r="AM250" s="129">
        <v>12.12</v>
      </c>
      <c r="AN250" s="129">
        <v>12.125</v>
      </c>
      <c r="AO250" s="126" t="e">
        <f t="shared" ca="1" si="22"/>
        <v>#VALUE!</v>
      </c>
      <c r="AR250" s="99" t="s">
        <v>136</v>
      </c>
      <c r="BG250" s="135" t="s">
        <v>699</v>
      </c>
    </row>
    <row r="251" spans="1:59" s="99" customFormat="1" ht="21" customHeight="1" x14ac:dyDescent="0.35">
      <c r="A251" s="99">
        <v>417</v>
      </c>
      <c r="B251" s="126" t="str">
        <f t="shared" si="24"/>
        <v>WIP-304/304L/2B-000X758</v>
      </c>
      <c r="C251" s="126" t="s">
        <v>14</v>
      </c>
      <c r="D251" s="126" t="s">
        <v>113</v>
      </c>
      <c r="E251" s="143" t="s">
        <v>1141</v>
      </c>
      <c r="F251" s="143" t="s">
        <v>1142</v>
      </c>
      <c r="G251" s="126" t="s">
        <v>377</v>
      </c>
      <c r="H251" s="126" t="s">
        <v>116</v>
      </c>
      <c r="I251" s="127">
        <v>0.57999999999999996</v>
      </c>
      <c r="J251" s="127">
        <v>0.3</v>
      </c>
      <c r="K251" s="127">
        <v>0.32</v>
      </c>
      <c r="L251" s="127">
        <v>0.33</v>
      </c>
      <c r="M251" s="144">
        <v>758</v>
      </c>
      <c r="N251" s="129">
        <v>5.9050000000000002</v>
      </c>
      <c r="O251" s="129" t="s">
        <v>116</v>
      </c>
      <c r="P251" s="129"/>
      <c r="Q251" s="130" t="s">
        <v>117</v>
      </c>
      <c r="R251" s="130" t="s">
        <v>1143</v>
      </c>
      <c r="S251" s="131" t="s">
        <v>1144</v>
      </c>
      <c r="T251" s="132" t="s">
        <v>1145</v>
      </c>
      <c r="U251" s="132" t="s">
        <v>1146</v>
      </c>
      <c r="V251" s="132" t="s">
        <v>1147</v>
      </c>
      <c r="W251" s="132">
        <v>44460</v>
      </c>
      <c r="X251" s="132"/>
      <c r="Y251" s="133"/>
      <c r="Z251" s="126" t="s">
        <v>64</v>
      </c>
      <c r="AA251" s="134" t="s">
        <v>154</v>
      </c>
      <c r="AB251" s="134" t="s">
        <v>1148</v>
      </c>
      <c r="AC251" s="134"/>
      <c r="AD251" s="134">
        <v>44431</v>
      </c>
      <c r="AE251" s="134"/>
      <c r="AF251" s="134">
        <f t="shared" ca="1" si="19"/>
        <v>44963</v>
      </c>
      <c r="AG251" s="126">
        <f t="shared" ca="1" si="20"/>
        <v>532</v>
      </c>
      <c r="AH251" s="126" t="e">
        <f t="shared" ca="1" si="21"/>
        <v>#VALUE!</v>
      </c>
      <c r="AI251" s="134"/>
      <c r="AJ251" s="143" t="s">
        <v>1149</v>
      </c>
      <c r="AK251" s="129">
        <v>12.055</v>
      </c>
      <c r="AL251" s="129">
        <v>12.065</v>
      </c>
      <c r="AM251" s="129">
        <v>12.089999999999998</v>
      </c>
      <c r="AN251" s="129">
        <v>12.094999999999999</v>
      </c>
      <c r="AO251" s="126" t="e">
        <f t="shared" ca="1" si="22"/>
        <v>#VALUE!</v>
      </c>
      <c r="AR251" s="99" t="s">
        <v>136</v>
      </c>
      <c r="BG251" s="135" t="s">
        <v>1150</v>
      </c>
    </row>
    <row r="252" spans="1:59" s="99" customFormat="1" ht="21" customHeight="1" x14ac:dyDescent="0.35">
      <c r="A252" s="99">
        <v>417</v>
      </c>
      <c r="B252" s="126" t="str">
        <f t="shared" si="24"/>
        <v>WIP-304/304L/2B-000X763</v>
      </c>
      <c r="C252" s="126" t="s">
        <v>14</v>
      </c>
      <c r="D252" s="126" t="s">
        <v>113</v>
      </c>
      <c r="E252" s="143" t="s">
        <v>1151</v>
      </c>
      <c r="F252" s="143" t="s">
        <v>1152</v>
      </c>
      <c r="G252" s="126" t="s">
        <v>377</v>
      </c>
      <c r="H252" s="126" t="s">
        <v>116</v>
      </c>
      <c r="I252" s="127">
        <v>0.8</v>
      </c>
      <c r="J252" s="127">
        <v>0.4</v>
      </c>
      <c r="K252" s="127">
        <v>0.4</v>
      </c>
      <c r="L252" s="127">
        <v>0.41</v>
      </c>
      <c r="M252" s="144">
        <v>763</v>
      </c>
      <c r="N252" s="129">
        <v>7.4749999999999996</v>
      </c>
      <c r="O252" s="129" t="s">
        <v>116</v>
      </c>
      <c r="P252" s="129"/>
      <c r="Q252" s="130" t="s">
        <v>291</v>
      </c>
      <c r="R252" s="130" t="s">
        <v>1153</v>
      </c>
      <c r="S252" s="131" t="s">
        <v>1154</v>
      </c>
      <c r="T252" s="132" t="s">
        <v>1155</v>
      </c>
      <c r="U252" s="132" t="s">
        <v>1155</v>
      </c>
      <c r="V252" s="132" t="s">
        <v>1156</v>
      </c>
      <c r="W252" s="132" t="s">
        <v>1157</v>
      </c>
      <c r="X252" s="132"/>
      <c r="Y252" s="133"/>
      <c r="Z252" s="126" t="s">
        <v>64</v>
      </c>
      <c r="AA252" s="134" t="s">
        <v>154</v>
      </c>
      <c r="AB252" s="134" t="s">
        <v>1148</v>
      </c>
      <c r="AC252" s="134"/>
      <c r="AD252" s="134">
        <v>44431</v>
      </c>
      <c r="AE252" s="134"/>
      <c r="AF252" s="134">
        <f t="shared" ca="1" si="19"/>
        <v>44963</v>
      </c>
      <c r="AG252" s="126">
        <f t="shared" ca="1" si="20"/>
        <v>532</v>
      </c>
      <c r="AH252" s="126" t="e">
        <f t="shared" ca="1" si="21"/>
        <v>#VALUE!</v>
      </c>
      <c r="AI252" s="134"/>
      <c r="AJ252" s="143" t="s">
        <v>1158</v>
      </c>
      <c r="AK252" s="129">
        <v>10.484999999999999</v>
      </c>
      <c r="AL252" s="129">
        <v>10.494999999999999</v>
      </c>
      <c r="AM252" s="129">
        <v>10.519999999999998</v>
      </c>
      <c r="AN252" s="129">
        <v>10.524999999999999</v>
      </c>
      <c r="AO252" s="126" t="e">
        <f t="shared" ca="1" si="22"/>
        <v>#VALUE!</v>
      </c>
      <c r="AR252" s="99" t="s">
        <v>136</v>
      </c>
      <c r="BG252" s="135" t="s">
        <v>1159</v>
      </c>
    </row>
    <row r="253" spans="1:59" s="99" customFormat="1" ht="21" customHeight="1" x14ac:dyDescent="0.35">
      <c r="A253" s="99">
        <v>417</v>
      </c>
      <c r="B253" s="126" t="str">
        <f t="shared" si="24"/>
        <v>WIP-304/304L/2B-001X763</v>
      </c>
      <c r="C253" s="126" t="s">
        <v>14</v>
      </c>
      <c r="D253" s="126" t="s">
        <v>113</v>
      </c>
      <c r="E253" s="143" t="s">
        <v>1151</v>
      </c>
      <c r="F253" s="143" t="s">
        <v>1160</v>
      </c>
      <c r="G253" s="126" t="s">
        <v>377</v>
      </c>
      <c r="H253" s="126" t="s">
        <v>116</v>
      </c>
      <c r="I253" s="127">
        <v>2.8</v>
      </c>
      <c r="J253" s="127">
        <v>0.8</v>
      </c>
      <c r="K253" s="127">
        <v>0.77</v>
      </c>
      <c r="L253" s="127">
        <v>0.79</v>
      </c>
      <c r="M253" s="144">
        <v>763</v>
      </c>
      <c r="N253" s="129">
        <v>2.1749999999999998</v>
      </c>
      <c r="O253" s="129" t="s">
        <v>116</v>
      </c>
      <c r="P253" s="129"/>
      <c r="Q253" s="130" t="s">
        <v>117</v>
      </c>
      <c r="R253" s="130" t="s">
        <v>1153</v>
      </c>
      <c r="S253" s="131" t="s">
        <v>1161</v>
      </c>
      <c r="T253" s="132" t="s">
        <v>1155</v>
      </c>
      <c r="U253" s="132">
        <v>44449</v>
      </c>
      <c r="V253" s="132" t="s">
        <v>1162</v>
      </c>
      <c r="W253" s="132">
        <v>44451</v>
      </c>
      <c r="X253" s="132"/>
      <c r="Y253" s="133"/>
      <c r="Z253" s="126" t="s">
        <v>64</v>
      </c>
      <c r="AA253" s="134" t="s">
        <v>154</v>
      </c>
      <c r="AB253" s="134" t="s">
        <v>1148</v>
      </c>
      <c r="AC253" s="134"/>
      <c r="AD253" s="134">
        <v>44431</v>
      </c>
      <c r="AE253" s="134"/>
      <c r="AF253" s="134">
        <f t="shared" ca="1" si="19"/>
        <v>44963</v>
      </c>
      <c r="AG253" s="126">
        <f t="shared" ca="1" si="20"/>
        <v>532</v>
      </c>
      <c r="AH253" s="126" t="e">
        <f t="shared" ca="1" si="21"/>
        <v>#VALUE!</v>
      </c>
      <c r="AI253" s="134"/>
      <c r="AJ253" s="143" t="s">
        <v>1158</v>
      </c>
      <c r="AK253" s="129">
        <v>10.484999999999999</v>
      </c>
      <c r="AL253" s="129">
        <v>10.494999999999999</v>
      </c>
      <c r="AM253" s="129">
        <v>10.519999999999998</v>
      </c>
      <c r="AN253" s="129">
        <v>10.524999999999999</v>
      </c>
      <c r="AO253" s="126">
        <f t="shared" ca="1" si="22"/>
        <v>514</v>
      </c>
      <c r="AR253" s="99" t="s">
        <v>136</v>
      </c>
      <c r="BG253" s="135" t="s">
        <v>750</v>
      </c>
    </row>
    <row r="254" spans="1:59" s="99" customFormat="1" ht="21" customHeight="1" x14ac:dyDescent="0.35">
      <c r="A254" s="99">
        <v>417</v>
      </c>
      <c r="B254" s="126" t="str">
        <f t="shared" si="24"/>
        <v>WIP-316L/2B-001X770</v>
      </c>
      <c r="C254" s="126" t="s">
        <v>14</v>
      </c>
      <c r="D254" s="126" t="s">
        <v>358</v>
      </c>
      <c r="E254" s="143" t="s">
        <v>1163</v>
      </c>
      <c r="F254" s="143" t="s">
        <v>1164</v>
      </c>
      <c r="G254" s="126" t="s">
        <v>148</v>
      </c>
      <c r="H254" s="126" t="s">
        <v>116</v>
      </c>
      <c r="I254" s="127">
        <v>2</v>
      </c>
      <c r="J254" s="127">
        <v>1.17</v>
      </c>
      <c r="K254" s="127">
        <v>1.1599999999999999</v>
      </c>
      <c r="L254" s="127">
        <v>1.17</v>
      </c>
      <c r="M254" s="144">
        <v>770</v>
      </c>
      <c r="N254" s="129">
        <v>5.3550000000000004</v>
      </c>
      <c r="O254" s="129" t="s">
        <v>116</v>
      </c>
      <c r="P254" s="129"/>
      <c r="Q254" s="130" t="s">
        <v>1165</v>
      </c>
      <c r="R254" s="131" t="s">
        <v>390</v>
      </c>
      <c r="S254" s="131"/>
      <c r="T254" s="132" t="s">
        <v>1166</v>
      </c>
      <c r="U254" s="132" t="s">
        <v>1167</v>
      </c>
      <c r="V254" s="132" t="s">
        <v>1168</v>
      </c>
      <c r="W254" s="132"/>
      <c r="X254" s="132"/>
      <c r="Y254" s="133"/>
      <c r="Z254" s="126" t="s">
        <v>64</v>
      </c>
      <c r="AA254" s="134" t="s">
        <v>154</v>
      </c>
      <c r="AB254" s="134" t="s">
        <v>1169</v>
      </c>
      <c r="AC254" s="134"/>
      <c r="AD254" s="134">
        <v>44431</v>
      </c>
      <c r="AE254" s="134"/>
      <c r="AF254" s="134">
        <f t="shared" ca="1" si="19"/>
        <v>44963</v>
      </c>
      <c r="AG254" s="126">
        <f t="shared" ca="1" si="20"/>
        <v>532</v>
      </c>
      <c r="AH254" s="126" t="e">
        <f t="shared" ca="1" si="21"/>
        <v>#VALUE!</v>
      </c>
      <c r="AI254" s="134"/>
      <c r="AJ254" s="143" t="s">
        <v>1170</v>
      </c>
      <c r="AK254" s="129">
        <v>10.585000000000001</v>
      </c>
      <c r="AL254" s="129">
        <v>10.595000000000001</v>
      </c>
      <c r="AM254" s="129">
        <v>10.62</v>
      </c>
      <c r="AN254" s="129">
        <v>10.625</v>
      </c>
      <c r="AO254" s="126" t="e">
        <f t="shared" ca="1" si="22"/>
        <v>#VALUE!</v>
      </c>
      <c r="AR254" s="99" t="s">
        <v>136</v>
      </c>
      <c r="BG254" s="135" t="s">
        <v>157</v>
      </c>
    </row>
    <row r="255" spans="1:59" s="99" customFormat="1" ht="21" customHeight="1" x14ac:dyDescent="0.35">
      <c r="A255" s="99">
        <v>419</v>
      </c>
      <c r="B255" s="126" t="str">
        <f t="shared" si="24"/>
        <v>WIP-304/304L/FH-001X770</v>
      </c>
      <c r="C255" s="126" t="s">
        <v>13</v>
      </c>
      <c r="D255" s="126" t="s">
        <v>13</v>
      </c>
      <c r="E255" s="143" t="s">
        <v>1171</v>
      </c>
      <c r="F255" s="143" t="s">
        <v>1172</v>
      </c>
      <c r="G255" s="126" t="s">
        <v>377</v>
      </c>
      <c r="H255" s="126" t="s">
        <v>65</v>
      </c>
      <c r="I255" s="127">
        <v>2.79</v>
      </c>
      <c r="J255" s="127">
        <v>0.6</v>
      </c>
      <c r="K255" s="127"/>
      <c r="L255" s="127"/>
      <c r="M255" s="144">
        <v>770</v>
      </c>
      <c r="N255" s="129">
        <v>3.18</v>
      </c>
      <c r="O255" s="129" t="s">
        <v>116</v>
      </c>
      <c r="P255" s="129"/>
      <c r="Q255" s="130" t="s">
        <v>117</v>
      </c>
      <c r="R255" s="131" t="s">
        <v>1173</v>
      </c>
      <c r="S255" s="131" t="s">
        <v>1174</v>
      </c>
      <c r="T255" s="132">
        <v>44484</v>
      </c>
      <c r="U255" s="132">
        <v>44484</v>
      </c>
      <c r="V255" s="132"/>
      <c r="W255" s="132">
        <v>44495</v>
      </c>
      <c r="X255" s="132"/>
      <c r="Y255" s="133"/>
      <c r="Z255" s="126" t="s">
        <v>64</v>
      </c>
      <c r="AA255" s="134" t="s">
        <v>154</v>
      </c>
      <c r="AB255" s="134" t="s">
        <v>793</v>
      </c>
      <c r="AC255" s="134"/>
      <c r="AD255" s="134">
        <v>44444</v>
      </c>
      <c r="AE255" s="134"/>
      <c r="AF255" s="134">
        <f t="shared" ca="1" si="19"/>
        <v>44963</v>
      </c>
      <c r="AG255" s="126">
        <f t="shared" ca="1" si="20"/>
        <v>519</v>
      </c>
      <c r="AH255" s="126" t="str">
        <f t="shared" si="21"/>
        <v/>
      </c>
      <c r="AI255" s="134"/>
      <c r="AJ255" s="143" t="s">
        <v>1175</v>
      </c>
      <c r="AK255" s="129">
        <v>12.13</v>
      </c>
      <c r="AL255" s="129">
        <v>12.14</v>
      </c>
      <c r="AM255" s="129">
        <v>12.164999999999999</v>
      </c>
      <c r="AN255" s="129">
        <v>12.17</v>
      </c>
      <c r="AO255" s="126">
        <f t="shared" ca="1" si="22"/>
        <v>479</v>
      </c>
      <c r="AR255" s="99" t="s">
        <v>136</v>
      </c>
      <c r="BG255" s="135" t="s">
        <v>273</v>
      </c>
    </row>
    <row r="256" spans="1:59" s="99" customFormat="1" ht="21" customHeight="1" x14ac:dyDescent="0.35">
      <c r="A256" s="99">
        <v>420</v>
      </c>
      <c r="B256" s="126" t="str">
        <f t="shared" si="24"/>
        <v>HOLD SLT-304L/2B-000X760</v>
      </c>
      <c r="C256" s="126" t="s">
        <v>63</v>
      </c>
      <c r="D256" s="126" t="s">
        <v>63</v>
      </c>
      <c r="E256" s="143" t="s">
        <v>1176</v>
      </c>
      <c r="F256" s="143" t="s">
        <v>1177</v>
      </c>
      <c r="G256" s="126" t="s">
        <v>230</v>
      </c>
      <c r="H256" s="126" t="s">
        <v>116</v>
      </c>
      <c r="I256" s="127">
        <v>0.78</v>
      </c>
      <c r="J256" s="127">
        <v>0.4</v>
      </c>
      <c r="K256" s="127">
        <v>0.4</v>
      </c>
      <c r="L256" s="127">
        <v>0.42</v>
      </c>
      <c r="M256" s="144">
        <v>760</v>
      </c>
      <c r="N256" s="129">
        <v>2.77</v>
      </c>
      <c r="O256" s="129" t="s">
        <v>116</v>
      </c>
      <c r="P256" s="129"/>
      <c r="Q256" s="130" t="s">
        <v>117</v>
      </c>
      <c r="R256" s="130" t="s">
        <v>1178</v>
      </c>
      <c r="S256" s="131" t="s">
        <v>1179</v>
      </c>
      <c r="T256" s="132" t="s">
        <v>1180</v>
      </c>
      <c r="U256" s="132" t="s">
        <v>1180</v>
      </c>
      <c r="V256" s="132" t="s">
        <v>1181</v>
      </c>
      <c r="W256" s="132" t="s">
        <v>1182</v>
      </c>
      <c r="X256" s="132"/>
      <c r="Y256" s="133"/>
      <c r="Z256" s="126" t="s">
        <v>64</v>
      </c>
      <c r="AA256" s="134" t="s">
        <v>154</v>
      </c>
      <c r="AB256" s="134" t="s">
        <v>1183</v>
      </c>
      <c r="AC256" s="134"/>
      <c r="AD256" s="134">
        <v>44466</v>
      </c>
      <c r="AE256" s="134"/>
      <c r="AF256" s="134">
        <f t="shared" ca="1" si="19"/>
        <v>44963</v>
      </c>
      <c r="AG256" s="126">
        <f t="shared" ca="1" si="20"/>
        <v>497</v>
      </c>
      <c r="AH256" s="126">
        <f t="shared" ca="1" si="21"/>
        <v>483</v>
      </c>
      <c r="AI256" s="134"/>
      <c r="AJ256" s="143" t="s">
        <v>1184</v>
      </c>
      <c r="AK256" s="129">
        <v>12.154999999999999</v>
      </c>
      <c r="AL256" s="129">
        <v>12.164999999999999</v>
      </c>
      <c r="AM256" s="129">
        <v>12.189999999999998</v>
      </c>
      <c r="AN256" s="129">
        <v>12.194999999999999</v>
      </c>
      <c r="AO256" s="126">
        <f t="shared" ca="1" si="22"/>
        <v>725</v>
      </c>
      <c r="AR256" s="99" t="s">
        <v>136</v>
      </c>
      <c r="BG256" s="135" t="s">
        <v>137</v>
      </c>
    </row>
    <row r="257" spans="1:59" s="99" customFormat="1" ht="21" customHeight="1" x14ac:dyDescent="0.35">
      <c r="A257" s="99">
        <v>420</v>
      </c>
      <c r="B257" s="126" t="str">
        <f t="shared" si="24"/>
        <v>WIP-304L/FH-000X760</v>
      </c>
      <c r="C257" s="126" t="s">
        <v>13</v>
      </c>
      <c r="D257" s="126" t="s">
        <v>13</v>
      </c>
      <c r="E257" s="143" t="s">
        <v>1176</v>
      </c>
      <c r="F257" s="143" t="s">
        <v>1185</v>
      </c>
      <c r="G257" s="126" t="s">
        <v>230</v>
      </c>
      <c r="H257" s="126" t="s">
        <v>65</v>
      </c>
      <c r="I257" s="127">
        <v>0.78</v>
      </c>
      <c r="J257" s="127">
        <v>0.4</v>
      </c>
      <c r="K257" s="127"/>
      <c r="L257" s="127"/>
      <c r="M257" s="144">
        <v>760</v>
      </c>
      <c r="N257" s="129">
        <f>12.06-5.975-2.77-2.75</f>
        <v>0.56500000000000083</v>
      </c>
      <c r="O257" s="129" t="s">
        <v>116</v>
      </c>
      <c r="P257" s="129"/>
      <c r="Q257" s="130" t="s">
        <v>117</v>
      </c>
      <c r="R257" s="130" t="s">
        <v>1178</v>
      </c>
      <c r="S257" s="131" t="s">
        <v>1186</v>
      </c>
      <c r="T257" s="132" t="s">
        <v>1180</v>
      </c>
      <c r="U257" s="132" t="s">
        <v>1180</v>
      </c>
      <c r="V257" s="132">
        <v>44496</v>
      </c>
      <c r="W257" s="132" t="s">
        <v>1187</v>
      </c>
      <c r="X257" s="132"/>
      <c r="Y257" s="133"/>
      <c r="Z257" s="126" t="s">
        <v>64</v>
      </c>
      <c r="AA257" s="134" t="s">
        <v>154</v>
      </c>
      <c r="AB257" s="134" t="s">
        <v>1183</v>
      </c>
      <c r="AC257" s="134"/>
      <c r="AD257" s="134">
        <v>44466</v>
      </c>
      <c r="AE257" s="134"/>
      <c r="AF257" s="134">
        <f t="shared" ca="1" si="19"/>
        <v>44963</v>
      </c>
      <c r="AG257" s="126">
        <f t="shared" ca="1" si="20"/>
        <v>497</v>
      </c>
      <c r="AH257" s="126">
        <f t="shared" ca="1" si="21"/>
        <v>467</v>
      </c>
      <c r="AI257" s="134"/>
      <c r="AJ257" s="143" t="s">
        <v>1184</v>
      </c>
      <c r="AK257" s="129">
        <v>12.154999999999999</v>
      </c>
      <c r="AL257" s="129">
        <v>12.164999999999999</v>
      </c>
      <c r="AM257" s="129">
        <v>12.189999999999998</v>
      </c>
      <c r="AN257" s="129">
        <v>12.194999999999999</v>
      </c>
      <c r="AO257" s="126">
        <f t="shared" ca="1" si="22"/>
        <v>725</v>
      </c>
      <c r="AR257" s="99" t="s">
        <v>136</v>
      </c>
      <c r="BG257" s="135" t="s">
        <v>301</v>
      </c>
    </row>
    <row r="258" spans="1:59" s="99" customFormat="1" ht="21" customHeight="1" x14ac:dyDescent="0.35">
      <c r="A258" s="99">
        <v>421</v>
      </c>
      <c r="B258" s="126" t="str">
        <f t="shared" si="24"/>
        <v>WIP-304L/2B-001X770</v>
      </c>
      <c r="C258" s="126" t="s">
        <v>14</v>
      </c>
      <c r="D258" s="126" t="s">
        <v>358</v>
      </c>
      <c r="E258" s="143" t="s">
        <v>1188</v>
      </c>
      <c r="F258" s="143" t="s">
        <v>1189</v>
      </c>
      <c r="G258" s="126" t="s">
        <v>230</v>
      </c>
      <c r="H258" s="126" t="s">
        <v>116</v>
      </c>
      <c r="I258" s="127">
        <v>2.81</v>
      </c>
      <c r="J258" s="127">
        <v>0.95</v>
      </c>
      <c r="K258" s="127">
        <v>0.95</v>
      </c>
      <c r="L258" s="127">
        <v>0.97</v>
      </c>
      <c r="M258" s="144">
        <v>770</v>
      </c>
      <c r="N258" s="129">
        <v>12.175000000000001</v>
      </c>
      <c r="O258" s="129" t="s">
        <v>116</v>
      </c>
      <c r="P258" s="129"/>
      <c r="Q258" s="130" t="s">
        <v>412</v>
      </c>
      <c r="R258" s="131"/>
      <c r="S258" s="131"/>
      <c r="T258" s="132">
        <v>44618</v>
      </c>
      <c r="U258" s="132">
        <v>44619</v>
      </c>
      <c r="V258" s="132">
        <v>44620</v>
      </c>
      <c r="W258" s="132"/>
      <c r="X258" s="132"/>
      <c r="Y258" s="133"/>
      <c r="Z258" s="126" t="s">
        <v>64</v>
      </c>
      <c r="AA258" s="134" t="s">
        <v>154</v>
      </c>
      <c r="AB258" s="134" t="s">
        <v>1190</v>
      </c>
      <c r="AC258" s="134"/>
      <c r="AD258" s="134">
        <v>44496</v>
      </c>
      <c r="AE258" s="134"/>
      <c r="AF258" s="134">
        <f t="shared" ca="1" si="19"/>
        <v>44963</v>
      </c>
      <c r="AG258" s="126">
        <f t="shared" ca="1" si="20"/>
        <v>467</v>
      </c>
      <c r="AH258" s="126">
        <f t="shared" ca="1" si="21"/>
        <v>343</v>
      </c>
      <c r="AI258" s="134"/>
      <c r="AJ258" s="143" t="s">
        <v>1191</v>
      </c>
      <c r="AK258" s="129">
        <v>12.17</v>
      </c>
      <c r="AL258" s="129">
        <v>12.18</v>
      </c>
      <c r="AM258" s="129">
        <v>12.204999999999998</v>
      </c>
      <c r="AN258" s="129">
        <v>12.209999999999999</v>
      </c>
      <c r="AO258" s="126">
        <f t="shared" ca="1" si="22"/>
        <v>344</v>
      </c>
      <c r="AR258" s="99" t="s">
        <v>136</v>
      </c>
    </row>
    <row r="259" spans="1:59" s="99" customFormat="1" ht="21" customHeight="1" x14ac:dyDescent="0.35">
      <c r="A259" s="99">
        <v>421</v>
      </c>
      <c r="B259" s="126" t="str">
        <f t="shared" si="24"/>
        <v>WIP-304L/FH-000X761</v>
      </c>
      <c r="C259" s="126" t="s">
        <v>13</v>
      </c>
      <c r="D259" s="126" t="s">
        <v>13</v>
      </c>
      <c r="E259" s="143" t="s">
        <v>1192</v>
      </c>
      <c r="F259" s="143" t="s">
        <v>1193</v>
      </c>
      <c r="G259" s="126" t="s">
        <v>230</v>
      </c>
      <c r="H259" s="126" t="s">
        <v>65</v>
      </c>
      <c r="I259" s="127">
        <v>0.78</v>
      </c>
      <c r="J259" s="127">
        <v>0.4</v>
      </c>
      <c r="K259" s="127"/>
      <c r="L259" s="127"/>
      <c r="M259" s="144">
        <v>761</v>
      </c>
      <c r="N259" s="129">
        <v>8.3550000000000004</v>
      </c>
      <c r="O259" s="129" t="s">
        <v>116</v>
      </c>
      <c r="P259" s="129"/>
      <c r="Q259" s="130" t="s">
        <v>361</v>
      </c>
      <c r="R259" s="130" t="s">
        <v>1194</v>
      </c>
      <c r="S259" s="131" t="s">
        <v>1195</v>
      </c>
      <c r="T259" s="132" t="s">
        <v>1196</v>
      </c>
      <c r="U259" s="132" t="s">
        <v>1197</v>
      </c>
      <c r="V259" s="132">
        <v>44566</v>
      </c>
      <c r="W259" s="132">
        <v>44566</v>
      </c>
      <c r="X259" s="132"/>
      <c r="Y259" s="133"/>
      <c r="Z259" s="126" t="s">
        <v>64</v>
      </c>
      <c r="AA259" s="134" t="s">
        <v>154</v>
      </c>
      <c r="AB259" s="134" t="s">
        <v>1190</v>
      </c>
      <c r="AC259" s="134"/>
      <c r="AD259" s="134">
        <v>44496</v>
      </c>
      <c r="AE259" s="134"/>
      <c r="AF259" s="134">
        <f t="shared" ca="1" si="19"/>
        <v>44963</v>
      </c>
      <c r="AG259" s="126">
        <f t="shared" ca="1" si="20"/>
        <v>467</v>
      </c>
      <c r="AH259" s="126">
        <f t="shared" ca="1" si="21"/>
        <v>397</v>
      </c>
      <c r="AI259" s="134"/>
      <c r="AJ259" s="143" t="s">
        <v>1198</v>
      </c>
      <c r="AK259" s="129">
        <v>12.175000000000001</v>
      </c>
      <c r="AL259" s="129">
        <v>12.185</v>
      </c>
      <c r="AM259" s="129">
        <v>12.209999999999999</v>
      </c>
      <c r="AN259" s="129">
        <v>12.215</v>
      </c>
      <c r="AO259" s="126">
        <f t="shared" ca="1" si="22"/>
        <v>220</v>
      </c>
      <c r="AR259" s="99" t="s">
        <v>136</v>
      </c>
      <c r="BG259" s="135" t="s">
        <v>923</v>
      </c>
    </row>
    <row r="260" spans="1:59" s="99" customFormat="1" ht="21" customHeight="1" x14ac:dyDescent="0.35">
      <c r="A260" s="99">
        <v>421</v>
      </c>
      <c r="B260" s="126" t="str">
        <f t="shared" si="24"/>
        <v>WIP-304L/2B-000X761</v>
      </c>
      <c r="C260" s="126" t="s">
        <v>14</v>
      </c>
      <c r="D260" s="126" t="s">
        <v>113</v>
      </c>
      <c r="E260" s="143" t="s">
        <v>1199</v>
      </c>
      <c r="F260" s="143" t="s">
        <v>1200</v>
      </c>
      <c r="G260" s="126" t="s">
        <v>230</v>
      </c>
      <c r="H260" s="126" t="s">
        <v>116</v>
      </c>
      <c r="I260" s="127">
        <v>0.78</v>
      </c>
      <c r="J260" s="127">
        <v>0.4</v>
      </c>
      <c r="K260" s="127">
        <v>0.4</v>
      </c>
      <c r="L260" s="127">
        <v>0.42</v>
      </c>
      <c r="M260" s="144">
        <v>761</v>
      </c>
      <c r="N260" s="129">
        <v>4.24</v>
      </c>
      <c r="O260" s="129" t="s">
        <v>116</v>
      </c>
      <c r="P260" s="129"/>
      <c r="Q260" s="130" t="s">
        <v>291</v>
      </c>
      <c r="R260" s="130" t="s">
        <v>1194</v>
      </c>
      <c r="S260" s="131" t="s">
        <v>305</v>
      </c>
      <c r="T260" s="132" t="s">
        <v>1196</v>
      </c>
      <c r="U260" s="132" t="s">
        <v>1201</v>
      </c>
      <c r="V260" s="132" t="s">
        <v>1202</v>
      </c>
      <c r="W260" s="132">
        <v>44566</v>
      </c>
      <c r="X260" s="132"/>
      <c r="Y260" s="133"/>
      <c r="Z260" s="126" t="s">
        <v>64</v>
      </c>
      <c r="AA260" s="134" t="s">
        <v>154</v>
      </c>
      <c r="AB260" s="134" t="s">
        <v>1190</v>
      </c>
      <c r="AC260" s="134"/>
      <c r="AD260" s="134">
        <v>44496</v>
      </c>
      <c r="AE260" s="134"/>
      <c r="AF260" s="134">
        <f t="shared" ca="1" si="19"/>
        <v>44963</v>
      </c>
      <c r="AG260" s="126">
        <f t="shared" ca="1" si="20"/>
        <v>467</v>
      </c>
      <c r="AH260" s="126" t="e">
        <f t="shared" ca="1" si="21"/>
        <v>#VALUE!</v>
      </c>
      <c r="AI260" s="134"/>
      <c r="AJ260" s="143" t="s">
        <v>1203</v>
      </c>
      <c r="AK260" s="129">
        <v>8.5050000000000008</v>
      </c>
      <c r="AL260" s="129">
        <v>8.5150000000000006</v>
      </c>
      <c r="AM260" s="129">
        <v>8.5399999999999991</v>
      </c>
      <c r="AN260" s="129">
        <v>8.5449999999999999</v>
      </c>
      <c r="AO260" s="126">
        <f t="shared" ca="1" si="22"/>
        <v>220</v>
      </c>
      <c r="AR260" s="99" t="s">
        <v>136</v>
      </c>
      <c r="BG260" s="135" t="s">
        <v>427</v>
      </c>
    </row>
    <row r="261" spans="1:59" s="99" customFormat="1" ht="21" customHeight="1" x14ac:dyDescent="0.35">
      <c r="A261" s="99">
        <v>421</v>
      </c>
      <c r="B261" s="126" t="str">
        <f t="shared" si="24"/>
        <v>WIP-304L/2B-001X770</v>
      </c>
      <c r="C261" s="126" t="s">
        <v>14</v>
      </c>
      <c r="D261" s="126" t="s">
        <v>358</v>
      </c>
      <c r="E261" s="143" t="s">
        <v>1204</v>
      </c>
      <c r="F261" s="143" t="s">
        <v>1205</v>
      </c>
      <c r="G261" s="126" t="s">
        <v>230</v>
      </c>
      <c r="H261" s="126" t="s">
        <v>116</v>
      </c>
      <c r="I261" s="127">
        <v>1.2</v>
      </c>
      <c r="J261" s="127">
        <v>0.6</v>
      </c>
      <c r="K261" s="127">
        <v>0.59</v>
      </c>
      <c r="L261" s="127">
        <v>0.61</v>
      </c>
      <c r="M261" s="144">
        <v>770</v>
      </c>
      <c r="N261" s="129">
        <v>5.8449999999999998</v>
      </c>
      <c r="O261" s="129" t="s">
        <v>116</v>
      </c>
      <c r="P261" s="129"/>
      <c r="Q261" s="130" t="s">
        <v>1206</v>
      </c>
      <c r="R261" s="130" t="s">
        <v>1207</v>
      </c>
      <c r="S261" s="131" t="s">
        <v>1208</v>
      </c>
      <c r="T261" s="132" t="s">
        <v>1209</v>
      </c>
      <c r="U261" s="132" t="s">
        <v>1210</v>
      </c>
      <c r="V261" s="132" t="s">
        <v>1211</v>
      </c>
      <c r="W261" s="132"/>
      <c r="X261" s="132"/>
      <c r="Y261" s="133"/>
      <c r="Z261" s="126" t="s">
        <v>64</v>
      </c>
      <c r="AA261" s="134" t="s">
        <v>154</v>
      </c>
      <c r="AB261" s="134" t="s">
        <v>1190</v>
      </c>
      <c r="AC261" s="134"/>
      <c r="AD261" s="134">
        <v>44496</v>
      </c>
      <c r="AE261" s="134"/>
      <c r="AF261" s="134">
        <f t="shared" ref="AF261:AF324" ca="1" si="25">TODAY()</f>
        <v>44963</v>
      </c>
      <c r="AG261" s="126">
        <f t="shared" ref="AG261:AG324" ca="1" si="26">IF(AD261&lt;&gt;0,AF261-AD261,0)</f>
        <v>467</v>
      </c>
      <c r="AH261" s="126" t="e">
        <f t="shared" ref="AH261:AH324" ca="1" si="27">IF(ISNUMBER(V261)=TRUE,AF261-V261,IF(V261="","",(AF261)-(MID(RIGHT(V261,10),4,2)&amp;"/"&amp;LEFT((RIGHT(V261,10)),2)&amp;"/"&amp;RIGHT(V261,4))))</f>
        <v>#VALUE!</v>
      </c>
      <c r="AI261" s="134"/>
      <c r="AJ261" s="143" t="s">
        <v>1212</v>
      </c>
      <c r="AK261" s="129">
        <v>9.9700000000000006</v>
      </c>
      <c r="AL261" s="129">
        <v>9.98</v>
      </c>
      <c r="AM261" s="129">
        <v>10.004999999999999</v>
      </c>
      <c r="AN261" s="129">
        <v>10.01</v>
      </c>
      <c r="AO261" s="126" t="e">
        <f t="shared" ref="AO261:AO324" ca="1" si="28">IF(ISNUMBER(U261)=TRUE,AF261-U261,IF(U261="","",(AF261)-(MID(RIGHT(U261,10),4,2)&amp;"/"&amp;LEFT((RIGHT(U261,10)),2)&amp;"/"&amp;RIGHT(U261,4))))</f>
        <v>#VALUE!</v>
      </c>
      <c r="AR261" s="99" t="s">
        <v>136</v>
      </c>
      <c r="BG261" s="135" t="s">
        <v>1213</v>
      </c>
    </row>
    <row r="262" spans="1:59" s="99" customFormat="1" ht="21" customHeight="1" x14ac:dyDescent="0.35">
      <c r="A262" s="99">
        <v>421</v>
      </c>
      <c r="B262" s="126" t="str">
        <f t="shared" si="24"/>
        <v>WIP-304L/2B-002X770</v>
      </c>
      <c r="C262" s="126" t="s">
        <v>14</v>
      </c>
      <c r="D262" s="126" t="s">
        <v>63</v>
      </c>
      <c r="E262" s="143" t="s">
        <v>1214</v>
      </c>
      <c r="F262" s="143" t="s">
        <v>1215</v>
      </c>
      <c r="G262" s="126" t="s">
        <v>230</v>
      </c>
      <c r="H262" s="126" t="s">
        <v>116</v>
      </c>
      <c r="I262" s="127">
        <v>3.88</v>
      </c>
      <c r="J262" s="127">
        <v>1.9</v>
      </c>
      <c r="K262" s="127">
        <v>1.9</v>
      </c>
      <c r="L262" s="127">
        <v>1.94</v>
      </c>
      <c r="M262" s="144">
        <v>770</v>
      </c>
      <c r="N262" s="129">
        <v>12.135</v>
      </c>
      <c r="O262" s="129" t="s">
        <v>116</v>
      </c>
      <c r="P262" s="129"/>
      <c r="Q262" s="130" t="s">
        <v>1165</v>
      </c>
      <c r="R262" s="131"/>
      <c r="S262" s="131" t="s">
        <v>1216</v>
      </c>
      <c r="T262" s="132">
        <v>44618</v>
      </c>
      <c r="U262" s="132">
        <v>44618</v>
      </c>
      <c r="V262" s="132">
        <v>44620</v>
      </c>
      <c r="W262" s="132"/>
      <c r="X262" s="132"/>
      <c r="Y262" s="133"/>
      <c r="Z262" s="126" t="s">
        <v>64</v>
      </c>
      <c r="AA262" s="134" t="s">
        <v>154</v>
      </c>
      <c r="AB262" s="134" t="s">
        <v>1190</v>
      </c>
      <c r="AC262" s="134"/>
      <c r="AD262" s="134">
        <v>44496</v>
      </c>
      <c r="AE262" s="134"/>
      <c r="AF262" s="134">
        <f t="shared" ca="1" si="25"/>
        <v>44963</v>
      </c>
      <c r="AG262" s="126">
        <f t="shared" ca="1" si="26"/>
        <v>467</v>
      </c>
      <c r="AH262" s="126">
        <f t="shared" ca="1" si="27"/>
        <v>343</v>
      </c>
      <c r="AI262" s="134"/>
      <c r="AJ262" s="143" t="s">
        <v>1217</v>
      </c>
      <c r="AK262" s="129">
        <v>12.145</v>
      </c>
      <c r="AL262" s="129">
        <v>12.154999999999999</v>
      </c>
      <c r="AM262" s="129">
        <v>12.179999999999998</v>
      </c>
      <c r="AN262" s="129">
        <v>12.184999999999999</v>
      </c>
      <c r="AO262" s="126">
        <f t="shared" ca="1" si="28"/>
        <v>345</v>
      </c>
      <c r="AR262" s="99" t="s">
        <v>136</v>
      </c>
    </row>
    <row r="263" spans="1:59" s="99" customFormat="1" ht="21" customHeight="1" x14ac:dyDescent="0.35">
      <c r="A263" s="99">
        <v>421</v>
      </c>
      <c r="B263" s="126" t="str">
        <f t="shared" si="24"/>
        <v>WIP-304L/FH-000X763</v>
      </c>
      <c r="C263" s="126" t="s">
        <v>13</v>
      </c>
      <c r="D263" s="126" t="s">
        <v>13</v>
      </c>
      <c r="E263" s="143" t="s">
        <v>1218</v>
      </c>
      <c r="F263" s="143" t="s">
        <v>1219</v>
      </c>
      <c r="G263" s="126" t="s">
        <v>230</v>
      </c>
      <c r="H263" s="126" t="s">
        <v>65</v>
      </c>
      <c r="I263" s="127">
        <v>0.74</v>
      </c>
      <c r="J263" s="127">
        <v>0.4</v>
      </c>
      <c r="K263" s="149"/>
      <c r="L263" s="149"/>
      <c r="M263" s="144">
        <v>763</v>
      </c>
      <c r="N263" s="129">
        <v>4.75</v>
      </c>
      <c r="O263" s="129" t="s">
        <v>116</v>
      </c>
      <c r="P263" s="129"/>
      <c r="Q263" s="130" t="s">
        <v>1220</v>
      </c>
      <c r="R263" s="131" t="s">
        <v>1143</v>
      </c>
      <c r="S263" s="131"/>
      <c r="T263" s="132" t="s">
        <v>1221</v>
      </c>
      <c r="U263" s="132" t="s">
        <v>1221</v>
      </c>
      <c r="V263" s="132">
        <v>44603</v>
      </c>
      <c r="W263" s="132">
        <v>44617</v>
      </c>
      <c r="X263" s="132"/>
      <c r="Y263" s="133"/>
      <c r="Z263" s="126" t="s">
        <v>64</v>
      </c>
      <c r="AA263" s="134" t="s">
        <v>154</v>
      </c>
      <c r="AB263" s="134" t="s">
        <v>1190</v>
      </c>
      <c r="AC263" s="134"/>
      <c r="AD263" s="134">
        <v>44496</v>
      </c>
      <c r="AE263" s="134"/>
      <c r="AF263" s="134">
        <f t="shared" ca="1" si="25"/>
        <v>44963</v>
      </c>
      <c r="AG263" s="126">
        <f t="shared" ca="1" si="26"/>
        <v>467</v>
      </c>
      <c r="AH263" s="126">
        <f t="shared" ca="1" si="27"/>
        <v>360</v>
      </c>
      <c r="AI263" s="134"/>
      <c r="AJ263" s="143" t="s">
        <v>1222</v>
      </c>
      <c r="AK263" s="129">
        <v>12.03</v>
      </c>
      <c r="AL263" s="129">
        <v>12.04</v>
      </c>
      <c r="AM263" s="129">
        <v>12.064999999999998</v>
      </c>
      <c r="AN263" s="129">
        <v>12.069999999999999</v>
      </c>
      <c r="AO263" s="126" t="e">
        <f t="shared" ca="1" si="28"/>
        <v>#VALUE!</v>
      </c>
      <c r="AR263" s="99" t="s">
        <v>136</v>
      </c>
    </row>
    <row r="264" spans="1:59" s="99" customFormat="1" ht="21" customHeight="1" x14ac:dyDescent="0.35">
      <c r="A264" s="99">
        <v>421</v>
      </c>
      <c r="B264" s="126" t="str">
        <f t="shared" si="24"/>
        <v>WIP-304/2B-001X770</v>
      </c>
      <c r="C264" s="126" t="s">
        <v>14</v>
      </c>
      <c r="D264" s="126" t="s">
        <v>358</v>
      </c>
      <c r="E264" s="143" t="s">
        <v>1223</v>
      </c>
      <c r="F264" s="143" t="s">
        <v>1224</v>
      </c>
      <c r="G264" s="126">
        <v>304</v>
      </c>
      <c r="H264" s="126" t="s">
        <v>116</v>
      </c>
      <c r="I264" s="127">
        <v>3.26</v>
      </c>
      <c r="J264" s="127">
        <v>1.1499999999999999</v>
      </c>
      <c r="K264" s="127">
        <v>1.1399999999999999</v>
      </c>
      <c r="L264" s="127">
        <v>1.1499999999999999</v>
      </c>
      <c r="M264" s="144">
        <v>770</v>
      </c>
      <c r="N264" s="129">
        <v>4.4400000000000004</v>
      </c>
      <c r="O264" s="129" t="s">
        <v>116</v>
      </c>
      <c r="P264" s="129"/>
      <c r="Q264" s="130" t="s">
        <v>446</v>
      </c>
      <c r="R264" s="131"/>
      <c r="S264" s="131"/>
      <c r="T264" s="132">
        <v>44561</v>
      </c>
      <c r="U264" s="132">
        <v>44561</v>
      </c>
      <c r="V264" s="132">
        <v>44590</v>
      </c>
      <c r="W264" s="132"/>
      <c r="X264" s="132"/>
      <c r="Y264" s="133"/>
      <c r="Z264" s="126" t="s">
        <v>64</v>
      </c>
      <c r="AA264" s="134" t="s">
        <v>154</v>
      </c>
      <c r="AB264" s="134" t="s">
        <v>1190</v>
      </c>
      <c r="AC264" s="134"/>
      <c r="AD264" s="134">
        <v>44496</v>
      </c>
      <c r="AE264" s="134"/>
      <c r="AF264" s="134">
        <f t="shared" ca="1" si="25"/>
        <v>44963</v>
      </c>
      <c r="AG264" s="126">
        <f t="shared" ca="1" si="26"/>
        <v>467</v>
      </c>
      <c r="AH264" s="126">
        <f t="shared" ca="1" si="27"/>
        <v>373</v>
      </c>
      <c r="AI264" s="134"/>
      <c r="AJ264" s="143" t="s">
        <v>1225</v>
      </c>
      <c r="AK264" s="129">
        <v>10.635</v>
      </c>
      <c r="AL264" s="129">
        <v>10.645</v>
      </c>
      <c r="AM264" s="129">
        <v>10.669999999999998</v>
      </c>
      <c r="AN264" s="129">
        <v>10.674999999999999</v>
      </c>
      <c r="AO264" s="126">
        <f t="shared" ca="1" si="28"/>
        <v>402</v>
      </c>
      <c r="AR264" s="99" t="s">
        <v>136</v>
      </c>
    </row>
    <row r="265" spans="1:59" s="99" customFormat="1" ht="21" customHeight="1" x14ac:dyDescent="0.35">
      <c r="A265" s="99">
        <v>421</v>
      </c>
      <c r="B265" s="126" t="str">
        <f t="shared" si="24"/>
        <v>WIP-304L/FH-000X765</v>
      </c>
      <c r="C265" s="126" t="s">
        <v>13</v>
      </c>
      <c r="D265" s="126" t="s">
        <v>13</v>
      </c>
      <c r="E265" s="143" t="s">
        <v>1226</v>
      </c>
      <c r="F265" s="143" t="s">
        <v>1227</v>
      </c>
      <c r="G265" s="126" t="s">
        <v>230</v>
      </c>
      <c r="H265" s="126" t="s">
        <v>65</v>
      </c>
      <c r="I265" s="127">
        <v>0.8</v>
      </c>
      <c r="J265" s="127">
        <v>0.4</v>
      </c>
      <c r="K265" s="127"/>
      <c r="L265" s="127"/>
      <c r="M265" s="144">
        <v>765</v>
      </c>
      <c r="N265" s="129">
        <v>2.96</v>
      </c>
      <c r="O265" s="129" t="s">
        <v>116</v>
      </c>
      <c r="P265" s="129"/>
      <c r="Q265" s="130" t="s">
        <v>1194</v>
      </c>
      <c r="R265" s="130" t="s">
        <v>1228</v>
      </c>
      <c r="S265" s="131" t="s">
        <v>305</v>
      </c>
      <c r="T265" s="132" t="s">
        <v>1229</v>
      </c>
      <c r="U265" s="132" t="s">
        <v>1230</v>
      </c>
      <c r="V265" s="132">
        <v>44571</v>
      </c>
      <c r="W265" s="132">
        <v>44572</v>
      </c>
      <c r="X265" s="132"/>
      <c r="Y265" s="133"/>
      <c r="Z265" s="126" t="s">
        <v>64</v>
      </c>
      <c r="AA265" s="134" t="s">
        <v>154</v>
      </c>
      <c r="AB265" s="134" t="s">
        <v>1190</v>
      </c>
      <c r="AC265" s="134"/>
      <c r="AD265" s="134">
        <v>44496</v>
      </c>
      <c r="AE265" s="134"/>
      <c r="AF265" s="134">
        <f t="shared" ca="1" si="25"/>
        <v>44963</v>
      </c>
      <c r="AG265" s="126">
        <f t="shared" ca="1" si="26"/>
        <v>467</v>
      </c>
      <c r="AH265" s="126">
        <f t="shared" ca="1" si="27"/>
        <v>392</v>
      </c>
      <c r="AI265" s="134"/>
      <c r="AJ265" s="143" t="s">
        <v>1231</v>
      </c>
      <c r="AK265" s="129">
        <v>7.99</v>
      </c>
      <c r="AL265" s="129">
        <v>8</v>
      </c>
      <c r="AM265" s="129">
        <v>8.0249999999999986</v>
      </c>
      <c r="AN265" s="129">
        <v>8.0299999999999994</v>
      </c>
      <c r="AO265" s="126" t="e">
        <f t="shared" ca="1" si="28"/>
        <v>#VALUE!</v>
      </c>
      <c r="AR265" s="99" t="s">
        <v>136</v>
      </c>
    </row>
    <row r="266" spans="1:59" s="99" customFormat="1" ht="21" customHeight="1" x14ac:dyDescent="0.35">
      <c r="A266" s="99">
        <v>421</v>
      </c>
      <c r="B266" s="126" t="str">
        <f t="shared" si="24"/>
        <v>WIP-304L/2B-001X770</v>
      </c>
      <c r="C266" s="126" t="s">
        <v>14</v>
      </c>
      <c r="D266" s="126" t="s">
        <v>358</v>
      </c>
      <c r="E266" s="143" t="s">
        <v>1232</v>
      </c>
      <c r="F266" s="143" t="s">
        <v>1233</v>
      </c>
      <c r="G266" s="126" t="s">
        <v>230</v>
      </c>
      <c r="H266" s="126" t="s">
        <v>116</v>
      </c>
      <c r="I266" s="127">
        <v>2.88</v>
      </c>
      <c r="J266" s="127">
        <v>0.8</v>
      </c>
      <c r="K266" s="127"/>
      <c r="L266" s="127"/>
      <c r="M266" s="144">
        <v>770</v>
      </c>
      <c r="N266" s="129">
        <v>7.91</v>
      </c>
      <c r="O266" s="129" t="s">
        <v>116</v>
      </c>
      <c r="P266" s="129"/>
      <c r="Q266" s="130" t="s">
        <v>993</v>
      </c>
      <c r="R266" s="131"/>
      <c r="S266" s="131"/>
      <c r="T266" s="132">
        <v>44600</v>
      </c>
      <c r="U266" s="132">
        <v>44600</v>
      </c>
      <c r="V266" s="132">
        <v>44617</v>
      </c>
      <c r="W266" s="132"/>
      <c r="X266" s="132"/>
      <c r="Y266" s="133"/>
      <c r="Z266" s="126" t="s">
        <v>64</v>
      </c>
      <c r="AA266" s="134" t="s">
        <v>154</v>
      </c>
      <c r="AB266" s="134" t="s">
        <v>1190</v>
      </c>
      <c r="AC266" s="134"/>
      <c r="AD266" s="134">
        <v>44496</v>
      </c>
      <c r="AE266" s="134"/>
      <c r="AF266" s="134">
        <f t="shared" ca="1" si="25"/>
        <v>44963</v>
      </c>
      <c r="AG266" s="126">
        <f t="shared" ca="1" si="26"/>
        <v>467</v>
      </c>
      <c r="AH266" s="126">
        <f t="shared" ca="1" si="27"/>
        <v>346</v>
      </c>
      <c r="AI266" s="134"/>
      <c r="AJ266" s="143" t="s">
        <v>1234</v>
      </c>
      <c r="AK266" s="129">
        <v>7.91</v>
      </c>
      <c r="AL266" s="129">
        <v>7.92</v>
      </c>
      <c r="AM266" s="129">
        <v>7.9450000000000003</v>
      </c>
      <c r="AN266" s="129">
        <v>7.95</v>
      </c>
      <c r="AO266" s="126">
        <f t="shared" ca="1" si="28"/>
        <v>363</v>
      </c>
      <c r="AR266" s="99" t="s">
        <v>136</v>
      </c>
    </row>
    <row r="267" spans="1:59" s="99" customFormat="1" ht="21" customHeight="1" x14ac:dyDescent="0.35">
      <c r="A267" s="99">
        <v>421</v>
      </c>
      <c r="B267" s="126" t="str">
        <f t="shared" si="24"/>
        <v>WIP-304L/2B-001X762</v>
      </c>
      <c r="C267" s="126" t="s">
        <v>14</v>
      </c>
      <c r="D267" s="126" t="s">
        <v>358</v>
      </c>
      <c r="E267" s="143" t="s">
        <v>1235</v>
      </c>
      <c r="F267" s="143" t="s">
        <v>1236</v>
      </c>
      <c r="G267" s="126" t="s">
        <v>230</v>
      </c>
      <c r="H267" s="126" t="s">
        <v>116</v>
      </c>
      <c r="I267" s="127">
        <v>0.95</v>
      </c>
      <c r="J267" s="127">
        <v>0.5</v>
      </c>
      <c r="K267" s="127"/>
      <c r="L267" s="127"/>
      <c r="M267" s="144">
        <v>762</v>
      </c>
      <c r="N267" s="129">
        <v>5.5750000000000002</v>
      </c>
      <c r="O267" s="129" t="s">
        <v>116</v>
      </c>
      <c r="P267" s="129"/>
      <c r="Q267" s="130" t="s">
        <v>1206</v>
      </c>
      <c r="R267" s="131"/>
      <c r="S267" s="131" t="s">
        <v>305</v>
      </c>
      <c r="T267" s="132" t="s">
        <v>1237</v>
      </c>
      <c r="U267" s="132" t="s">
        <v>1237</v>
      </c>
      <c r="V267" s="132" t="s">
        <v>1238</v>
      </c>
      <c r="W267" s="132">
        <v>44616</v>
      </c>
      <c r="X267" s="132"/>
      <c r="Y267" s="133"/>
      <c r="Z267" s="126" t="s">
        <v>64</v>
      </c>
      <c r="AA267" s="134" t="s">
        <v>154</v>
      </c>
      <c r="AB267" s="134" t="s">
        <v>1239</v>
      </c>
      <c r="AC267" s="134"/>
      <c r="AD267" s="134">
        <v>44496</v>
      </c>
      <c r="AE267" s="134"/>
      <c r="AF267" s="134">
        <f t="shared" ca="1" si="25"/>
        <v>44963</v>
      </c>
      <c r="AG267" s="126">
        <f t="shared" ca="1" si="26"/>
        <v>467</v>
      </c>
      <c r="AH267" s="126" t="e">
        <f t="shared" ca="1" si="27"/>
        <v>#VALUE!</v>
      </c>
      <c r="AI267" s="134"/>
      <c r="AJ267" s="143" t="s">
        <v>1240</v>
      </c>
      <c r="AK267" s="129">
        <v>10.484999999999999</v>
      </c>
      <c r="AL267" s="129">
        <v>10.494999999999999</v>
      </c>
      <c r="AM267" s="129">
        <v>10.519999999999998</v>
      </c>
      <c r="AN267" s="129">
        <v>10.524999999999999</v>
      </c>
      <c r="AO267" s="126" t="e">
        <f t="shared" ca="1" si="28"/>
        <v>#VALUE!</v>
      </c>
      <c r="AR267" s="99" t="s">
        <v>136</v>
      </c>
    </row>
    <row r="268" spans="1:59" s="99" customFormat="1" ht="21" customHeight="1" x14ac:dyDescent="0.35">
      <c r="A268" s="99">
        <v>421</v>
      </c>
      <c r="B268" s="126" t="str">
        <f t="shared" si="24"/>
        <v>WIP-304/2B-001X770</v>
      </c>
      <c r="C268" s="126" t="s">
        <v>14</v>
      </c>
      <c r="D268" s="126" t="s">
        <v>358</v>
      </c>
      <c r="E268" s="143" t="s">
        <v>1241</v>
      </c>
      <c r="F268" s="143" t="s">
        <v>1242</v>
      </c>
      <c r="G268" s="126">
        <v>304</v>
      </c>
      <c r="H268" s="126" t="s">
        <v>116</v>
      </c>
      <c r="I268" s="127">
        <v>3</v>
      </c>
      <c r="J268" s="127">
        <v>0.92</v>
      </c>
      <c r="K268" s="127">
        <v>0.9</v>
      </c>
      <c r="L268" s="127">
        <v>0.92</v>
      </c>
      <c r="M268" s="144">
        <v>770</v>
      </c>
      <c r="N268" s="129">
        <v>10.425000000000001</v>
      </c>
      <c r="O268" s="129" t="s">
        <v>116</v>
      </c>
      <c r="P268" s="129"/>
      <c r="Q268" s="130" t="s">
        <v>284</v>
      </c>
      <c r="R268" s="131"/>
      <c r="S268" s="131"/>
      <c r="T268" s="132">
        <v>44617</v>
      </c>
      <c r="U268" s="132">
        <v>44618</v>
      </c>
      <c r="V268" s="132">
        <v>44619</v>
      </c>
      <c r="W268" s="132"/>
      <c r="X268" s="132"/>
      <c r="Y268" s="133"/>
      <c r="Z268" s="126" t="s">
        <v>64</v>
      </c>
      <c r="AA268" s="134" t="s">
        <v>154</v>
      </c>
      <c r="AB268" s="134" t="s">
        <v>1239</v>
      </c>
      <c r="AC268" s="134"/>
      <c r="AD268" s="134">
        <v>44496</v>
      </c>
      <c r="AE268" s="134"/>
      <c r="AF268" s="134">
        <f t="shared" ca="1" si="25"/>
        <v>44963</v>
      </c>
      <c r="AG268" s="126">
        <f t="shared" ca="1" si="26"/>
        <v>467</v>
      </c>
      <c r="AH268" s="126">
        <f t="shared" ca="1" si="27"/>
        <v>344</v>
      </c>
      <c r="AI268" s="134"/>
      <c r="AJ268" s="143" t="s">
        <v>1243</v>
      </c>
      <c r="AK268" s="129">
        <v>10.425000000000001</v>
      </c>
      <c r="AL268" s="129">
        <v>10.435</v>
      </c>
      <c r="AM268" s="129">
        <v>10.459999999999999</v>
      </c>
      <c r="AN268" s="129">
        <v>10.465</v>
      </c>
      <c r="AO268" s="126">
        <f t="shared" ca="1" si="28"/>
        <v>345</v>
      </c>
      <c r="AR268" s="99" t="s">
        <v>136</v>
      </c>
    </row>
    <row r="269" spans="1:59" s="99" customFormat="1" ht="21" customHeight="1" x14ac:dyDescent="0.35">
      <c r="A269" s="99">
        <v>421</v>
      </c>
      <c r="B269" s="126" t="str">
        <f t="shared" si="24"/>
        <v>WIP-304L/2B-001X770</v>
      </c>
      <c r="C269" s="126" t="s">
        <v>14</v>
      </c>
      <c r="D269" s="126" t="s">
        <v>358</v>
      </c>
      <c r="E269" s="143" t="s">
        <v>1244</v>
      </c>
      <c r="F269" s="143" t="s">
        <v>1245</v>
      </c>
      <c r="G269" s="126" t="s">
        <v>230</v>
      </c>
      <c r="H269" s="126" t="s">
        <v>116</v>
      </c>
      <c r="I269" s="127">
        <v>3.78</v>
      </c>
      <c r="J269" s="127">
        <v>1.4</v>
      </c>
      <c r="K269" s="127">
        <v>1.38</v>
      </c>
      <c r="L269" s="127">
        <v>1.4</v>
      </c>
      <c r="M269" s="144">
        <v>770</v>
      </c>
      <c r="N269" s="129">
        <v>11.775</v>
      </c>
      <c r="O269" s="129" t="s">
        <v>116</v>
      </c>
      <c r="P269" s="129"/>
      <c r="Q269" s="130" t="s">
        <v>412</v>
      </c>
      <c r="R269" s="131"/>
      <c r="S269" s="131"/>
      <c r="T269" s="132">
        <v>44619</v>
      </c>
      <c r="U269" s="132">
        <v>44619</v>
      </c>
      <c r="V269" s="132">
        <v>44620</v>
      </c>
      <c r="W269" s="132"/>
      <c r="X269" s="132"/>
      <c r="Y269" s="133"/>
      <c r="Z269" s="126" t="s">
        <v>64</v>
      </c>
      <c r="AA269" s="134" t="s">
        <v>154</v>
      </c>
      <c r="AB269" s="134" t="s">
        <v>1246</v>
      </c>
      <c r="AC269" s="134"/>
      <c r="AD269" s="134">
        <v>44496</v>
      </c>
      <c r="AE269" s="134"/>
      <c r="AF269" s="134">
        <f t="shared" ca="1" si="25"/>
        <v>44963</v>
      </c>
      <c r="AG269" s="126">
        <f t="shared" ca="1" si="26"/>
        <v>467</v>
      </c>
      <c r="AH269" s="126">
        <f t="shared" ca="1" si="27"/>
        <v>343</v>
      </c>
      <c r="AI269" s="134"/>
      <c r="AJ269" s="143" t="s">
        <v>1247</v>
      </c>
      <c r="AK269" s="129">
        <v>11.73</v>
      </c>
      <c r="AL269" s="129">
        <v>11.74</v>
      </c>
      <c r="AM269" s="129">
        <v>11.764999999999999</v>
      </c>
      <c r="AN269" s="129">
        <v>11.77</v>
      </c>
      <c r="AO269" s="126">
        <f t="shared" ca="1" si="28"/>
        <v>344</v>
      </c>
      <c r="AR269" s="99" t="s">
        <v>136</v>
      </c>
    </row>
    <row r="270" spans="1:59" s="99" customFormat="1" ht="21" customHeight="1" x14ac:dyDescent="0.35">
      <c r="A270" s="99">
        <v>421</v>
      </c>
      <c r="B270" s="126" t="str">
        <f t="shared" si="24"/>
        <v>WIP-304L/2B-001X770</v>
      </c>
      <c r="C270" s="126" t="s">
        <v>14</v>
      </c>
      <c r="D270" s="126" t="s">
        <v>358</v>
      </c>
      <c r="E270" s="143" t="s">
        <v>1248</v>
      </c>
      <c r="F270" s="143" t="s">
        <v>1249</v>
      </c>
      <c r="G270" s="126" t="s">
        <v>230</v>
      </c>
      <c r="H270" s="126" t="s">
        <v>116</v>
      </c>
      <c r="I270" s="127">
        <v>3.46</v>
      </c>
      <c r="J270" s="127">
        <v>1.1000000000000001</v>
      </c>
      <c r="K270" s="127">
        <v>1.1000000000000001</v>
      </c>
      <c r="L270" s="127">
        <v>1.1100000000000001</v>
      </c>
      <c r="M270" s="144">
        <v>770</v>
      </c>
      <c r="N270" s="129">
        <v>12.18</v>
      </c>
      <c r="O270" s="129" t="s">
        <v>116</v>
      </c>
      <c r="P270" s="129"/>
      <c r="Q270" s="130" t="s">
        <v>1165</v>
      </c>
      <c r="R270" s="131"/>
      <c r="S270" s="131"/>
      <c r="T270" s="132">
        <v>44616</v>
      </c>
      <c r="U270" s="132">
        <v>44618</v>
      </c>
      <c r="V270" s="132">
        <v>44620</v>
      </c>
      <c r="W270" s="132"/>
      <c r="X270" s="132"/>
      <c r="Y270" s="133"/>
      <c r="Z270" s="126" t="s">
        <v>64</v>
      </c>
      <c r="AA270" s="134" t="s">
        <v>154</v>
      </c>
      <c r="AB270" s="134" t="s">
        <v>1246</v>
      </c>
      <c r="AC270" s="134"/>
      <c r="AD270" s="134">
        <v>44496</v>
      </c>
      <c r="AE270" s="134"/>
      <c r="AF270" s="134">
        <f t="shared" ca="1" si="25"/>
        <v>44963</v>
      </c>
      <c r="AG270" s="126">
        <f t="shared" ca="1" si="26"/>
        <v>467</v>
      </c>
      <c r="AH270" s="126">
        <f t="shared" ca="1" si="27"/>
        <v>343</v>
      </c>
      <c r="AI270" s="134"/>
      <c r="AJ270" s="143" t="s">
        <v>1250</v>
      </c>
      <c r="AK270" s="129">
        <v>12.16</v>
      </c>
      <c r="AL270" s="129">
        <v>12.17</v>
      </c>
      <c r="AM270" s="129">
        <v>12.194999999999999</v>
      </c>
      <c r="AN270" s="129">
        <v>12.2</v>
      </c>
      <c r="AO270" s="126">
        <f t="shared" ca="1" si="28"/>
        <v>345</v>
      </c>
      <c r="AR270" s="99" t="s">
        <v>136</v>
      </c>
    </row>
    <row r="271" spans="1:59" s="99" customFormat="1" ht="21" customHeight="1" x14ac:dyDescent="0.35">
      <c r="A271" s="99">
        <v>421</v>
      </c>
      <c r="B271" s="126" t="str">
        <f t="shared" si="24"/>
        <v>WIP-304L/2B-001X770</v>
      </c>
      <c r="C271" s="126" t="s">
        <v>14</v>
      </c>
      <c r="D271" s="126" t="s">
        <v>358</v>
      </c>
      <c r="E271" s="143" t="s">
        <v>1251</v>
      </c>
      <c r="F271" s="143" t="s">
        <v>1252</v>
      </c>
      <c r="G271" s="126" t="s">
        <v>230</v>
      </c>
      <c r="H271" s="126" t="s">
        <v>116</v>
      </c>
      <c r="I271" s="127">
        <v>3.79</v>
      </c>
      <c r="J271" s="127">
        <v>1.42</v>
      </c>
      <c r="K271" s="127">
        <v>1.43</v>
      </c>
      <c r="L271" s="127">
        <v>1.45</v>
      </c>
      <c r="M271" s="144">
        <v>770</v>
      </c>
      <c r="N271" s="129">
        <v>10.36</v>
      </c>
      <c r="O271" s="129" t="s">
        <v>116</v>
      </c>
      <c r="P271" s="129"/>
      <c r="Q271" s="130" t="s">
        <v>284</v>
      </c>
      <c r="R271" s="131"/>
      <c r="S271" s="131"/>
      <c r="T271" s="132">
        <v>44611</v>
      </c>
      <c r="U271" s="132">
        <v>44611</v>
      </c>
      <c r="V271" s="132">
        <v>44613</v>
      </c>
      <c r="W271" s="132"/>
      <c r="X271" s="132"/>
      <c r="Y271" s="133"/>
      <c r="Z271" s="126" t="s">
        <v>64</v>
      </c>
      <c r="AA271" s="134" t="s">
        <v>154</v>
      </c>
      <c r="AB271" s="134" t="s">
        <v>1246</v>
      </c>
      <c r="AC271" s="134"/>
      <c r="AD271" s="134">
        <v>44496</v>
      </c>
      <c r="AE271" s="134"/>
      <c r="AF271" s="134">
        <f t="shared" ca="1" si="25"/>
        <v>44963</v>
      </c>
      <c r="AG271" s="126">
        <f t="shared" ca="1" si="26"/>
        <v>467</v>
      </c>
      <c r="AH271" s="126">
        <f t="shared" ca="1" si="27"/>
        <v>350</v>
      </c>
      <c r="AI271" s="134"/>
      <c r="AJ271" s="143" t="s">
        <v>1253</v>
      </c>
      <c r="AK271" s="129">
        <v>10.36</v>
      </c>
      <c r="AL271" s="129">
        <v>10.37</v>
      </c>
      <c r="AM271" s="129">
        <v>10.394999999999998</v>
      </c>
      <c r="AN271" s="129">
        <v>10.399999999999999</v>
      </c>
      <c r="AO271" s="126">
        <f t="shared" ca="1" si="28"/>
        <v>352</v>
      </c>
      <c r="AR271" s="99" t="s">
        <v>136</v>
      </c>
    </row>
    <row r="272" spans="1:59" s="99" customFormat="1" ht="21" customHeight="1" x14ac:dyDescent="0.35">
      <c r="A272" s="99">
        <v>421</v>
      </c>
      <c r="B272" s="126" t="str">
        <f t="shared" si="24"/>
        <v>RM-304/1D-003X770</v>
      </c>
      <c r="C272" s="126" t="s">
        <v>43</v>
      </c>
      <c r="D272" s="126" t="s">
        <v>43</v>
      </c>
      <c r="E272" s="143" t="s">
        <v>1254</v>
      </c>
      <c r="F272" s="143" t="s">
        <v>1255</v>
      </c>
      <c r="G272" s="126">
        <v>304</v>
      </c>
      <c r="H272" s="126" t="s">
        <v>139</v>
      </c>
      <c r="I272" s="127">
        <v>3.45</v>
      </c>
      <c r="J272" s="127"/>
      <c r="K272" s="127"/>
      <c r="L272" s="127"/>
      <c r="M272" s="144">
        <v>770</v>
      </c>
      <c r="N272" s="129">
        <v>10.26</v>
      </c>
      <c r="O272" s="129"/>
      <c r="P272" s="129"/>
      <c r="Q272" s="130"/>
      <c r="R272" s="131"/>
      <c r="S272" s="131"/>
      <c r="T272" s="132"/>
      <c r="U272" s="132"/>
      <c r="V272" s="132"/>
      <c r="W272" s="132"/>
      <c r="X272" s="132"/>
      <c r="Y272" s="133"/>
      <c r="Z272" s="126" t="s">
        <v>64</v>
      </c>
      <c r="AA272" s="134" t="s">
        <v>154</v>
      </c>
      <c r="AB272" s="134" t="s">
        <v>1256</v>
      </c>
      <c r="AC272" s="134"/>
      <c r="AD272" s="134">
        <v>44496</v>
      </c>
      <c r="AE272" s="134"/>
      <c r="AF272" s="134">
        <f t="shared" ca="1" si="25"/>
        <v>44963</v>
      </c>
      <c r="AG272" s="126">
        <f t="shared" ca="1" si="26"/>
        <v>467</v>
      </c>
      <c r="AH272" s="126" t="str">
        <f t="shared" si="27"/>
        <v/>
      </c>
      <c r="AI272" s="134"/>
      <c r="AJ272" s="143" t="s">
        <v>1257</v>
      </c>
      <c r="AK272" s="129">
        <v>10.26</v>
      </c>
      <c r="AL272" s="129">
        <v>10.27</v>
      </c>
      <c r="AM272" s="129">
        <v>10.294999999999998</v>
      </c>
      <c r="AN272" s="129">
        <v>10.299999999999999</v>
      </c>
      <c r="AO272" s="126" t="str">
        <f t="shared" si="28"/>
        <v/>
      </c>
      <c r="AR272" s="99" t="s">
        <v>136</v>
      </c>
    </row>
    <row r="273" spans="1:59" s="99" customFormat="1" ht="21" customHeight="1" x14ac:dyDescent="0.35">
      <c r="A273" s="99">
        <v>421</v>
      </c>
      <c r="B273" s="126" t="str">
        <f t="shared" si="24"/>
        <v>WIP-304L/2B-001X770</v>
      </c>
      <c r="C273" s="126" t="s">
        <v>14</v>
      </c>
      <c r="D273" s="126" t="s">
        <v>358</v>
      </c>
      <c r="E273" s="143" t="s">
        <v>1258</v>
      </c>
      <c r="F273" s="143" t="s">
        <v>1259</v>
      </c>
      <c r="G273" s="126" t="s">
        <v>230</v>
      </c>
      <c r="H273" s="126" t="s">
        <v>116</v>
      </c>
      <c r="I273" s="127">
        <v>1.88</v>
      </c>
      <c r="J273" s="127">
        <v>0.95</v>
      </c>
      <c r="K273" s="127">
        <v>0.93</v>
      </c>
      <c r="L273" s="127">
        <v>0.95</v>
      </c>
      <c r="M273" s="144">
        <v>770</v>
      </c>
      <c r="N273" s="129">
        <v>5.2850000000000001</v>
      </c>
      <c r="O273" s="129" t="s">
        <v>116</v>
      </c>
      <c r="P273" s="129"/>
      <c r="Q273" s="130" t="s">
        <v>993</v>
      </c>
      <c r="R273" s="131" t="s">
        <v>1143</v>
      </c>
      <c r="S273" s="131" t="s">
        <v>1260</v>
      </c>
      <c r="T273" s="132" t="s">
        <v>1261</v>
      </c>
      <c r="U273" s="132" t="s">
        <v>1261</v>
      </c>
      <c r="V273" s="132" t="s">
        <v>1262</v>
      </c>
      <c r="W273" s="132"/>
      <c r="X273" s="132"/>
      <c r="Y273" s="133"/>
      <c r="Z273" s="126" t="s">
        <v>64</v>
      </c>
      <c r="AA273" s="134" t="s">
        <v>154</v>
      </c>
      <c r="AB273" s="134" t="s">
        <v>1256</v>
      </c>
      <c r="AC273" s="134"/>
      <c r="AD273" s="134">
        <v>44496</v>
      </c>
      <c r="AE273" s="134"/>
      <c r="AF273" s="134">
        <f t="shared" ca="1" si="25"/>
        <v>44963</v>
      </c>
      <c r="AG273" s="126">
        <f t="shared" ca="1" si="26"/>
        <v>467</v>
      </c>
      <c r="AH273" s="126" t="e">
        <f t="shared" ca="1" si="27"/>
        <v>#VALUE!</v>
      </c>
      <c r="AI273" s="134"/>
      <c r="AJ273" s="143" t="s">
        <v>1263</v>
      </c>
      <c r="AK273" s="129">
        <v>10.425000000000001</v>
      </c>
      <c r="AL273" s="129">
        <v>10.435</v>
      </c>
      <c r="AM273" s="129">
        <v>10.459999999999999</v>
      </c>
      <c r="AN273" s="129">
        <v>10.465</v>
      </c>
      <c r="AO273" s="126">
        <f t="shared" ca="1" si="28"/>
        <v>188</v>
      </c>
      <c r="AR273" s="99" t="s">
        <v>136</v>
      </c>
      <c r="BG273" s="135" t="s">
        <v>1264</v>
      </c>
    </row>
    <row r="274" spans="1:59" s="99" customFormat="1" ht="21" customHeight="1" x14ac:dyDescent="0.35">
      <c r="A274" s="99">
        <v>421</v>
      </c>
      <c r="B274" s="126" t="str">
        <f t="shared" si="24"/>
        <v>WIP-304L/2B-001X770</v>
      </c>
      <c r="C274" s="126" t="s">
        <v>14</v>
      </c>
      <c r="D274" s="126" t="s">
        <v>358</v>
      </c>
      <c r="E274" s="143" t="s">
        <v>1265</v>
      </c>
      <c r="F274" s="143" t="s">
        <v>1266</v>
      </c>
      <c r="G274" s="126" t="s">
        <v>230</v>
      </c>
      <c r="H274" s="126" t="s">
        <v>116</v>
      </c>
      <c r="I274" s="127">
        <v>3.7</v>
      </c>
      <c r="J274" s="127">
        <v>1.1000000000000001</v>
      </c>
      <c r="K274" s="127">
        <v>1.08</v>
      </c>
      <c r="L274" s="127">
        <v>1.1000000000000001</v>
      </c>
      <c r="M274" s="144">
        <v>770</v>
      </c>
      <c r="N274" s="129">
        <v>10.475</v>
      </c>
      <c r="O274" s="129" t="s">
        <v>116</v>
      </c>
      <c r="P274" s="129"/>
      <c r="Q274" s="130" t="s">
        <v>412</v>
      </c>
      <c r="R274" s="131"/>
      <c r="S274" s="131"/>
      <c r="T274" s="132">
        <v>44619</v>
      </c>
      <c r="U274" s="132">
        <v>44619</v>
      </c>
      <c r="V274" s="132">
        <v>44620</v>
      </c>
      <c r="W274" s="132"/>
      <c r="X274" s="132"/>
      <c r="Y274" s="133"/>
      <c r="Z274" s="126" t="s">
        <v>64</v>
      </c>
      <c r="AA274" s="134" t="s">
        <v>154</v>
      </c>
      <c r="AB274" s="134" t="s">
        <v>1267</v>
      </c>
      <c r="AC274" s="134"/>
      <c r="AD274" s="134">
        <v>44496</v>
      </c>
      <c r="AE274" s="134"/>
      <c r="AF274" s="134">
        <f t="shared" ca="1" si="25"/>
        <v>44963</v>
      </c>
      <c r="AG274" s="126">
        <f t="shared" ca="1" si="26"/>
        <v>467</v>
      </c>
      <c r="AH274" s="126">
        <f t="shared" ca="1" si="27"/>
        <v>343</v>
      </c>
      <c r="AI274" s="134"/>
      <c r="AJ274" s="143" t="s">
        <v>1268</v>
      </c>
      <c r="AK274" s="129">
        <v>10.484999999999999</v>
      </c>
      <c r="AL274" s="129">
        <v>10.494999999999999</v>
      </c>
      <c r="AM274" s="129">
        <v>10.519999999999998</v>
      </c>
      <c r="AN274" s="129">
        <v>10.524999999999999</v>
      </c>
      <c r="AO274" s="126">
        <f t="shared" ca="1" si="28"/>
        <v>344</v>
      </c>
      <c r="AR274" s="99" t="s">
        <v>136</v>
      </c>
    </row>
    <row r="275" spans="1:59" s="99" customFormat="1" ht="21" customHeight="1" x14ac:dyDescent="0.35">
      <c r="A275" s="99">
        <v>421</v>
      </c>
      <c r="B275" s="126" t="str">
        <f t="shared" si="24"/>
        <v>WIP-304L/2B-001X770</v>
      </c>
      <c r="C275" s="126" t="s">
        <v>14</v>
      </c>
      <c r="D275" s="126" t="s">
        <v>63</v>
      </c>
      <c r="E275" s="143" t="s">
        <v>1269</v>
      </c>
      <c r="F275" s="143" t="s">
        <v>1270</v>
      </c>
      <c r="G275" s="126" t="s">
        <v>230</v>
      </c>
      <c r="H275" s="126" t="s">
        <v>116</v>
      </c>
      <c r="I275" s="127">
        <v>1.2</v>
      </c>
      <c r="J275" s="127">
        <v>0.6</v>
      </c>
      <c r="K275" s="127">
        <v>0.6</v>
      </c>
      <c r="L275" s="127">
        <v>0.62</v>
      </c>
      <c r="M275" s="144">
        <v>770</v>
      </c>
      <c r="N275" s="129">
        <v>2.3199999999999998</v>
      </c>
      <c r="O275" s="129" t="s">
        <v>116</v>
      </c>
      <c r="P275" s="129"/>
      <c r="Q275" s="130" t="s">
        <v>1206</v>
      </c>
      <c r="R275" s="130"/>
      <c r="S275" s="131" t="s">
        <v>1271</v>
      </c>
      <c r="T275" s="132" t="s">
        <v>1272</v>
      </c>
      <c r="U275" s="132" t="s">
        <v>1273</v>
      </c>
      <c r="V275" s="132" t="s">
        <v>1274</v>
      </c>
      <c r="W275" s="132"/>
      <c r="X275" s="132"/>
      <c r="Y275" s="133"/>
      <c r="Z275" s="126" t="s">
        <v>64</v>
      </c>
      <c r="AA275" s="134" t="s">
        <v>154</v>
      </c>
      <c r="AB275" s="134" t="s">
        <v>1267</v>
      </c>
      <c r="AC275" s="134"/>
      <c r="AD275" s="134">
        <v>44496</v>
      </c>
      <c r="AE275" s="134"/>
      <c r="AF275" s="134">
        <f t="shared" ca="1" si="25"/>
        <v>44963</v>
      </c>
      <c r="AG275" s="126">
        <f t="shared" ca="1" si="26"/>
        <v>467</v>
      </c>
      <c r="AH275" s="126" t="e">
        <f t="shared" ca="1" si="27"/>
        <v>#VALUE!</v>
      </c>
      <c r="AI275" s="134"/>
      <c r="AJ275" s="143" t="s">
        <v>1275</v>
      </c>
      <c r="AK275" s="129">
        <v>10.52</v>
      </c>
      <c r="AL275" s="129">
        <v>10.53</v>
      </c>
      <c r="AM275" s="129">
        <v>10.554999999999998</v>
      </c>
      <c r="AN275" s="129">
        <v>10.559999999999999</v>
      </c>
      <c r="AO275" s="126" t="e">
        <f t="shared" ca="1" si="28"/>
        <v>#VALUE!</v>
      </c>
      <c r="AR275" s="99" t="s">
        <v>136</v>
      </c>
      <c r="BG275" s="135" t="s">
        <v>699</v>
      </c>
    </row>
    <row r="276" spans="1:59" s="99" customFormat="1" ht="21" customHeight="1" x14ac:dyDescent="0.35">
      <c r="A276" s="99">
        <v>421</v>
      </c>
      <c r="B276" s="126" t="str">
        <f t="shared" si="24"/>
        <v>RM-316L/1D-004X770</v>
      </c>
      <c r="C276" s="126" t="s">
        <v>43</v>
      </c>
      <c r="D276" s="126" t="s">
        <v>43</v>
      </c>
      <c r="E276" s="143" t="s">
        <v>1276</v>
      </c>
      <c r="F276" s="143" t="s">
        <v>1277</v>
      </c>
      <c r="G276" s="126" t="s">
        <v>148</v>
      </c>
      <c r="H276" s="126" t="s">
        <v>139</v>
      </c>
      <c r="I276" s="127">
        <v>3.79</v>
      </c>
      <c r="J276" s="127"/>
      <c r="K276" s="127"/>
      <c r="L276" s="127"/>
      <c r="M276" s="144">
        <v>770</v>
      </c>
      <c r="N276" s="129">
        <v>10.59</v>
      </c>
      <c r="O276" s="129"/>
      <c r="P276" s="129"/>
      <c r="Q276" s="130"/>
      <c r="R276" s="131"/>
      <c r="S276" s="131"/>
      <c r="T276" s="132"/>
      <c r="U276" s="132"/>
      <c r="V276" s="132"/>
      <c r="W276" s="132"/>
      <c r="X276" s="132"/>
      <c r="Y276" s="133"/>
      <c r="Z276" s="126" t="s">
        <v>64</v>
      </c>
      <c r="AA276" s="134" t="s">
        <v>154</v>
      </c>
      <c r="AB276" s="134" t="s">
        <v>1190</v>
      </c>
      <c r="AC276" s="134"/>
      <c r="AD276" s="134">
        <v>44496</v>
      </c>
      <c r="AE276" s="134"/>
      <c r="AF276" s="134">
        <f t="shared" ca="1" si="25"/>
        <v>44963</v>
      </c>
      <c r="AG276" s="126">
        <f t="shared" ca="1" si="26"/>
        <v>467</v>
      </c>
      <c r="AH276" s="126" t="str">
        <f t="shared" si="27"/>
        <v/>
      </c>
      <c r="AI276" s="134"/>
      <c r="AJ276" s="143" t="s">
        <v>1278</v>
      </c>
      <c r="AK276" s="129">
        <v>10.59</v>
      </c>
      <c r="AL276" s="129">
        <v>10.6</v>
      </c>
      <c r="AM276" s="129">
        <v>10.624999999999998</v>
      </c>
      <c r="AN276" s="129">
        <v>10.629999999999999</v>
      </c>
      <c r="AO276" s="126" t="str">
        <f t="shared" si="28"/>
        <v/>
      </c>
      <c r="AR276" s="99" t="s">
        <v>136</v>
      </c>
    </row>
    <row r="277" spans="1:59" s="99" customFormat="1" ht="21" customHeight="1" x14ac:dyDescent="0.35">
      <c r="A277" s="99">
        <v>421</v>
      </c>
      <c r="B277" s="126" t="str">
        <f t="shared" si="24"/>
        <v>WIP-316L/2B-001X770</v>
      </c>
      <c r="C277" s="126" t="s">
        <v>14</v>
      </c>
      <c r="D277" s="126" t="s">
        <v>113</v>
      </c>
      <c r="E277" s="143" t="s">
        <v>1279</v>
      </c>
      <c r="F277" s="143" t="s">
        <v>1280</v>
      </c>
      <c r="G277" s="126" t="s">
        <v>148</v>
      </c>
      <c r="H277" s="126" t="s">
        <v>116</v>
      </c>
      <c r="I277" s="127">
        <v>3.79</v>
      </c>
      <c r="J277" s="127">
        <v>1.1499999999999999</v>
      </c>
      <c r="K277" s="127">
        <v>1.1299999999999999</v>
      </c>
      <c r="L277" s="127">
        <v>1.1599999999999999</v>
      </c>
      <c r="M277" s="144">
        <v>770</v>
      </c>
      <c r="N277" s="129">
        <v>4.3899999999999997</v>
      </c>
      <c r="O277" s="129" t="s">
        <v>116</v>
      </c>
      <c r="P277" s="129"/>
      <c r="Q277" s="130" t="s">
        <v>117</v>
      </c>
      <c r="R277" s="131" t="s">
        <v>1165</v>
      </c>
      <c r="S277" s="131"/>
      <c r="T277" s="132">
        <v>44530</v>
      </c>
      <c r="U277" s="132">
        <v>44530</v>
      </c>
      <c r="V277" s="132">
        <v>44538</v>
      </c>
      <c r="W277" s="132"/>
      <c r="X277" s="132"/>
      <c r="Y277" s="133"/>
      <c r="Z277" s="126" t="s">
        <v>64</v>
      </c>
      <c r="AA277" s="134" t="s">
        <v>154</v>
      </c>
      <c r="AB277" s="134" t="s">
        <v>1190</v>
      </c>
      <c r="AC277" s="134"/>
      <c r="AD277" s="134">
        <v>44496</v>
      </c>
      <c r="AE277" s="134"/>
      <c r="AF277" s="134">
        <f t="shared" ca="1" si="25"/>
        <v>44963</v>
      </c>
      <c r="AG277" s="126">
        <f t="shared" ca="1" si="26"/>
        <v>467</v>
      </c>
      <c r="AH277" s="126">
        <f t="shared" ca="1" si="27"/>
        <v>425</v>
      </c>
      <c r="AI277" s="134"/>
      <c r="AJ277" s="143" t="s">
        <v>1281</v>
      </c>
      <c r="AK277" s="129">
        <v>10.58</v>
      </c>
      <c r="AL277" s="129">
        <v>10.59</v>
      </c>
      <c r="AM277" s="129">
        <v>10.614999999999998</v>
      </c>
      <c r="AN277" s="129">
        <v>10.62</v>
      </c>
      <c r="AO277" s="126">
        <f t="shared" ca="1" si="28"/>
        <v>433</v>
      </c>
      <c r="AR277" s="99" t="s">
        <v>136</v>
      </c>
    </row>
    <row r="278" spans="1:59" s="99" customFormat="1" ht="21" customHeight="1" x14ac:dyDescent="0.35">
      <c r="A278" s="99">
        <v>422</v>
      </c>
      <c r="B278" s="126" t="str">
        <f t="shared" si="24"/>
        <v>WIP-304L/2B-001X770</v>
      </c>
      <c r="C278" s="126" t="s">
        <v>14</v>
      </c>
      <c r="D278" s="126" t="s">
        <v>396</v>
      </c>
      <c r="E278" s="143" t="s">
        <v>1282</v>
      </c>
      <c r="F278" s="143" t="s">
        <v>1283</v>
      </c>
      <c r="G278" s="126" t="s">
        <v>230</v>
      </c>
      <c r="H278" s="126" t="s">
        <v>116</v>
      </c>
      <c r="I278" s="127">
        <v>3.8</v>
      </c>
      <c r="J278" s="127">
        <v>1.2</v>
      </c>
      <c r="K278" s="127">
        <v>1.2</v>
      </c>
      <c r="L278" s="127">
        <v>1.21</v>
      </c>
      <c r="M278" s="144">
        <v>770</v>
      </c>
      <c r="N278" s="129">
        <v>3.74</v>
      </c>
      <c r="O278" s="129" t="s">
        <v>116</v>
      </c>
      <c r="P278" s="129"/>
      <c r="Q278" s="130" t="s">
        <v>361</v>
      </c>
      <c r="R278" s="131" t="s">
        <v>1284</v>
      </c>
      <c r="S278" s="131" t="s">
        <v>1285</v>
      </c>
      <c r="T278" s="132">
        <v>44549</v>
      </c>
      <c r="U278" s="132">
        <v>44550</v>
      </c>
      <c r="V278" s="132">
        <v>44564</v>
      </c>
      <c r="W278" s="132"/>
      <c r="X278" s="132"/>
      <c r="Y278" s="133"/>
      <c r="Z278" s="126" t="s">
        <v>64</v>
      </c>
      <c r="AA278" s="134" t="s">
        <v>154</v>
      </c>
      <c r="AB278" s="134" t="s">
        <v>1267</v>
      </c>
      <c r="AC278" s="134"/>
      <c r="AD278" s="134">
        <v>44516</v>
      </c>
      <c r="AE278" s="134"/>
      <c r="AF278" s="134">
        <f t="shared" ca="1" si="25"/>
        <v>44963</v>
      </c>
      <c r="AG278" s="126">
        <f t="shared" ca="1" si="26"/>
        <v>447</v>
      </c>
      <c r="AH278" s="126">
        <f t="shared" ca="1" si="27"/>
        <v>399</v>
      </c>
      <c r="AI278" s="134"/>
      <c r="AJ278" s="143" t="s">
        <v>1286</v>
      </c>
      <c r="AK278" s="129">
        <v>11.865</v>
      </c>
      <c r="AL278" s="129">
        <v>11.875</v>
      </c>
      <c r="AM278" s="129">
        <v>11.899999999999999</v>
      </c>
      <c r="AN278" s="129">
        <v>11.904999999999999</v>
      </c>
      <c r="AO278" s="126">
        <f t="shared" ca="1" si="28"/>
        <v>413</v>
      </c>
      <c r="AR278" s="99" t="s">
        <v>136</v>
      </c>
    </row>
    <row r="279" spans="1:59" s="99" customFormat="1" ht="21" customHeight="1" x14ac:dyDescent="0.35">
      <c r="A279" s="99">
        <v>422</v>
      </c>
      <c r="B279" s="126" t="str">
        <f t="shared" si="24"/>
        <v>WIP-304/2B-002X770</v>
      </c>
      <c r="C279" s="126" t="s">
        <v>14</v>
      </c>
      <c r="D279" s="126" t="s">
        <v>113</v>
      </c>
      <c r="E279" s="143" t="s">
        <v>1287</v>
      </c>
      <c r="F279" s="143" t="s">
        <v>1288</v>
      </c>
      <c r="G279" s="126">
        <v>304</v>
      </c>
      <c r="H279" s="126" t="s">
        <v>116</v>
      </c>
      <c r="I279" s="127">
        <v>3.8</v>
      </c>
      <c r="J279" s="127">
        <v>1.58</v>
      </c>
      <c r="K279" s="127">
        <v>1.56</v>
      </c>
      <c r="L279" s="127">
        <v>1.58</v>
      </c>
      <c r="M279" s="144">
        <v>770</v>
      </c>
      <c r="N279" s="129">
        <v>4.7699999999999996</v>
      </c>
      <c r="O279" s="129" t="s">
        <v>116</v>
      </c>
      <c r="P279" s="129"/>
      <c r="Q279" s="130" t="s">
        <v>117</v>
      </c>
      <c r="R279" s="130" t="s">
        <v>267</v>
      </c>
      <c r="S279" s="131"/>
      <c r="T279" s="132">
        <v>44566</v>
      </c>
      <c r="U279" s="132">
        <v>44566</v>
      </c>
      <c r="V279" s="132">
        <v>44582</v>
      </c>
      <c r="W279" s="132"/>
      <c r="X279" s="132"/>
      <c r="Y279" s="133"/>
      <c r="Z279" s="126" t="s">
        <v>64</v>
      </c>
      <c r="AA279" s="134" t="s">
        <v>154</v>
      </c>
      <c r="AB279" s="134" t="s">
        <v>1256</v>
      </c>
      <c r="AC279" s="134"/>
      <c r="AD279" s="134">
        <v>44516</v>
      </c>
      <c r="AE279" s="134"/>
      <c r="AF279" s="134">
        <f t="shared" ca="1" si="25"/>
        <v>44963</v>
      </c>
      <c r="AG279" s="126">
        <f t="shared" ca="1" si="26"/>
        <v>447</v>
      </c>
      <c r="AH279" s="126">
        <f t="shared" ca="1" si="27"/>
        <v>381</v>
      </c>
      <c r="AI279" s="134"/>
      <c r="AJ279" s="143" t="s">
        <v>1289</v>
      </c>
      <c r="AK279" s="129">
        <v>10.27</v>
      </c>
      <c r="AL279" s="129">
        <v>10.28</v>
      </c>
      <c r="AM279" s="129">
        <v>10.304999999999998</v>
      </c>
      <c r="AN279" s="129">
        <v>10.309999999999999</v>
      </c>
      <c r="AO279" s="126">
        <f t="shared" ca="1" si="28"/>
        <v>397</v>
      </c>
      <c r="AR279" s="99" t="s">
        <v>136</v>
      </c>
    </row>
    <row r="280" spans="1:59" s="99" customFormat="1" ht="21" customHeight="1" x14ac:dyDescent="0.35">
      <c r="A280" s="99">
        <v>422</v>
      </c>
      <c r="B280" s="126" t="str">
        <f t="shared" si="24"/>
        <v>WIP-304/2B-001X768</v>
      </c>
      <c r="C280" s="126" t="s">
        <v>14</v>
      </c>
      <c r="D280" s="126" t="s">
        <v>358</v>
      </c>
      <c r="E280" s="143" t="s">
        <v>1290</v>
      </c>
      <c r="F280" s="143" t="s">
        <v>1291</v>
      </c>
      <c r="G280" s="126">
        <v>304</v>
      </c>
      <c r="H280" s="126" t="s">
        <v>116</v>
      </c>
      <c r="I280" s="127">
        <v>1.98</v>
      </c>
      <c r="J280" s="127">
        <v>0.95</v>
      </c>
      <c r="K280" s="127">
        <v>0.93</v>
      </c>
      <c r="L280" s="127">
        <v>0.95</v>
      </c>
      <c r="M280" s="144">
        <v>768</v>
      </c>
      <c r="N280" s="129">
        <v>10.385</v>
      </c>
      <c r="O280" s="129" t="s">
        <v>116</v>
      </c>
      <c r="P280" s="129"/>
      <c r="Q280" s="130" t="s">
        <v>1292</v>
      </c>
      <c r="R280" s="130" t="s">
        <v>267</v>
      </c>
      <c r="S280" s="131" t="s">
        <v>1293</v>
      </c>
      <c r="T280" s="132" t="s">
        <v>1294</v>
      </c>
      <c r="U280" s="132" t="s">
        <v>1294</v>
      </c>
      <c r="V280" s="132" t="s">
        <v>1295</v>
      </c>
      <c r="W280" s="132"/>
      <c r="X280" s="132"/>
      <c r="Y280" s="133"/>
      <c r="Z280" s="126" t="s">
        <v>64</v>
      </c>
      <c r="AA280" s="134" t="s">
        <v>154</v>
      </c>
      <c r="AB280" s="134" t="s">
        <v>1296</v>
      </c>
      <c r="AC280" s="134"/>
      <c r="AD280" s="134">
        <v>44516</v>
      </c>
      <c r="AE280" s="134"/>
      <c r="AF280" s="134">
        <f t="shared" ca="1" si="25"/>
        <v>44963</v>
      </c>
      <c r="AG280" s="126">
        <f t="shared" ca="1" si="26"/>
        <v>447</v>
      </c>
      <c r="AH280" s="126" t="e">
        <f t="shared" ca="1" si="27"/>
        <v>#VALUE!</v>
      </c>
      <c r="AI280" s="134"/>
      <c r="AJ280" s="143" t="s">
        <v>1297</v>
      </c>
      <c r="AK280" s="129">
        <v>10.425000000000001</v>
      </c>
      <c r="AL280" s="129">
        <v>10.435</v>
      </c>
      <c r="AM280" s="129">
        <v>10.459999999999999</v>
      </c>
      <c r="AN280" s="129">
        <v>10.465</v>
      </c>
      <c r="AO280" s="126">
        <f t="shared" ca="1" si="28"/>
        <v>188</v>
      </c>
      <c r="AR280" s="99" t="s">
        <v>136</v>
      </c>
    </row>
    <row r="281" spans="1:59" s="99" customFormat="1" ht="21" customHeight="1" x14ac:dyDescent="0.35">
      <c r="A281" s="99">
        <v>422</v>
      </c>
      <c r="B281" s="126" t="str">
        <f t="shared" si="24"/>
        <v>WIP-304L/2B-001X767</v>
      </c>
      <c r="C281" s="126" t="s">
        <v>14</v>
      </c>
      <c r="D281" s="126" t="s">
        <v>358</v>
      </c>
      <c r="E281" s="143" t="s">
        <v>1298</v>
      </c>
      <c r="F281" s="143" t="s">
        <v>1299</v>
      </c>
      <c r="G281" s="126" t="s">
        <v>230</v>
      </c>
      <c r="H281" s="126" t="s">
        <v>116</v>
      </c>
      <c r="I281" s="127">
        <v>3.46</v>
      </c>
      <c r="J281" s="127">
        <v>1.2</v>
      </c>
      <c r="K281" s="149">
        <v>1.1399999999999999</v>
      </c>
      <c r="L281" s="149">
        <v>1.1599999999999999</v>
      </c>
      <c r="M281" s="144">
        <v>767</v>
      </c>
      <c r="N281" s="129">
        <v>10.435</v>
      </c>
      <c r="O281" s="129" t="s">
        <v>116</v>
      </c>
      <c r="P281" s="150"/>
      <c r="Q281" s="130" t="s">
        <v>446</v>
      </c>
      <c r="R281" s="130" t="s">
        <v>1134</v>
      </c>
      <c r="S281" s="131" t="s">
        <v>1300</v>
      </c>
      <c r="T281" s="132">
        <v>44575</v>
      </c>
      <c r="U281" s="132">
        <v>44576</v>
      </c>
      <c r="V281" s="132">
        <v>44593</v>
      </c>
      <c r="W281" s="132"/>
      <c r="X281" s="132"/>
      <c r="Y281" s="133"/>
      <c r="Z281" s="126" t="s">
        <v>64</v>
      </c>
      <c r="AA281" s="134" t="s">
        <v>154</v>
      </c>
      <c r="AB281" s="134" t="s">
        <v>1296</v>
      </c>
      <c r="AC281" s="134"/>
      <c r="AD281" s="134">
        <v>44516</v>
      </c>
      <c r="AE281" s="134"/>
      <c r="AF281" s="134">
        <f t="shared" ca="1" si="25"/>
        <v>44963</v>
      </c>
      <c r="AG281" s="126">
        <f t="shared" ca="1" si="26"/>
        <v>447</v>
      </c>
      <c r="AH281" s="126">
        <f t="shared" ca="1" si="27"/>
        <v>370</v>
      </c>
      <c r="AI281" s="134"/>
      <c r="AJ281" s="143" t="s">
        <v>1301</v>
      </c>
      <c r="AK281" s="129">
        <v>10.475</v>
      </c>
      <c r="AL281" s="129">
        <v>10.484999999999999</v>
      </c>
      <c r="AM281" s="129">
        <v>10.509999999999998</v>
      </c>
      <c r="AN281" s="129">
        <v>10.514999999999999</v>
      </c>
      <c r="AO281" s="126">
        <f t="shared" ca="1" si="28"/>
        <v>387</v>
      </c>
      <c r="AR281" s="99" t="s">
        <v>136</v>
      </c>
    </row>
    <row r="282" spans="1:59" s="99" customFormat="1" ht="21" customHeight="1" x14ac:dyDescent="0.35">
      <c r="A282" s="99">
        <v>422</v>
      </c>
      <c r="B282" s="126" t="str">
        <f t="shared" si="24"/>
        <v>WIP-304L/2B-001X765</v>
      </c>
      <c r="C282" s="126" t="s">
        <v>14</v>
      </c>
      <c r="D282" s="126" t="s">
        <v>358</v>
      </c>
      <c r="E282" s="143" t="s">
        <v>1302</v>
      </c>
      <c r="F282" s="143" t="s">
        <v>1303</v>
      </c>
      <c r="G282" s="126" t="s">
        <v>230</v>
      </c>
      <c r="H282" s="126" t="s">
        <v>116</v>
      </c>
      <c r="I282" s="127">
        <v>2.9</v>
      </c>
      <c r="J282" s="127">
        <v>0.95</v>
      </c>
      <c r="K282" s="127">
        <v>0.93</v>
      </c>
      <c r="L282" s="127">
        <v>0.95</v>
      </c>
      <c r="M282" s="144">
        <v>765</v>
      </c>
      <c r="N282" s="129">
        <v>8.5050000000000008</v>
      </c>
      <c r="O282" s="129" t="s">
        <v>116</v>
      </c>
      <c r="P282" s="129"/>
      <c r="Q282" s="130" t="s">
        <v>993</v>
      </c>
      <c r="R282" s="131"/>
      <c r="S282" s="131"/>
      <c r="T282" s="132">
        <v>44600</v>
      </c>
      <c r="U282" s="132">
        <v>44600</v>
      </c>
      <c r="V282" s="132">
        <v>44619</v>
      </c>
      <c r="W282" s="132"/>
      <c r="X282" s="132"/>
      <c r="Y282" s="133"/>
      <c r="Z282" s="126" t="s">
        <v>64</v>
      </c>
      <c r="AA282" s="134" t="s">
        <v>154</v>
      </c>
      <c r="AB282" s="134" t="s">
        <v>1296</v>
      </c>
      <c r="AC282" s="134"/>
      <c r="AD282" s="134">
        <v>44516</v>
      </c>
      <c r="AE282" s="134"/>
      <c r="AF282" s="134">
        <f t="shared" ca="1" si="25"/>
        <v>44963</v>
      </c>
      <c r="AG282" s="126">
        <f t="shared" ca="1" si="26"/>
        <v>447</v>
      </c>
      <c r="AH282" s="126">
        <f t="shared" ca="1" si="27"/>
        <v>344</v>
      </c>
      <c r="AI282" s="134"/>
      <c r="AJ282" s="143" t="s">
        <v>1304</v>
      </c>
      <c r="AK282" s="129">
        <v>8.5350000000000001</v>
      </c>
      <c r="AL282" s="129">
        <v>8.5449999999999999</v>
      </c>
      <c r="AM282" s="129">
        <v>8.5699999999999985</v>
      </c>
      <c r="AN282" s="129">
        <v>8.5749999999999993</v>
      </c>
      <c r="AO282" s="126">
        <f t="shared" ca="1" si="28"/>
        <v>363</v>
      </c>
      <c r="AR282" s="99" t="s">
        <v>136</v>
      </c>
    </row>
    <row r="283" spans="1:59" s="99" customFormat="1" ht="21" customHeight="1" x14ac:dyDescent="0.35">
      <c r="A283" s="99">
        <v>422</v>
      </c>
      <c r="B283" s="126" t="str">
        <f t="shared" si="24"/>
        <v>RM-304L/1D-003X766</v>
      </c>
      <c r="C283" s="126" t="s">
        <v>43</v>
      </c>
      <c r="D283" s="126" t="s">
        <v>43</v>
      </c>
      <c r="E283" s="143" t="s">
        <v>1305</v>
      </c>
      <c r="F283" s="143" t="s">
        <v>1306</v>
      </c>
      <c r="G283" s="126" t="s">
        <v>230</v>
      </c>
      <c r="H283" s="126" t="s">
        <v>139</v>
      </c>
      <c r="I283" s="127">
        <v>2.89</v>
      </c>
      <c r="J283" s="127"/>
      <c r="K283" s="127"/>
      <c r="L283" s="127"/>
      <c r="M283" s="144">
        <v>766</v>
      </c>
      <c r="N283" s="129">
        <v>8.32</v>
      </c>
      <c r="O283" s="129"/>
      <c r="P283" s="129"/>
      <c r="Q283" s="130"/>
      <c r="R283" s="131"/>
      <c r="S283" s="131"/>
      <c r="T283" s="132"/>
      <c r="U283" s="132"/>
      <c r="V283" s="132"/>
      <c r="W283" s="132"/>
      <c r="X283" s="132"/>
      <c r="Y283" s="133"/>
      <c r="Z283" s="126" t="s">
        <v>64</v>
      </c>
      <c r="AA283" s="134" t="s">
        <v>154</v>
      </c>
      <c r="AB283" s="134" t="s">
        <v>1296</v>
      </c>
      <c r="AC283" s="134"/>
      <c r="AD283" s="134">
        <v>44516</v>
      </c>
      <c r="AE283" s="134"/>
      <c r="AF283" s="134">
        <f t="shared" ca="1" si="25"/>
        <v>44963</v>
      </c>
      <c r="AG283" s="126">
        <f t="shared" ca="1" si="26"/>
        <v>447</v>
      </c>
      <c r="AH283" s="126" t="str">
        <f t="shared" si="27"/>
        <v/>
      </c>
      <c r="AI283" s="134"/>
      <c r="AJ283" s="143" t="s">
        <v>1307</v>
      </c>
      <c r="AK283" s="129">
        <v>8.32</v>
      </c>
      <c r="AL283" s="129">
        <v>8.33</v>
      </c>
      <c r="AM283" s="129">
        <v>8.3549999999999986</v>
      </c>
      <c r="AN283" s="129">
        <v>8.36</v>
      </c>
      <c r="AO283" s="126" t="str">
        <f t="shared" si="28"/>
        <v/>
      </c>
      <c r="AR283" s="99" t="s">
        <v>136</v>
      </c>
    </row>
    <row r="284" spans="1:59" s="99" customFormat="1" ht="21" customHeight="1" x14ac:dyDescent="0.35">
      <c r="A284" s="99">
        <v>422</v>
      </c>
      <c r="B284" s="126" t="str">
        <f t="shared" si="24"/>
        <v>WIP-304L/2B-001X768</v>
      </c>
      <c r="C284" s="126" t="s">
        <v>14</v>
      </c>
      <c r="D284" s="126" t="s">
        <v>358</v>
      </c>
      <c r="E284" s="143" t="s">
        <v>1308</v>
      </c>
      <c r="F284" s="143" t="s">
        <v>1309</v>
      </c>
      <c r="G284" s="126" t="s">
        <v>230</v>
      </c>
      <c r="H284" s="126" t="s">
        <v>116</v>
      </c>
      <c r="I284" s="127">
        <v>2.9</v>
      </c>
      <c r="J284" s="127">
        <v>0.9</v>
      </c>
      <c r="K284" s="127">
        <v>0.89</v>
      </c>
      <c r="L284" s="127">
        <v>0.92</v>
      </c>
      <c r="M284" s="144">
        <v>768</v>
      </c>
      <c r="N284" s="129">
        <v>6.875</v>
      </c>
      <c r="O284" s="129" t="s">
        <v>116</v>
      </c>
      <c r="P284" s="129"/>
      <c r="Q284" s="130" t="s">
        <v>1165</v>
      </c>
      <c r="R284" s="131"/>
      <c r="S284" s="131"/>
      <c r="T284" s="132">
        <v>44617</v>
      </c>
      <c r="U284" s="132">
        <v>44619</v>
      </c>
      <c r="V284" s="132">
        <v>44619</v>
      </c>
      <c r="W284" s="132"/>
      <c r="X284" s="132"/>
      <c r="Y284" s="133"/>
      <c r="Z284" s="126" t="s">
        <v>64</v>
      </c>
      <c r="AA284" s="134" t="s">
        <v>154</v>
      </c>
      <c r="AB284" s="134" t="s">
        <v>1296</v>
      </c>
      <c r="AC284" s="134"/>
      <c r="AD284" s="134">
        <v>44516</v>
      </c>
      <c r="AE284" s="134"/>
      <c r="AF284" s="134">
        <f t="shared" ca="1" si="25"/>
        <v>44963</v>
      </c>
      <c r="AG284" s="126">
        <f t="shared" ca="1" si="26"/>
        <v>447</v>
      </c>
      <c r="AH284" s="126">
        <f t="shared" ca="1" si="27"/>
        <v>344</v>
      </c>
      <c r="AI284" s="134"/>
      <c r="AJ284" s="143" t="s">
        <v>1310</v>
      </c>
      <c r="AK284" s="129">
        <v>6.89</v>
      </c>
      <c r="AL284" s="129">
        <v>6.9</v>
      </c>
      <c r="AM284" s="129">
        <v>6.9250000000000007</v>
      </c>
      <c r="AN284" s="129">
        <v>6.9300000000000006</v>
      </c>
      <c r="AO284" s="126">
        <f t="shared" ca="1" si="28"/>
        <v>344</v>
      </c>
      <c r="AR284" s="99" t="s">
        <v>136</v>
      </c>
    </row>
    <row r="285" spans="1:59" s="99" customFormat="1" ht="21" customHeight="1" x14ac:dyDescent="0.35">
      <c r="A285" s="99">
        <v>422</v>
      </c>
      <c r="B285" s="126" t="str">
        <f t="shared" si="24"/>
        <v>WIP-304L/2B-002X767</v>
      </c>
      <c r="C285" s="126" t="s">
        <v>14</v>
      </c>
      <c r="D285" s="126" t="s">
        <v>358</v>
      </c>
      <c r="E285" s="143" t="s">
        <v>1311</v>
      </c>
      <c r="F285" s="143" t="s">
        <v>1312</v>
      </c>
      <c r="G285" s="126" t="s">
        <v>230</v>
      </c>
      <c r="H285" s="126" t="s">
        <v>116</v>
      </c>
      <c r="I285" s="127">
        <v>3.81</v>
      </c>
      <c r="J285" s="127">
        <v>1.89</v>
      </c>
      <c r="K285" s="127">
        <v>1.87</v>
      </c>
      <c r="L285" s="127">
        <v>1.89</v>
      </c>
      <c r="M285" s="144">
        <v>767</v>
      </c>
      <c r="N285" s="129">
        <v>6.3849999999999998</v>
      </c>
      <c r="O285" s="129" t="s">
        <v>116</v>
      </c>
      <c r="P285" s="129"/>
      <c r="Q285" s="130" t="s">
        <v>117</v>
      </c>
      <c r="R285" s="130" t="s">
        <v>1313</v>
      </c>
      <c r="S285" s="131"/>
      <c r="T285" s="132">
        <v>44599</v>
      </c>
      <c r="U285" s="132">
        <v>44599</v>
      </c>
      <c r="V285" s="132">
        <v>44600</v>
      </c>
      <c r="W285" s="132"/>
      <c r="X285" s="132"/>
      <c r="Y285" s="133"/>
      <c r="Z285" s="126" t="s">
        <v>64</v>
      </c>
      <c r="AA285" s="134" t="s">
        <v>154</v>
      </c>
      <c r="AB285" s="134" t="s">
        <v>1296</v>
      </c>
      <c r="AC285" s="134"/>
      <c r="AD285" s="134">
        <v>44516</v>
      </c>
      <c r="AE285" s="134"/>
      <c r="AF285" s="134">
        <f t="shared" ca="1" si="25"/>
        <v>44963</v>
      </c>
      <c r="AG285" s="126">
        <f t="shared" ca="1" si="26"/>
        <v>447</v>
      </c>
      <c r="AH285" s="126">
        <f t="shared" ca="1" si="27"/>
        <v>363</v>
      </c>
      <c r="AI285" s="134"/>
      <c r="AJ285" s="143" t="s">
        <v>1314</v>
      </c>
      <c r="AK285" s="129">
        <v>10.43</v>
      </c>
      <c r="AL285" s="129">
        <v>10.44</v>
      </c>
      <c r="AM285" s="129">
        <v>10.464999999999998</v>
      </c>
      <c r="AN285" s="129">
        <v>10.469999999999999</v>
      </c>
      <c r="AO285" s="126">
        <f t="shared" ca="1" si="28"/>
        <v>364</v>
      </c>
      <c r="AR285" s="99" t="s">
        <v>136</v>
      </c>
    </row>
    <row r="286" spans="1:59" s="99" customFormat="1" ht="21" customHeight="1" x14ac:dyDescent="0.35">
      <c r="A286" s="99">
        <v>422</v>
      </c>
      <c r="B286" s="126" t="str">
        <f t="shared" si="24"/>
        <v>WIP-304/2B-001X776</v>
      </c>
      <c r="C286" s="126" t="s">
        <v>14</v>
      </c>
      <c r="D286" s="126" t="s">
        <v>358</v>
      </c>
      <c r="E286" s="143" t="s">
        <v>1315</v>
      </c>
      <c r="F286" s="143" t="s">
        <v>1316</v>
      </c>
      <c r="G286" s="126">
        <v>304</v>
      </c>
      <c r="H286" s="126" t="s">
        <v>116</v>
      </c>
      <c r="I286" s="127">
        <v>3.67</v>
      </c>
      <c r="J286" s="127">
        <v>1.45</v>
      </c>
      <c r="K286" s="127">
        <v>1.44</v>
      </c>
      <c r="L286" s="127">
        <v>1.46</v>
      </c>
      <c r="M286" s="144">
        <v>776</v>
      </c>
      <c r="N286" s="129">
        <v>4.55</v>
      </c>
      <c r="O286" s="129" t="s">
        <v>116</v>
      </c>
      <c r="P286" s="129"/>
      <c r="Q286" s="130" t="s">
        <v>446</v>
      </c>
      <c r="R286" s="131"/>
      <c r="S286" s="131"/>
      <c r="T286" s="132">
        <v>44565</v>
      </c>
      <c r="U286" s="132">
        <v>44566</v>
      </c>
      <c r="V286" s="132">
        <v>44591</v>
      </c>
      <c r="W286" s="132"/>
      <c r="X286" s="132"/>
      <c r="Y286" s="133"/>
      <c r="Z286" s="126" t="s">
        <v>64</v>
      </c>
      <c r="AA286" s="134" t="s">
        <v>154</v>
      </c>
      <c r="AB286" s="134" t="s">
        <v>1296</v>
      </c>
      <c r="AC286" s="134"/>
      <c r="AD286" s="134">
        <v>44516</v>
      </c>
      <c r="AE286" s="134"/>
      <c r="AF286" s="134">
        <f t="shared" ca="1" si="25"/>
        <v>44963</v>
      </c>
      <c r="AG286" s="126">
        <f t="shared" ca="1" si="26"/>
        <v>447</v>
      </c>
      <c r="AH286" s="126">
        <f t="shared" ca="1" si="27"/>
        <v>372</v>
      </c>
      <c r="AI286" s="134"/>
      <c r="AJ286" s="143" t="s">
        <v>1317</v>
      </c>
      <c r="AK286" s="129">
        <v>10.64</v>
      </c>
      <c r="AL286" s="129">
        <v>10.65</v>
      </c>
      <c r="AM286" s="129">
        <v>10.674999999999999</v>
      </c>
      <c r="AN286" s="129">
        <v>10.68</v>
      </c>
      <c r="AO286" s="126">
        <f t="shared" ca="1" si="28"/>
        <v>397</v>
      </c>
      <c r="AR286" s="99" t="s">
        <v>136</v>
      </c>
    </row>
    <row r="287" spans="1:59" s="99" customFormat="1" ht="21" customHeight="1" x14ac:dyDescent="0.35">
      <c r="A287" s="99">
        <v>422</v>
      </c>
      <c r="B287" s="126" t="str">
        <f t="shared" si="24"/>
        <v>WIP-304L/2B-001X774</v>
      </c>
      <c r="C287" s="126" t="s">
        <v>14</v>
      </c>
      <c r="D287" s="126" t="s">
        <v>358</v>
      </c>
      <c r="E287" s="143" t="s">
        <v>1318</v>
      </c>
      <c r="F287" s="143" t="s">
        <v>1319</v>
      </c>
      <c r="G287" s="126" t="s">
        <v>230</v>
      </c>
      <c r="H287" s="126" t="s">
        <v>116</v>
      </c>
      <c r="I287" s="127">
        <v>3.48</v>
      </c>
      <c r="J287" s="127">
        <v>1.1499999999999999</v>
      </c>
      <c r="K287" s="149">
        <v>1.1299999999999999</v>
      </c>
      <c r="L287" s="149">
        <v>1.1599999999999999</v>
      </c>
      <c r="M287" s="144">
        <v>774</v>
      </c>
      <c r="N287" s="129">
        <v>8.0299999999999994</v>
      </c>
      <c r="O287" s="129" t="s">
        <v>116</v>
      </c>
      <c r="P287" s="129"/>
      <c r="Q287" s="130" t="s">
        <v>446</v>
      </c>
      <c r="R287" s="131"/>
      <c r="S287" s="131"/>
      <c r="T287" s="132">
        <v>44563</v>
      </c>
      <c r="U287" s="132">
        <v>44563</v>
      </c>
      <c r="V287" s="132">
        <v>44588</v>
      </c>
      <c r="W287" s="132"/>
      <c r="X287" s="132"/>
      <c r="Y287" s="133"/>
      <c r="Z287" s="126" t="s">
        <v>64</v>
      </c>
      <c r="AA287" s="134" t="s">
        <v>154</v>
      </c>
      <c r="AB287" s="134" t="s">
        <v>1296</v>
      </c>
      <c r="AC287" s="134"/>
      <c r="AD287" s="134">
        <v>44516</v>
      </c>
      <c r="AE287" s="134"/>
      <c r="AF287" s="134">
        <f t="shared" ca="1" si="25"/>
        <v>44963</v>
      </c>
      <c r="AG287" s="126">
        <f t="shared" ca="1" si="26"/>
        <v>447</v>
      </c>
      <c r="AH287" s="126">
        <f t="shared" ca="1" si="27"/>
        <v>375</v>
      </c>
      <c r="AI287" s="134"/>
      <c r="AJ287" s="143" t="s">
        <v>1320</v>
      </c>
      <c r="AK287" s="129">
        <v>12.055</v>
      </c>
      <c r="AL287" s="129">
        <v>12.065</v>
      </c>
      <c r="AM287" s="129">
        <v>12.089999999999998</v>
      </c>
      <c r="AN287" s="129">
        <v>12.094999999999999</v>
      </c>
      <c r="AO287" s="126">
        <f t="shared" ca="1" si="28"/>
        <v>400</v>
      </c>
      <c r="AR287" s="99" t="s">
        <v>136</v>
      </c>
    </row>
    <row r="288" spans="1:59" s="99" customFormat="1" ht="21" customHeight="1" x14ac:dyDescent="0.35">
      <c r="A288" s="99">
        <v>422</v>
      </c>
      <c r="B288" s="126" t="str">
        <f t="shared" si="24"/>
        <v>WIP-304/2B-001X770</v>
      </c>
      <c r="C288" s="126" t="s">
        <v>14</v>
      </c>
      <c r="D288" s="126" t="s">
        <v>358</v>
      </c>
      <c r="E288" s="143" t="s">
        <v>1321</v>
      </c>
      <c r="F288" s="143" t="s">
        <v>1322</v>
      </c>
      <c r="G288" s="126">
        <v>304</v>
      </c>
      <c r="H288" s="126" t="s">
        <v>116</v>
      </c>
      <c r="I288" s="127">
        <v>3.79</v>
      </c>
      <c r="J288" s="127">
        <v>1.4</v>
      </c>
      <c r="K288" s="127">
        <v>1.38</v>
      </c>
      <c r="L288" s="127">
        <v>1.4</v>
      </c>
      <c r="M288" s="144">
        <v>770</v>
      </c>
      <c r="N288" s="129">
        <v>10.42</v>
      </c>
      <c r="O288" s="129" t="s">
        <v>116</v>
      </c>
      <c r="P288" s="129"/>
      <c r="Q288" s="130" t="s">
        <v>412</v>
      </c>
      <c r="R288" s="131"/>
      <c r="S288" s="131"/>
      <c r="T288" s="132">
        <v>44570</v>
      </c>
      <c r="U288" s="132">
        <v>44570</v>
      </c>
      <c r="V288" s="132">
        <v>44614</v>
      </c>
      <c r="W288" s="132"/>
      <c r="X288" s="132"/>
      <c r="Y288" s="133"/>
      <c r="Z288" s="126" t="s">
        <v>64</v>
      </c>
      <c r="AA288" s="134" t="s">
        <v>154</v>
      </c>
      <c r="AB288" s="134" t="s">
        <v>1296</v>
      </c>
      <c r="AC288" s="134"/>
      <c r="AD288" s="134">
        <v>44516</v>
      </c>
      <c r="AE288" s="134"/>
      <c r="AF288" s="134">
        <f t="shared" ca="1" si="25"/>
        <v>44963</v>
      </c>
      <c r="AG288" s="126">
        <f t="shared" ca="1" si="26"/>
        <v>447</v>
      </c>
      <c r="AH288" s="126">
        <f t="shared" ca="1" si="27"/>
        <v>349</v>
      </c>
      <c r="AI288" s="134"/>
      <c r="AJ288" s="143" t="s">
        <v>1323</v>
      </c>
      <c r="AK288" s="129">
        <v>10.44</v>
      </c>
      <c r="AL288" s="129">
        <v>10.45</v>
      </c>
      <c r="AM288" s="129">
        <v>10.474999999999998</v>
      </c>
      <c r="AN288" s="129">
        <v>10.479999999999999</v>
      </c>
      <c r="AO288" s="126">
        <f t="shared" ca="1" si="28"/>
        <v>393</v>
      </c>
      <c r="AR288" s="99" t="s">
        <v>136</v>
      </c>
    </row>
    <row r="289" spans="1:44" s="99" customFormat="1" ht="21" customHeight="1" x14ac:dyDescent="0.35">
      <c r="A289" s="99">
        <v>422</v>
      </c>
      <c r="B289" s="126" t="str">
        <f t="shared" si="24"/>
        <v>WIP-304/2B-002X770</v>
      </c>
      <c r="C289" s="126" t="s">
        <v>14</v>
      </c>
      <c r="D289" s="126" t="s">
        <v>113</v>
      </c>
      <c r="E289" s="143" t="s">
        <v>1324</v>
      </c>
      <c r="F289" s="143" t="s">
        <v>1325</v>
      </c>
      <c r="G289" s="126">
        <v>304</v>
      </c>
      <c r="H289" s="126" t="s">
        <v>116</v>
      </c>
      <c r="I289" s="127">
        <v>3.79</v>
      </c>
      <c r="J289" s="127">
        <v>1.8</v>
      </c>
      <c r="K289" s="127">
        <v>1.78</v>
      </c>
      <c r="L289" s="127">
        <v>1.79</v>
      </c>
      <c r="M289" s="144">
        <v>770</v>
      </c>
      <c r="N289" s="129">
        <v>5.95</v>
      </c>
      <c r="O289" s="129" t="s">
        <v>116</v>
      </c>
      <c r="P289" s="129"/>
      <c r="Q289" s="130" t="s">
        <v>117</v>
      </c>
      <c r="R289" s="130" t="s">
        <v>1326</v>
      </c>
      <c r="S289" s="131"/>
      <c r="T289" s="132">
        <v>44569</v>
      </c>
      <c r="U289" s="132">
        <v>44569</v>
      </c>
      <c r="V289" s="132">
        <v>44590</v>
      </c>
      <c r="W289" s="132"/>
      <c r="X289" s="132"/>
      <c r="Y289" s="133"/>
      <c r="Z289" s="126" t="s">
        <v>64</v>
      </c>
      <c r="AA289" s="134" t="s">
        <v>154</v>
      </c>
      <c r="AB289" s="134" t="s">
        <v>1296</v>
      </c>
      <c r="AC289" s="134"/>
      <c r="AD289" s="134">
        <v>44516</v>
      </c>
      <c r="AE289" s="134"/>
      <c r="AF289" s="134">
        <f t="shared" ca="1" si="25"/>
        <v>44963</v>
      </c>
      <c r="AG289" s="126">
        <f t="shared" ca="1" si="26"/>
        <v>447</v>
      </c>
      <c r="AH289" s="126">
        <f t="shared" ca="1" si="27"/>
        <v>373</v>
      </c>
      <c r="AI289" s="134"/>
      <c r="AJ289" s="143" t="s">
        <v>1327</v>
      </c>
      <c r="AK289" s="129">
        <v>10.475</v>
      </c>
      <c r="AL289" s="129">
        <v>10.484999999999999</v>
      </c>
      <c r="AM289" s="129">
        <v>10.509999999999998</v>
      </c>
      <c r="AN289" s="129">
        <v>10.514999999999999</v>
      </c>
      <c r="AO289" s="126">
        <f t="shared" ca="1" si="28"/>
        <v>394</v>
      </c>
      <c r="AR289" s="99" t="s">
        <v>136</v>
      </c>
    </row>
    <row r="290" spans="1:44" s="99" customFormat="1" ht="21" customHeight="1" x14ac:dyDescent="0.35">
      <c r="A290" s="99">
        <v>422</v>
      </c>
      <c r="B290" s="126" t="str">
        <f t="shared" si="24"/>
        <v>WIP-304/2B-001X770</v>
      </c>
      <c r="C290" s="126" t="s">
        <v>14</v>
      </c>
      <c r="D290" s="126" t="s">
        <v>358</v>
      </c>
      <c r="E290" s="143" t="s">
        <v>1328</v>
      </c>
      <c r="F290" s="143" t="s">
        <v>1329</v>
      </c>
      <c r="G290" s="126">
        <v>304</v>
      </c>
      <c r="H290" s="126" t="s">
        <v>116</v>
      </c>
      <c r="I290" s="127">
        <v>3.79</v>
      </c>
      <c r="J290" s="127">
        <v>1.4</v>
      </c>
      <c r="K290" s="127">
        <v>1.4</v>
      </c>
      <c r="L290" s="127">
        <v>1.41</v>
      </c>
      <c r="M290" s="144">
        <v>770</v>
      </c>
      <c r="N290" s="129">
        <v>5.15</v>
      </c>
      <c r="O290" s="129" t="s">
        <v>116</v>
      </c>
      <c r="P290" s="129"/>
      <c r="Q290" s="130" t="s">
        <v>412</v>
      </c>
      <c r="R290" s="131"/>
      <c r="S290" s="131"/>
      <c r="T290" s="132">
        <v>44570</v>
      </c>
      <c r="U290" s="132">
        <v>44570</v>
      </c>
      <c r="V290" s="132">
        <v>44574</v>
      </c>
      <c r="W290" s="132"/>
      <c r="X290" s="132"/>
      <c r="Y290" s="133"/>
      <c r="Z290" s="126" t="s">
        <v>64</v>
      </c>
      <c r="AA290" s="134" t="s">
        <v>154</v>
      </c>
      <c r="AB290" s="134" t="s">
        <v>1330</v>
      </c>
      <c r="AC290" s="134"/>
      <c r="AD290" s="134">
        <v>44516</v>
      </c>
      <c r="AE290" s="134"/>
      <c r="AF290" s="134">
        <f t="shared" ca="1" si="25"/>
        <v>44963</v>
      </c>
      <c r="AG290" s="126">
        <f t="shared" ca="1" si="26"/>
        <v>447</v>
      </c>
      <c r="AH290" s="126">
        <f t="shared" ca="1" si="27"/>
        <v>389</v>
      </c>
      <c r="AI290" s="134"/>
      <c r="AJ290" s="143" t="s">
        <v>1331</v>
      </c>
      <c r="AK290" s="129">
        <v>10.41</v>
      </c>
      <c r="AL290" s="129">
        <v>10.42</v>
      </c>
      <c r="AM290" s="129">
        <v>10.444999999999999</v>
      </c>
      <c r="AN290" s="129">
        <v>10.45</v>
      </c>
      <c r="AO290" s="126">
        <f t="shared" ca="1" si="28"/>
        <v>393</v>
      </c>
      <c r="AR290" s="99" t="s">
        <v>136</v>
      </c>
    </row>
    <row r="291" spans="1:44" s="99" customFormat="1" ht="21" customHeight="1" x14ac:dyDescent="0.35">
      <c r="A291" s="99">
        <v>422</v>
      </c>
      <c r="B291" s="126" t="str">
        <f t="shared" si="24"/>
        <v>WIP-304/2B-001X772</v>
      </c>
      <c r="C291" s="126" t="s">
        <v>14</v>
      </c>
      <c r="D291" s="126" t="s">
        <v>358</v>
      </c>
      <c r="E291" s="143" t="s">
        <v>1332</v>
      </c>
      <c r="F291" s="143" t="s">
        <v>1333</v>
      </c>
      <c r="G291" s="126">
        <v>304</v>
      </c>
      <c r="H291" s="126" t="s">
        <v>116</v>
      </c>
      <c r="I291" s="127">
        <v>2.98</v>
      </c>
      <c r="J291" s="127">
        <v>0.92</v>
      </c>
      <c r="K291" s="127">
        <v>0.91</v>
      </c>
      <c r="L291" s="127">
        <v>0.92</v>
      </c>
      <c r="M291" s="144">
        <v>772</v>
      </c>
      <c r="N291" s="129">
        <v>10.275</v>
      </c>
      <c r="O291" s="129" t="s">
        <v>116</v>
      </c>
      <c r="P291" s="129"/>
      <c r="Q291" s="130" t="s">
        <v>1334</v>
      </c>
      <c r="R291" s="131"/>
      <c r="S291" s="131"/>
      <c r="T291" s="132">
        <v>44611</v>
      </c>
      <c r="U291" s="132">
        <v>44612</v>
      </c>
      <c r="V291" s="132">
        <v>44613</v>
      </c>
      <c r="W291" s="132"/>
      <c r="X291" s="132"/>
      <c r="Y291" s="133"/>
      <c r="Z291" s="126" t="s">
        <v>64</v>
      </c>
      <c r="AA291" s="134" t="s">
        <v>154</v>
      </c>
      <c r="AB291" s="134" t="s">
        <v>1330</v>
      </c>
      <c r="AC291" s="134"/>
      <c r="AD291" s="134">
        <v>44516</v>
      </c>
      <c r="AE291" s="134"/>
      <c r="AF291" s="134">
        <f t="shared" ca="1" si="25"/>
        <v>44963</v>
      </c>
      <c r="AG291" s="126">
        <f t="shared" ca="1" si="26"/>
        <v>447</v>
      </c>
      <c r="AH291" s="126">
        <f t="shared" ca="1" si="27"/>
        <v>350</v>
      </c>
      <c r="AI291" s="134"/>
      <c r="AJ291" s="143" t="s">
        <v>1335</v>
      </c>
      <c r="AK291" s="129">
        <v>10.28</v>
      </c>
      <c r="AL291" s="129">
        <v>10.29</v>
      </c>
      <c r="AM291" s="129">
        <v>10.314999999999998</v>
      </c>
      <c r="AN291" s="129">
        <v>10.319999999999999</v>
      </c>
      <c r="AO291" s="126">
        <f t="shared" ca="1" si="28"/>
        <v>351</v>
      </c>
      <c r="AR291" s="99" t="s">
        <v>136</v>
      </c>
    </row>
    <row r="292" spans="1:44" s="99" customFormat="1" ht="21" customHeight="1" x14ac:dyDescent="0.35">
      <c r="A292" s="99">
        <v>422</v>
      </c>
      <c r="B292" s="126" t="str">
        <f t="shared" si="24"/>
        <v>WIP-304/2B-001X770</v>
      </c>
      <c r="C292" s="126" t="s">
        <v>14</v>
      </c>
      <c r="D292" s="126" t="s">
        <v>358</v>
      </c>
      <c r="E292" s="143" t="s">
        <v>1336</v>
      </c>
      <c r="F292" s="143" t="s">
        <v>1337</v>
      </c>
      <c r="G292" s="126">
        <v>304</v>
      </c>
      <c r="H292" s="126" t="s">
        <v>116</v>
      </c>
      <c r="I292" s="127">
        <v>3.29</v>
      </c>
      <c r="J292" s="127">
        <v>1.1499999999999999</v>
      </c>
      <c r="K292" s="127">
        <v>1.1399999999999999</v>
      </c>
      <c r="L292" s="127">
        <v>1.1599999999999999</v>
      </c>
      <c r="M292" s="144">
        <v>770</v>
      </c>
      <c r="N292" s="129">
        <v>10.73</v>
      </c>
      <c r="O292" s="129" t="s">
        <v>116</v>
      </c>
      <c r="P292" s="129"/>
      <c r="Q292" s="130" t="s">
        <v>446</v>
      </c>
      <c r="R292" s="131"/>
      <c r="S292" s="131"/>
      <c r="T292" s="132">
        <v>44566</v>
      </c>
      <c r="U292" s="132">
        <v>44566</v>
      </c>
      <c r="V292" s="132">
        <v>44597</v>
      </c>
      <c r="W292" s="132"/>
      <c r="X292" s="132"/>
      <c r="Y292" s="133"/>
      <c r="Z292" s="126" t="s">
        <v>64</v>
      </c>
      <c r="AA292" s="134" t="s">
        <v>154</v>
      </c>
      <c r="AB292" s="134" t="s">
        <v>1330</v>
      </c>
      <c r="AC292" s="134"/>
      <c r="AD292" s="134">
        <v>44516</v>
      </c>
      <c r="AE292" s="134"/>
      <c r="AF292" s="134">
        <f t="shared" ca="1" si="25"/>
        <v>44963</v>
      </c>
      <c r="AG292" s="126">
        <f t="shared" ca="1" si="26"/>
        <v>447</v>
      </c>
      <c r="AH292" s="126">
        <f t="shared" ca="1" si="27"/>
        <v>366</v>
      </c>
      <c r="AI292" s="134"/>
      <c r="AJ292" s="143" t="s">
        <v>1338</v>
      </c>
      <c r="AK292" s="129">
        <v>10.744999999999999</v>
      </c>
      <c r="AL292" s="129">
        <v>10.755000000000001</v>
      </c>
      <c r="AM292" s="129">
        <v>10.78</v>
      </c>
      <c r="AN292" s="129">
        <v>10.785</v>
      </c>
      <c r="AO292" s="126">
        <f t="shared" ca="1" si="28"/>
        <v>397</v>
      </c>
      <c r="AR292" s="99" t="s">
        <v>136</v>
      </c>
    </row>
    <row r="293" spans="1:44" s="99" customFormat="1" ht="21" customHeight="1" x14ac:dyDescent="0.35">
      <c r="A293" s="99">
        <v>422</v>
      </c>
      <c r="B293" s="126" t="str">
        <f t="shared" si="24"/>
        <v>RM-304L/1D-003X768</v>
      </c>
      <c r="C293" s="126" t="s">
        <v>43</v>
      </c>
      <c r="D293" s="126" t="s">
        <v>43</v>
      </c>
      <c r="E293" s="143" t="s">
        <v>1339</v>
      </c>
      <c r="F293" s="143" t="s">
        <v>1340</v>
      </c>
      <c r="G293" s="126" t="s">
        <v>230</v>
      </c>
      <c r="H293" s="126" t="s">
        <v>139</v>
      </c>
      <c r="I293" s="127">
        <v>2.96</v>
      </c>
      <c r="J293" s="127"/>
      <c r="K293" s="127"/>
      <c r="L293" s="127"/>
      <c r="M293" s="144">
        <v>768</v>
      </c>
      <c r="N293" s="129">
        <v>9.9450000000000003</v>
      </c>
      <c r="O293" s="129"/>
      <c r="P293" s="129"/>
      <c r="Q293" s="130"/>
      <c r="R293" s="131"/>
      <c r="S293" s="131"/>
      <c r="T293" s="132"/>
      <c r="U293" s="132"/>
      <c r="V293" s="132"/>
      <c r="W293" s="132"/>
      <c r="X293" s="132"/>
      <c r="Y293" s="133"/>
      <c r="Z293" s="126" t="s">
        <v>64</v>
      </c>
      <c r="AA293" s="134" t="s">
        <v>154</v>
      </c>
      <c r="AB293" s="134" t="s">
        <v>1330</v>
      </c>
      <c r="AC293" s="134"/>
      <c r="AD293" s="134">
        <v>44516</v>
      </c>
      <c r="AE293" s="134"/>
      <c r="AF293" s="134">
        <f t="shared" ca="1" si="25"/>
        <v>44963</v>
      </c>
      <c r="AG293" s="126">
        <f t="shared" ca="1" si="26"/>
        <v>447</v>
      </c>
      <c r="AH293" s="126" t="str">
        <f t="shared" si="27"/>
        <v/>
      </c>
      <c r="AI293" s="134"/>
      <c r="AJ293" s="143" t="s">
        <v>1341</v>
      </c>
      <c r="AK293" s="129">
        <v>9.9450000000000003</v>
      </c>
      <c r="AL293" s="129">
        <v>9.9550000000000001</v>
      </c>
      <c r="AM293" s="129">
        <v>9.9799999999999986</v>
      </c>
      <c r="AN293" s="129">
        <v>9.9849999999999994</v>
      </c>
      <c r="AO293" s="126" t="str">
        <f t="shared" si="28"/>
        <v/>
      </c>
      <c r="AR293" s="99" t="s">
        <v>136</v>
      </c>
    </row>
    <row r="294" spans="1:44" s="99" customFormat="1" ht="21" customHeight="1" x14ac:dyDescent="0.35">
      <c r="A294" s="99">
        <v>422</v>
      </c>
      <c r="B294" s="126" t="str">
        <f t="shared" si="24"/>
        <v>WIP-304L/2B-001X766</v>
      </c>
      <c r="C294" s="126" t="s">
        <v>14</v>
      </c>
      <c r="D294" s="126" t="s">
        <v>358</v>
      </c>
      <c r="E294" s="143" t="s">
        <v>1342</v>
      </c>
      <c r="F294" s="143" t="s">
        <v>1343</v>
      </c>
      <c r="G294" s="126" t="s">
        <v>230</v>
      </c>
      <c r="H294" s="126" t="s">
        <v>116</v>
      </c>
      <c r="I294" s="127">
        <v>3.18</v>
      </c>
      <c r="J294" s="127">
        <v>1.1000000000000001</v>
      </c>
      <c r="K294" s="127">
        <v>1.0900000000000001</v>
      </c>
      <c r="L294" s="127">
        <v>1.1000000000000001</v>
      </c>
      <c r="M294" s="144">
        <v>766</v>
      </c>
      <c r="N294" s="129">
        <v>10.46</v>
      </c>
      <c r="O294" s="129" t="s">
        <v>116</v>
      </c>
      <c r="P294" s="129"/>
      <c r="Q294" s="130" t="s">
        <v>412</v>
      </c>
      <c r="R294" s="131"/>
      <c r="S294" s="131"/>
      <c r="T294" s="132">
        <v>44570</v>
      </c>
      <c r="U294" s="132">
        <v>44570</v>
      </c>
      <c r="V294" s="132">
        <v>44600</v>
      </c>
      <c r="W294" s="132"/>
      <c r="X294" s="132"/>
      <c r="Y294" s="133"/>
      <c r="Z294" s="126" t="s">
        <v>64</v>
      </c>
      <c r="AA294" s="134" t="s">
        <v>154</v>
      </c>
      <c r="AB294" s="134" t="s">
        <v>1330</v>
      </c>
      <c r="AC294" s="134"/>
      <c r="AD294" s="134">
        <v>44516</v>
      </c>
      <c r="AE294" s="134"/>
      <c r="AF294" s="134">
        <f t="shared" ca="1" si="25"/>
        <v>44963</v>
      </c>
      <c r="AG294" s="126">
        <f t="shared" ca="1" si="26"/>
        <v>447</v>
      </c>
      <c r="AH294" s="126">
        <f t="shared" ca="1" si="27"/>
        <v>363</v>
      </c>
      <c r="AI294" s="134"/>
      <c r="AJ294" s="143" t="s">
        <v>1344</v>
      </c>
      <c r="AK294" s="129">
        <v>10.494999999999999</v>
      </c>
      <c r="AL294" s="129">
        <v>10.505000000000001</v>
      </c>
      <c r="AM294" s="129">
        <v>10.53</v>
      </c>
      <c r="AN294" s="129">
        <v>10.535</v>
      </c>
      <c r="AO294" s="126">
        <f t="shared" ca="1" si="28"/>
        <v>393</v>
      </c>
      <c r="AR294" s="99" t="s">
        <v>136</v>
      </c>
    </row>
    <row r="295" spans="1:44" s="99" customFormat="1" ht="21" customHeight="1" x14ac:dyDescent="0.35">
      <c r="A295" s="99">
        <v>422</v>
      </c>
      <c r="B295" s="126" t="str">
        <f t="shared" si="24"/>
        <v>WIP-304L/2B-001X767</v>
      </c>
      <c r="C295" s="126" t="s">
        <v>14</v>
      </c>
      <c r="D295" s="126" t="s">
        <v>358</v>
      </c>
      <c r="E295" s="143" t="s">
        <v>1345</v>
      </c>
      <c r="F295" s="143" t="s">
        <v>1346</v>
      </c>
      <c r="G295" s="126" t="s">
        <v>230</v>
      </c>
      <c r="H295" s="126" t="s">
        <v>116</v>
      </c>
      <c r="I295" s="127">
        <v>2.88</v>
      </c>
      <c r="J295" s="127">
        <v>0.7</v>
      </c>
      <c r="K295" s="127">
        <v>0.69</v>
      </c>
      <c r="L295" s="127">
        <v>0.7</v>
      </c>
      <c r="M295" s="144">
        <v>767</v>
      </c>
      <c r="N295" s="129">
        <v>3.73</v>
      </c>
      <c r="O295" s="129" t="s">
        <v>116</v>
      </c>
      <c r="P295" s="129"/>
      <c r="Q295" s="130" t="s">
        <v>1206</v>
      </c>
      <c r="R295" s="131"/>
      <c r="S295" s="131"/>
      <c r="T295" s="132">
        <v>44611</v>
      </c>
      <c r="U295" s="132">
        <v>44611</v>
      </c>
      <c r="V295" s="132">
        <v>44613</v>
      </c>
      <c r="W295" s="132"/>
      <c r="X295" s="132"/>
      <c r="Y295" s="133"/>
      <c r="Z295" s="126" t="s">
        <v>64</v>
      </c>
      <c r="AA295" s="134" t="s">
        <v>154</v>
      </c>
      <c r="AB295" s="134" t="s">
        <v>1330</v>
      </c>
      <c r="AC295" s="134"/>
      <c r="AD295" s="134">
        <v>44516</v>
      </c>
      <c r="AE295" s="134"/>
      <c r="AF295" s="134">
        <f t="shared" ca="1" si="25"/>
        <v>44963</v>
      </c>
      <c r="AG295" s="126">
        <f t="shared" ca="1" si="26"/>
        <v>447</v>
      </c>
      <c r="AH295" s="126">
        <f t="shared" ca="1" si="27"/>
        <v>350</v>
      </c>
      <c r="AI295" s="134"/>
      <c r="AJ295" s="143" t="s">
        <v>1347</v>
      </c>
      <c r="AK295" s="129">
        <v>7.29</v>
      </c>
      <c r="AL295" s="129">
        <v>7.3</v>
      </c>
      <c r="AM295" s="129">
        <v>7.3250000000000002</v>
      </c>
      <c r="AN295" s="129">
        <v>7.33</v>
      </c>
      <c r="AO295" s="126">
        <f t="shared" ca="1" si="28"/>
        <v>352</v>
      </c>
      <c r="AR295" s="99" t="s">
        <v>136</v>
      </c>
    </row>
    <row r="296" spans="1:44" s="99" customFormat="1" ht="21" customHeight="1" x14ac:dyDescent="0.35">
      <c r="A296" s="99">
        <v>422</v>
      </c>
      <c r="B296" s="126" t="str">
        <f t="shared" si="24"/>
        <v>WIP-304L/2B-001X766</v>
      </c>
      <c r="C296" s="126" t="s">
        <v>14</v>
      </c>
      <c r="D296" s="126" t="s">
        <v>358</v>
      </c>
      <c r="E296" s="143" t="s">
        <v>1348</v>
      </c>
      <c r="F296" s="143" t="s">
        <v>1349</v>
      </c>
      <c r="G296" s="126" t="s">
        <v>230</v>
      </c>
      <c r="H296" s="126" t="s">
        <v>116</v>
      </c>
      <c r="I296" s="127">
        <v>2.91</v>
      </c>
      <c r="J296" s="127">
        <v>0.95</v>
      </c>
      <c r="K296" s="127">
        <v>0.94</v>
      </c>
      <c r="L296" s="127">
        <v>0.95</v>
      </c>
      <c r="M296" s="144">
        <v>766</v>
      </c>
      <c r="N296" s="129">
        <v>8.6999999999999993</v>
      </c>
      <c r="O296" s="129" t="s">
        <v>116</v>
      </c>
      <c r="P296" s="129"/>
      <c r="Q296" s="130" t="s">
        <v>993</v>
      </c>
      <c r="R296" s="131"/>
      <c r="S296" s="131"/>
      <c r="T296" s="132">
        <v>44600</v>
      </c>
      <c r="U296" s="132">
        <v>44600</v>
      </c>
      <c r="V296" s="132">
        <v>44619</v>
      </c>
      <c r="W296" s="132"/>
      <c r="X296" s="132"/>
      <c r="Y296" s="133"/>
      <c r="Z296" s="126" t="s">
        <v>64</v>
      </c>
      <c r="AA296" s="134" t="s">
        <v>154</v>
      </c>
      <c r="AB296" s="134" t="s">
        <v>1330</v>
      </c>
      <c r="AC296" s="134"/>
      <c r="AD296" s="134">
        <v>44516</v>
      </c>
      <c r="AE296" s="134"/>
      <c r="AF296" s="134">
        <f t="shared" ca="1" si="25"/>
        <v>44963</v>
      </c>
      <c r="AG296" s="126">
        <f t="shared" ca="1" si="26"/>
        <v>447</v>
      </c>
      <c r="AH296" s="126">
        <f t="shared" ca="1" si="27"/>
        <v>344</v>
      </c>
      <c r="AI296" s="134"/>
      <c r="AJ296" s="143" t="s">
        <v>1350</v>
      </c>
      <c r="AK296" s="129">
        <v>8.7200000000000006</v>
      </c>
      <c r="AL296" s="129">
        <v>8.73</v>
      </c>
      <c r="AM296" s="129">
        <v>8.754999999999999</v>
      </c>
      <c r="AN296" s="129">
        <v>8.76</v>
      </c>
      <c r="AO296" s="126">
        <f t="shared" ca="1" si="28"/>
        <v>363</v>
      </c>
      <c r="AR296" s="99" t="s">
        <v>136</v>
      </c>
    </row>
    <row r="297" spans="1:44" s="99" customFormat="1" ht="21" customHeight="1" x14ac:dyDescent="0.35">
      <c r="A297" s="99">
        <v>422</v>
      </c>
      <c r="B297" s="126" t="str">
        <f t="shared" si="24"/>
        <v>WIP-304L/2B-001X765</v>
      </c>
      <c r="C297" s="126" t="s">
        <v>14</v>
      </c>
      <c r="D297" s="126" t="s">
        <v>358</v>
      </c>
      <c r="E297" s="143" t="s">
        <v>1351</v>
      </c>
      <c r="F297" s="143" t="s">
        <v>1352</v>
      </c>
      <c r="G297" s="126" t="s">
        <v>230</v>
      </c>
      <c r="H297" s="126" t="s">
        <v>116</v>
      </c>
      <c r="I297" s="127">
        <v>2.9</v>
      </c>
      <c r="J297" s="127">
        <v>0.95</v>
      </c>
      <c r="K297" s="127">
        <v>0.95</v>
      </c>
      <c r="L297" s="127">
        <v>0.97</v>
      </c>
      <c r="M297" s="144">
        <v>765</v>
      </c>
      <c r="N297" s="129">
        <v>8.6950000000000003</v>
      </c>
      <c r="O297" s="129" t="s">
        <v>116</v>
      </c>
      <c r="P297" s="129"/>
      <c r="Q297" s="130" t="s">
        <v>446</v>
      </c>
      <c r="R297" s="131"/>
      <c r="S297" s="131"/>
      <c r="T297" s="132">
        <v>44612</v>
      </c>
      <c r="U297" s="132">
        <v>44612</v>
      </c>
      <c r="V297" s="132">
        <v>44614</v>
      </c>
      <c r="W297" s="132"/>
      <c r="X297" s="132"/>
      <c r="Y297" s="133"/>
      <c r="Z297" s="126" t="s">
        <v>64</v>
      </c>
      <c r="AA297" s="134" t="s">
        <v>154</v>
      </c>
      <c r="AB297" s="134" t="s">
        <v>1330</v>
      </c>
      <c r="AC297" s="134"/>
      <c r="AD297" s="134">
        <v>44516</v>
      </c>
      <c r="AE297" s="134"/>
      <c r="AF297" s="134">
        <f t="shared" ca="1" si="25"/>
        <v>44963</v>
      </c>
      <c r="AG297" s="126">
        <f t="shared" ca="1" si="26"/>
        <v>447</v>
      </c>
      <c r="AH297" s="126">
        <f t="shared" ca="1" si="27"/>
        <v>349</v>
      </c>
      <c r="AI297" s="134"/>
      <c r="AJ297" s="143" t="s">
        <v>1350</v>
      </c>
      <c r="AK297" s="129">
        <v>8.7149999999999999</v>
      </c>
      <c r="AL297" s="129">
        <v>8.7249999999999996</v>
      </c>
      <c r="AM297" s="129">
        <v>8.7499999999999982</v>
      </c>
      <c r="AN297" s="129">
        <v>8.754999999999999</v>
      </c>
      <c r="AO297" s="126">
        <f t="shared" ca="1" si="28"/>
        <v>351</v>
      </c>
      <c r="AR297" s="99" t="s">
        <v>136</v>
      </c>
    </row>
    <row r="298" spans="1:44" s="99" customFormat="1" ht="21" customHeight="1" x14ac:dyDescent="0.35">
      <c r="A298" s="99">
        <v>422</v>
      </c>
      <c r="B298" s="126" t="str">
        <f t="shared" si="24"/>
        <v>HOLD SLT-304L/2B-002X773</v>
      </c>
      <c r="C298" s="126" t="s">
        <v>63</v>
      </c>
      <c r="D298" s="126" t="s">
        <v>63</v>
      </c>
      <c r="E298" s="143" t="s">
        <v>1353</v>
      </c>
      <c r="F298" s="143" t="s">
        <v>1354</v>
      </c>
      <c r="G298" s="126" t="s">
        <v>230</v>
      </c>
      <c r="H298" s="126" t="s">
        <v>116</v>
      </c>
      <c r="I298" s="127">
        <v>3.81</v>
      </c>
      <c r="J298" s="127">
        <v>1.5</v>
      </c>
      <c r="K298" s="127">
        <v>1.51</v>
      </c>
      <c r="L298" s="127">
        <v>1.53</v>
      </c>
      <c r="M298" s="144">
        <v>773</v>
      </c>
      <c r="N298" s="129">
        <v>5.12</v>
      </c>
      <c r="O298" s="129" t="s">
        <v>116</v>
      </c>
      <c r="P298" s="129"/>
      <c r="Q298" s="130" t="s">
        <v>1355</v>
      </c>
      <c r="R298" s="131"/>
      <c r="S298" s="131" t="s">
        <v>1293</v>
      </c>
      <c r="T298" s="132">
        <v>44550</v>
      </c>
      <c r="U298" s="132">
        <v>44550</v>
      </c>
      <c r="V298" s="132">
        <v>44568</v>
      </c>
      <c r="W298" s="132"/>
      <c r="X298" s="132"/>
      <c r="Y298" s="133"/>
      <c r="Z298" s="126" t="s">
        <v>64</v>
      </c>
      <c r="AA298" s="134" t="s">
        <v>154</v>
      </c>
      <c r="AB298" s="134" t="s">
        <v>1330</v>
      </c>
      <c r="AC298" s="134"/>
      <c r="AD298" s="134">
        <v>44516</v>
      </c>
      <c r="AE298" s="134"/>
      <c r="AF298" s="134">
        <f t="shared" ca="1" si="25"/>
        <v>44963</v>
      </c>
      <c r="AG298" s="126">
        <f t="shared" ca="1" si="26"/>
        <v>447</v>
      </c>
      <c r="AH298" s="126">
        <f t="shared" ca="1" si="27"/>
        <v>395</v>
      </c>
      <c r="AI298" s="134"/>
      <c r="AJ298" s="143" t="s">
        <v>1356</v>
      </c>
      <c r="AK298" s="129">
        <v>10.29</v>
      </c>
      <c r="AL298" s="129">
        <v>10.3</v>
      </c>
      <c r="AM298" s="129">
        <v>10.324999999999999</v>
      </c>
      <c r="AN298" s="129">
        <v>10.33</v>
      </c>
      <c r="AO298" s="126">
        <f t="shared" ca="1" si="28"/>
        <v>413</v>
      </c>
      <c r="AR298" s="99" t="s">
        <v>136</v>
      </c>
    </row>
    <row r="299" spans="1:44" s="99" customFormat="1" ht="21" customHeight="1" x14ac:dyDescent="0.35">
      <c r="A299" s="99">
        <v>422</v>
      </c>
      <c r="B299" s="126" t="str">
        <f t="shared" si="24"/>
        <v>RM-316L/1D-004X775</v>
      </c>
      <c r="C299" s="126" t="s">
        <v>43</v>
      </c>
      <c r="D299" s="126" t="s">
        <v>43</v>
      </c>
      <c r="E299" s="143" t="s">
        <v>1357</v>
      </c>
      <c r="F299" s="143" t="s">
        <v>1358</v>
      </c>
      <c r="G299" s="126" t="s">
        <v>148</v>
      </c>
      <c r="H299" s="126" t="s">
        <v>139</v>
      </c>
      <c r="I299" s="127">
        <v>3.81</v>
      </c>
      <c r="J299" s="127"/>
      <c r="K299" s="127"/>
      <c r="L299" s="127"/>
      <c r="M299" s="144">
        <v>775</v>
      </c>
      <c r="N299" s="129">
        <v>10.48</v>
      </c>
      <c r="O299" s="129"/>
      <c r="P299" s="129"/>
      <c r="Q299" s="130"/>
      <c r="R299" s="131"/>
      <c r="S299" s="131"/>
      <c r="T299" s="132"/>
      <c r="U299" s="132"/>
      <c r="V299" s="132"/>
      <c r="W299" s="132"/>
      <c r="X299" s="132"/>
      <c r="Y299" s="133"/>
      <c r="Z299" s="126" t="s">
        <v>64</v>
      </c>
      <c r="AA299" s="134" t="s">
        <v>154</v>
      </c>
      <c r="AB299" s="134" t="s">
        <v>1296</v>
      </c>
      <c r="AC299" s="134"/>
      <c r="AD299" s="134">
        <v>44516</v>
      </c>
      <c r="AE299" s="134"/>
      <c r="AF299" s="134">
        <f t="shared" ca="1" si="25"/>
        <v>44963</v>
      </c>
      <c r="AG299" s="126">
        <f t="shared" ca="1" si="26"/>
        <v>447</v>
      </c>
      <c r="AH299" s="126" t="str">
        <f t="shared" si="27"/>
        <v/>
      </c>
      <c r="AI299" s="134"/>
      <c r="AJ299" s="143" t="s">
        <v>1359</v>
      </c>
      <c r="AK299" s="129">
        <v>10.48</v>
      </c>
      <c r="AL299" s="129">
        <v>10.49</v>
      </c>
      <c r="AM299" s="129">
        <v>10.514999999999999</v>
      </c>
      <c r="AN299" s="129">
        <v>10.52</v>
      </c>
      <c r="AO299" s="126" t="str">
        <f t="shared" si="28"/>
        <v/>
      </c>
      <c r="AR299" s="99" t="s">
        <v>136</v>
      </c>
    </row>
    <row r="300" spans="1:44" s="99" customFormat="1" ht="21" customHeight="1" x14ac:dyDescent="0.35">
      <c r="A300" s="99">
        <v>422</v>
      </c>
      <c r="B300" s="126" t="str">
        <f t="shared" si="24"/>
        <v>RM-316L/1D-003X770</v>
      </c>
      <c r="C300" s="126" t="s">
        <v>43</v>
      </c>
      <c r="D300" s="126" t="s">
        <v>43</v>
      </c>
      <c r="E300" s="143" t="s">
        <v>1360</v>
      </c>
      <c r="F300" s="143" t="s">
        <v>1361</v>
      </c>
      <c r="G300" s="126" t="s">
        <v>148</v>
      </c>
      <c r="H300" s="126" t="s">
        <v>139</v>
      </c>
      <c r="I300" s="127">
        <v>3.49</v>
      </c>
      <c r="J300" s="127"/>
      <c r="K300" s="127"/>
      <c r="L300" s="127"/>
      <c r="M300" s="144">
        <v>770</v>
      </c>
      <c r="N300" s="129">
        <v>10.59</v>
      </c>
      <c r="O300" s="129"/>
      <c r="P300" s="129"/>
      <c r="Q300" s="130"/>
      <c r="R300" s="131"/>
      <c r="S300" s="131"/>
      <c r="T300" s="132"/>
      <c r="U300" s="132"/>
      <c r="V300" s="132"/>
      <c r="W300" s="132"/>
      <c r="X300" s="132"/>
      <c r="Y300" s="133"/>
      <c r="Z300" s="126" t="s">
        <v>64</v>
      </c>
      <c r="AA300" s="134" t="s">
        <v>154</v>
      </c>
      <c r="AB300" s="134" t="s">
        <v>1296</v>
      </c>
      <c r="AC300" s="134"/>
      <c r="AD300" s="134">
        <v>44516</v>
      </c>
      <c r="AE300" s="134"/>
      <c r="AF300" s="134">
        <f t="shared" ca="1" si="25"/>
        <v>44963</v>
      </c>
      <c r="AG300" s="126">
        <f t="shared" ca="1" si="26"/>
        <v>447</v>
      </c>
      <c r="AH300" s="126" t="str">
        <f t="shared" si="27"/>
        <v/>
      </c>
      <c r="AI300" s="134"/>
      <c r="AJ300" s="143" t="s">
        <v>1362</v>
      </c>
      <c r="AK300" s="129">
        <v>10.59</v>
      </c>
      <c r="AL300" s="129">
        <v>10.6</v>
      </c>
      <c r="AM300" s="129">
        <v>10.624999999999998</v>
      </c>
      <c r="AN300" s="129">
        <v>10.629999999999999</v>
      </c>
      <c r="AO300" s="126" t="str">
        <f t="shared" si="28"/>
        <v/>
      </c>
      <c r="AR300" s="99" t="s">
        <v>136</v>
      </c>
    </row>
    <row r="301" spans="1:44" s="99" customFormat="1" ht="21" customHeight="1" x14ac:dyDescent="0.35">
      <c r="A301" s="99">
        <v>424</v>
      </c>
      <c r="B301" s="126" t="str">
        <f t="shared" si="24"/>
        <v>WIP-304L/FH-001X773</v>
      </c>
      <c r="C301" s="126" t="s">
        <v>13</v>
      </c>
      <c r="D301" s="126" t="s">
        <v>13</v>
      </c>
      <c r="E301" s="143" t="s">
        <v>1363</v>
      </c>
      <c r="F301" s="143" t="s">
        <v>1364</v>
      </c>
      <c r="G301" s="126" t="s">
        <v>230</v>
      </c>
      <c r="H301" s="126" t="s">
        <v>65</v>
      </c>
      <c r="I301" s="127">
        <v>3.49</v>
      </c>
      <c r="J301" s="127">
        <v>1.2</v>
      </c>
      <c r="K301" s="127"/>
      <c r="L301" s="127"/>
      <c r="M301" s="144">
        <v>773</v>
      </c>
      <c r="N301" s="129">
        <v>10.015000000000001</v>
      </c>
      <c r="O301" s="129" t="s">
        <v>116</v>
      </c>
      <c r="P301" s="129"/>
      <c r="Q301" s="130" t="s">
        <v>1365</v>
      </c>
      <c r="R301" s="131"/>
      <c r="S301" s="131"/>
      <c r="T301" s="132">
        <v>44619</v>
      </c>
      <c r="U301" s="132">
        <v>44620</v>
      </c>
      <c r="V301" s="132"/>
      <c r="W301" s="132"/>
      <c r="X301" s="132"/>
      <c r="Y301" s="133" t="s">
        <v>1366</v>
      </c>
      <c r="Z301" s="126" t="s">
        <v>64</v>
      </c>
      <c r="AA301" s="134" t="s">
        <v>154</v>
      </c>
      <c r="AB301" s="134" t="s">
        <v>1330</v>
      </c>
      <c r="AC301" s="134"/>
      <c r="AD301" s="134">
        <v>44554</v>
      </c>
      <c r="AE301" s="134"/>
      <c r="AF301" s="134">
        <f t="shared" ca="1" si="25"/>
        <v>44963</v>
      </c>
      <c r="AG301" s="126">
        <f t="shared" ca="1" si="26"/>
        <v>409</v>
      </c>
      <c r="AH301" s="126" t="str">
        <f t="shared" si="27"/>
        <v/>
      </c>
      <c r="AI301" s="134"/>
      <c r="AJ301" s="143" t="s">
        <v>1367</v>
      </c>
      <c r="AK301" s="129">
        <v>10</v>
      </c>
      <c r="AL301" s="129">
        <v>10.01</v>
      </c>
      <c r="AM301" s="129">
        <v>10.034999999999998</v>
      </c>
      <c r="AN301" s="129">
        <v>10.039999999999999</v>
      </c>
      <c r="AO301" s="126">
        <f t="shared" ca="1" si="28"/>
        <v>343</v>
      </c>
      <c r="AR301" s="99" t="s">
        <v>136</v>
      </c>
    </row>
    <row r="302" spans="1:44" s="99" customFormat="1" ht="21" customHeight="1" x14ac:dyDescent="0.35">
      <c r="A302" s="99">
        <v>424</v>
      </c>
      <c r="B302" s="126" t="str">
        <f t="shared" si="24"/>
        <v>WIP-304L/FH-001X768</v>
      </c>
      <c r="C302" s="126" t="s">
        <v>13</v>
      </c>
      <c r="D302" s="126" t="s">
        <v>13</v>
      </c>
      <c r="E302" s="143" t="s">
        <v>1368</v>
      </c>
      <c r="F302" s="143" t="s">
        <v>1369</v>
      </c>
      <c r="G302" s="126" t="s">
        <v>230</v>
      </c>
      <c r="H302" s="126" t="s">
        <v>65</v>
      </c>
      <c r="I302" s="127">
        <v>2.99</v>
      </c>
      <c r="J302" s="127">
        <v>1</v>
      </c>
      <c r="K302" s="127"/>
      <c r="L302" s="127"/>
      <c r="M302" s="144">
        <v>768</v>
      </c>
      <c r="N302" s="129">
        <f>10.39-2.45</f>
        <v>7.94</v>
      </c>
      <c r="O302" s="129" t="s">
        <v>116</v>
      </c>
      <c r="P302" s="129"/>
      <c r="Q302" s="130" t="s">
        <v>1370</v>
      </c>
      <c r="R302" s="131"/>
      <c r="S302" s="131"/>
      <c r="T302" s="132">
        <v>44620</v>
      </c>
      <c r="U302" s="132">
        <v>44620</v>
      </c>
      <c r="V302" s="132"/>
      <c r="W302" s="132"/>
      <c r="X302" s="132"/>
      <c r="Y302" s="133" t="s">
        <v>1366</v>
      </c>
      <c r="Z302" s="126" t="s">
        <v>64</v>
      </c>
      <c r="AA302" s="134" t="s">
        <v>154</v>
      </c>
      <c r="AB302" s="134" t="s">
        <v>1330</v>
      </c>
      <c r="AC302" s="134"/>
      <c r="AD302" s="134">
        <v>44554</v>
      </c>
      <c r="AE302" s="134"/>
      <c r="AF302" s="134">
        <f t="shared" ca="1" si="25"/>
        <v>44963</v>
      </c>
      <c r="AG302" s="126">
        <f t="shared" ca="1" si="26"/>
        <v>409</v>
      </c>
      <c r="AH302" s="126" t="str">
        <f t="shared" si="27"/>
        <v/>
      </c>
      <c r="AI302" s="134"/>
      <c r="AJ302" s="143" t="s">
        <v>1371</v>
      </c>
      <c r="AK302" s="129">
        <v>10.375</v>
      </c>
      <c r="AL302" s="129">
        <v>10.385</v>
      </c>
      <c r="AM302" s="129">
        <v>10.409999999999998</v>
      </c>
      <c r="AN302" s="129">
        <v>10.414999999999999</v>
      </c>
      <c r="AO302" s="126">
        <f t="shared" ca="1" si="28"/>
        <v>343</v>
      </c>
      <c r="AR302" s="99" t="s">
        <v>136</v>
      </c>
    </row>
    <row r="303" spans="1:44" s="99" customFormat="1" ht="21" customHeight="1" x14ac:dyDescent="0.35">
      <c r="A303" s="99">
        <v>424</v>
      </c>
      <c r="B303" s="126" t="str">
        <f t="shared" si="24"/>
        <v>WIP-304L/FH-001X767</v>
      </c>
      <c r="C303" s="126" t="s">
        <v>13</v>
      </c>
      <c r="D303" s="126" t="s">
        <v>13</v>
      </c>
      <c r="E303" s="143" t="s">
        <v>1372</v>
      </c>
      <c r="F303" s="143" t="s">
        <v>1373</v>
      </c>
      <c r="G303" s="126" t="s">
        <v>230</v>
      </c>
      <c r="H303" s="126" t="s">
        <v>65</v>
      </c>
      <c r="I303" s="127">
        <v>2.99</v>
      </c>
      <c r="J303" s="127">
        <v>1</v>
      </c>
      <c r="K303" s="127"/>
      <c r="L303" s="127"/>
      <c r="M303" s="144">
        <v>767</v>
      </c>
      <c r="N303" s="129">
        <v>10.375</v>
      </c>
      <c r="O303" s="129" t="s">
        <v>116</v>
      </c>
      <c r="P303" s="129"/>
      <c r="Q303" s="130" t="s">
        <v>1370</v>
      </c>
      <c r="R303" s="131"/>
      <c r="S303" s="131"/>
      <c r="T303" s="132">
        <v>44619</v>
      </c>
      <c r="U303" s="132">
        <v>44619</v>
      </c>
      <c r="V303" s="132"/>
      <c r="W303" s="132"/>
      <c r="X303" s="132"/>
      <c r="Y303" s="133" t="s">
        <v>1366</v>
      </c>
      <c r="Z303" s="126" t="s">
        <v>64</v>
      </c>
      <c r="AA303" s="134" t="s">
        <v>154</v>
      </c>
      <c r="AB303" s="134" t="s">
        <v>1330</v>
      </c>
      <c r="AC303" s="134"/>
      <c r="AD303" s="134">
        <v>44554</v>
      </c>
      <c r="AE303" s="134"/>
      <c r="AF303" s="134">
        <f t="shared" ca="1" si="25"/>
        <v>44963</v>
      </c>
      <c r="AG303" s="126">
        <f t="shared" ca="1" si="26"/>
        <v>409</v>
      </c>
      <c r="AH303" s="126" t="str">
        <f t="shared" si="27"/>
        <v/>
      </c>
      <c r="AI303" s="134"/>
      <c r="AJ303" s="143" t="s">
        <v>1371</v>
      </c>
      <c r="AK303" s="129">
        <v>10.355</v>
      </c>
      <c r="AL303" s="129">
        <v>10.365</v>
      </c>
      <c r="AM303" s="129">
        <v>10.389999999999999</v>
      </c>
      <c r="AN303" s="129">
        <v>10.395</v>
      </c>
      <c r="AO303" s="126">
        <f t="shared" ca="1" si="28"/>
        <v>344</v>
      </c>
      <c r="AR303" s="99" t="s">
        <v>136</v>
      </c>
    </row>
    <row r="304" spans="1:44" s="99" customFormat="1" ht="21" customHeight="1" x14ac:dyDescent="0.35">
      <c r="A304" s="99">
        <v>424</v>
      </c>
      <c r="B304" s="126" t="str">
        <f t="shared" si="24"/>
        <v>RM-304L/1D-003X767</v>
      </c>
      <c r="C304" s="126" t="s">
        <v>43</v>
      </c>
      <c r="D304" s="126" t="s">
        <v>43</v>
      </c>
      <c r="E304" s="143" t="s">
        <v>1374</v>
      </c>
      <c r="F304" s="143" t="s">
        <v>1375</v>
      </c>
      <c r="G304" s="126" t="s">
        <v>230</v>
      </c>
      <c r="H304" s="126" t="s">
        <v>139</v>
      </c>
      <c r="I304" s="127">
        <v>3</v>
      </c>
      <c r="J304" s="127"/>
      <c r="K304" s="127"/>
      <c r="L304" s="127"/>
      <c r="M304" s="144">
        <v>767</v>
      </c>
      <c r="N304" s="129">
        <v>12.005000000000001</v>
      </c>
      <c r="O304" s="129"/>
      <c r="P304" s="129"/>
      <c r="Q304" s="130"/>
      <c r="R304" s="131"/>
      <c r="S304" s="131"/>
      <c r="T304" s="132"/>
      <c r="U304" s="132"/>
      <c r="V304" s="132"/>
      <c r="W304" s="132"/>
      <c r="X304" s="132"/>
      <c r="Y304" s="133" t="s">
        <v>1376</v>
      </c>
      <c r="Z304" s="126" t="s">
        <v>64</v>
      </c>
      <c r="AA304" s="134" t="s">
        <v>154</v>
      </c>
      <c r="AB304" s="134" t="s">
        <v>1330</v>
      </c>
      <c r="AC304" s="134"/>
      <c r="AD304" s="134">
        <v>44554</v>
      </c>
      <c r="AE304" s="134"/>
      <c r="AF304" s="134">
        <f t="shared" ca="1" si="25"/>
        <v>44963</v>
      </c>
      <c r="AG304" s="126">
        <f t="shared" ca="1" si="26"/>
        <v>409</v>
      </c>
      <c r="AH304" s="126" t="str">
        <f t="shared" si="27"/>
        <v/>
      </c>
      <c r="AI304" s="134"/>
      <c r="AJ304" s="143" t="s">
        <v>1377</v>
      </c>
      <c r="AK304" s="129">
        <v>12.005000000000001</v>
      </c>
      <c r="AL304" s="129">
        <v>12.015000000000001</v>
      </c>
      <c r="AM304" s="129">
        <v>12.04</v>
      </c>
      <c r="AN304" s="129">
        <v>12.045</v>
      </c>
      <c r="AO304" s="126" t="str">
        <f t="shared" si="28"/>
        <v/>
      </c>
      <c r="AR304" s="99" t="s">
        <v>136</v>
      </c>
    </row>
    <row r="305" spans="1:44" s="99" customFormat="1" ht="21" customHeight="1" x14ac:dyDescent="0.35">
      <c r="A305" s="99">
        <v>424</v>
      </c>
      <c r="B305" s="126" t="str">
        <f t="shared" si="24"/>
        <v>RM-304L/1D-003X767</v>
      </c>
      <c r="C305" s="126" t="s">
        <v>43</v>
      </c>
      <c r="D305" s="126" t="s">
        <v>43</v>
      </c>
      <c r="E305" s="143" t="s">
        <v>1378</v>
      </c>
      <c r="F305" s="143" t="s">
        <v>1379</v>
      </c>
      <c r="G305" s="126" t="s">
        <v>230</v>
      </c>
      <c r="H305" s="126" t="s">
        <v>139</v>
      </c>
      <c r="I305" s="127">
        <v>3</v>
      </c>
      <c r="J305" s="127"/>
      <c r="K305" s="127"/>
      <c r="L305" s="127"/>
      <c r="M305" s="144">
        <v>767</v>
      </c>
      <c r="N305" s="129">
        <v>12.035</v>
      </c>
      <c r="O305" s="129"/>
      <c r="P305" s="129"/>
      <c r="Q305" s="130"/>
      <c r="R305" s="131"/>
      <c r="S305" s="131"/>
      <c r="T305" s="132"/>
      <c r="U305" s="132"/>
      <c r="V305" s="132"/>
      <c r="W305" s="132"/>
      <c r="X305" s="132"/>
      <c r="Y305" s="133" t="s">
        <v>1376</v>
      </c>
      <c r="Z305" s="126" t="s">
        <v>64</v>
      </c>
      <c r="AA305" s="134" t="s">
        <v>154</v>
      </c>
      <c r="AB305" s="134" t="s">
        <v>1330</v>
      </c>
      <c r="AC305" s="134"/>
      <c r="AD305" s="134">
        <v>44554</v>
      </c>
      <c r="AE305" s="134"/>
      <c r="AF305" s="134">
        <f t="shared" ca="1" si="25"/>
        <v>44963</v>
      </c>
      <c r="AG305" s="126">
        <f t="shared" ca="1" si="26"/>
        <v>409</v>
      </c>
      <c r="AH305" s="126" t="str">
        <f t="shared" si="27"/>
        <v/>
      </c>
      <c r="AI305" s="134"/>
      <c r="AJ305" s="143" t="s">
        <v>1377</v>
      </c>
      <c r="AK305" s="129">
        <v>12.035</v>
      </c>
      <c r="AL305" s="129">
        <v>12.045</v>
      </c>
      <c r="AM305" s="129">
        <v>12.069999999999999</v>
      </c>
      <c r="AN305" s="129">
        <v>12.074999999999999</v>
      </c>
      <c r="AO305" s="126" t="str">
        <f t="shared" si="28"/>
        <v/>
      </c>
      <c r="AR305" s="99" t="s">
        <v>136</v>
      </c>
    </row>
    <row r="306" spans="1:44" s="99" customFormat="1" ht="21" customHeight="1" x14ac:dyDescent="0.35">
      <c r="A306" s="99">
        <v>424</v>
      </c>
      <c r="B306" s="126" t="str">
        <f t="shared" si="24"/>
        <v>RM-304L/1D-004X774</v>
      </c>
      <c r="C306" s="126" t="s">
        <v>43</v>
      </c>
      <c r="D306" s="126" t="s">
        <v>43</v>
      </c>
      <c r="E306" s="143" t="s">
        <v>1380</v>
      </c>
      <c r="F306" s="143" t="s">
        <v>1381</v>
      </c>
      <c r="G306" s="126" t="s">
        <v>230</v>
      </c>
      <c r="H306" s="126" t="s">
        <v>139</v>
      </c>
      <c r="I306" s="127">
        <v>3.79</v>
      </c>
      <c r="J306" s="127"/>
      <c r="K306" s="127"/>
      <c r="L306" s="127"/>
      <c r="M306" s="144">
        <v>774</v>
      </c>
      <c r="N306" s="129">
        <v>10.385</v>
      </c>
      <c r="O306" s="129"/>
      <c r="P306" s="129"/>
      <c r="Q306" s="130"/>
      <c r="R306" s="131"/>
      <c r="S306" s="131"/>
      <c r="T306" s="132"/>
      <c r="U306" s="132"/>
      <c r="V306" s="132"/>
      <c r="W306" s="132"/>
      <c r="X306" s="132"/>
      <c r="Y306" s="133" t="s">
        <v>1366</v>
      </c>
      <c r="Z306" s="126" t="s">
        <v>64</v>
      </c>
      <c r="AA306" s="134" t="s">
        <v>154</v>
      </c>
      <c r="AB306" s="134" t="s">
        <v>1330</v>
      </c>
      <c r="AC306" s="134"/>
      <c r="AD306" s="134">
        <v>44554</v>
      </c>
      <c r="AE306" s="134"/>
      <c r="AF306" s="134">
        <f t="shared" ca="1" si="25"/>
        <v>44963</v>
      </c>
      <c r="AG306" s="126">
        <f t="shared" ca="1" si="26"/>
        <v>409</v>
      </c>
      <c r="AH306" s="126" t="str">
        <f t="shared" si="27"/>
        <v/>
      </c>
      <c r="AI306" s="134"/>
      <c r="AJ306" s="143" t="s">
        <v>1382</v>
      </c>
      <c r="AK306" s="129">
        <v>10.385</v>
      </c>
      <c r="AL306" s="129">
        <v>10.395</v>
      </c>
      <c r="AM306" s="129">
        <v>10.419999999999998</v>
      </c>
      <c r="AN306" s="129">
        <v>10.424999999999999</v>
      </c>
      <c r="AO306" s="126" t="str">
        <f t="shared" si="28"/>
        <v/>
      </c>
      <c r="AR306" s="99" t="s">
        <v>136</v>
      </c>
    </row>
    <row r="307" spans="1:44" s="99" customFormat="1" ht="21" customHeight="1" x14ac:dyDescent="0.35">
      <c r="A307" s="99">
        <v>424</v>
      </c>
      <c r="B307" s="126" t="str">
        <f t="shared" si="24"/>
        <v>RM-304L/1D-004X776</v>
      </c>
      <c r="C307" s="126" t="s">
        <v>43</v>
      </c>
      <c r="D307" s="126" t="s">
        <v>43</v>
      </c>
      <c r="E307" s="143" t="s">
        <v>1383</v>
      </c>
      <c r="F307" s="143" t="s">
        <v>1384</v>
      </c>
      <c r="G307" s="126" t="s">
        <v>230</v>
      </c>
      <c r="H307" s="126" t="s">
        <v>139</v>
      </c>
      <c r="I307" s="127">
        <v>3.8</v>
      </c>
      <c r="J307" s="127"/>
      <c r="K307" s="127"/>
      <c r="L307" s="127"/>
      <c r="M307" s="144">
        <v>776</v>
      </c>
      <c r="N307" s="129">
        <v>10.435</v>
      </c>
      <c r="O307" s="129"/>
      <c r="P307" s="129"/>
      <c r="Q307" s="130"/>
      <c r="R307" s="131"/>
      <c r="S307" s="131"/>
      <c r="T307" s="132"/>
      <c r="U307" s="132"/>
      <c r="V307" s="132"/>
      <c r="W307" s="132"/>
      <c r="X307" s="132"/>
      <c r="Y307" s="133" t="s">
        <v>1366</v>
      </c>
      <c r="Z307" s="126" t="s">
        <v>64</v>
      </c>
      <c r="AA307" s="134" t="s">
        <v>154</v>
      </c>
      <c r="AB307" s="134" t="s">
        <v>1330</v>
      </c>
      <c r="AC307" s="134"/>
      <c r="AD307" s="134">
        <v>44554</v>
      </c>
      <c r="AE307" s="134"/>
      <c r="AF307" s="134">
        <f t="shared" ca="1" si="25"/>
        <v>44963</v>
      </c>
      <c r="AG307" s="126">
        <f t="shared" ca="1" si="26"/>
        <v>409</v>
      </c>
      <c r="AH307" s="126" t="str">
        <f t="shared" si="27"/>
        <v/>
      </c>
      <c r="AI307" s="134"/>
      <c r="AJ307" s="143" t="s">
        <v>1385</v>
      </c>
      <c r="AK307" s="129">
        <v>10.435</v>
      </c>
      <c r="AL307" s="129">
        <v>10.445</v>
      </c>
      <c r="AM307" s="129">
        <v>10.469999999999999</v>
      </c>
      <c r="AN307" s="129">
        <v>10.475</v>
      </c>
      <c r="AO307" s="126" t="str">
        <f t="shared" si="28"/>
        <v/>
      </c>
      <c r="AR307" s="99" t="s">
        <v>136</v>
      </c>
    </row>
    <row r="308" spans="1:44" s="99" customFormat="1" ht="21" customHeight="1" x14ac:dyDescent="0.35">
      <c r="A308" s="99">
        <v>424</v>
      </c>
      <c r="B308" s="126" t="str">
        <f t="shared" si="24"/>
        <v>RM-304L/1D-004X776</v>
      </c>
      <c r="C308" s="126" t="s">
        <v>43</v>
      </c>
      <c r="D308" s="126" t="s">
        <v>43</v>
      </c>
      <c r="E308" s="143" t="s">
        <v>1386</v>
      </c>
      <c r="F308" s="143" t="s">
        <v>1387</v>
      </c>
      <c r="G308" s="126" t="s">
        <v>230</v>
      </c>
      <c r="H308" s="126" t="s">
        <v>139</v>
      </c>
      <c r="I308" s="127">
        <v>3.8</v>
      </c>
      <c r="J308" s="127"/>
      <c r="K308" s="127"/>
      <c r="L308" s="127"/>
      <c r="M308" s="144">
        <v>776</v>
      </c>
      <c r="N308" s="129">
        <v>10.445</v>
      </c>
      <c r="O308" s="129"/>
      <c r="P308" s="129"/>
      <c r="Q308" s="130"/>
      <c r="R308" s="131"/>
      <c r="S308" s="131"/>
      <c r="T308" s="132"/>
      <c r="U308" s="132"/>
      <c r="V308" s="132"/>
      <c r="W308" s="132"/>
      <c r="X308" s="132"/>
      <c r="Y308" s="133" t="s">
        <v>1366</v>
      </c>
      <c r="Z308" s="126" t="s">
        <v>64</v>
      </c>
      <c r="AA308" s="134" t="s">
        <v>154</v>
      </c>
      <c r="AB308" s="134" t="s">
        <v>1330</v>
      </c>
      <c r="AC308" s="134"/>
      <c r="AD308" s="134">
        <v>44554</v>
      </c>
      <c r="AE308" s="134"/>
      <c r="AF308" s="134">
        <f t="shared" ca="1" si="25"/>
        <v>44963</v>
      </c>
      <c r="AG308" s="126">
        <f t="shared" ca="1" si="26"/>
        <v>409</v>
      </c>
      <c r="AH308" s="126" t="str">
        <f t="shared" si="27"/>
        <v/>
      </c>
      <c r="AI308" s="134"/>
      <c r="AJ308" s="143" t="s">
        <v>1385</v>
      </c>
      <c r="AK308" s="129">
        <v>10.445</v>
      </c>
      <c r="AL308" s="129">
        <v>10.455</v>
      </c>
      <c r="AM308" s="129">
        <v>10.479999999999999</v>
      </c>
      <c r="AN308" s="129">
        <v>10.484999999999999</v>
      </c>
      <c r="AO308" s="126" t="str">
        <f t="shared" si="28"/>
        <v/>
      </c>
      <c r="AR308" s="99" t="s">
        <v>136</v>
      </c>
    </row>
    <row r="309" spans="1:44" s="99" customFormat="1" ht="21" customHeight="1" x14ac:dyDescent="0.35">
      <c r="A309" s="99">
        <v>424</v>
      </c>
      <c r="B309" s="126" t="str">
        <f t="shared" si="24"/>
        <v>RM-304L/1D-003X768</v>
      </c>
      <c r="C309" s="126" t="s">
        <v>11</v>
      </c>
      <c r="D309" s="126" t="s">
        <v>11</v>
      </c>
      <c r="E309" s="143" t="s">
        <v>1388</v>
      </c>
      <c r="F309" s="143" t="s">
        <v>1389</v>
      </c>
      <c r="G309" s="126" t="s">
        <v>230</v>
      </c>
      <c r="H309" s="126" t="s">
        <v>139</v>
      </c>
      <c r="I309" s="127">
        <v>3.44</v>
      </c>
      <c r="J309" s="127"/>
      <c r="K309" s="127"/>
      <c r="L309" s="127"/>
      <c r="M309" s="144">
        <v>768</v>
      </c>
      <c r="N309" s="129">
        <v>10.59</v>
      </c>
      <c r="O309" s="129"/>
      <c r="P309" s="129"/>
      <c r="Q309" s="130"/>
      <c r="R309" s="131"/>
      <c r="S309" s="131"/>
      <c r="T309" s="132">
        <v>44620</v>
      </c>
      <c r="U309" s="132"/>
      <c r="V309" s="132"/>
      <c r="W309" s="132"/>
      <c r="X309" s="132"/>
      <c r="Y309" s="133" t="s">
        <v>1366</v>
      </c>
      <c r="Z309" s="126" t="s">
        <v>64</v>
      </c>
      <c r="AA309" s="134" t="s">
        <v>154</v>
      </c>
      <c r="AB309" s="134" t="s">
        <v>1330</v>
      </c>
      <c r="AC309" s="134"/>
      <c r="AD309" s="134">
        <v>44554</v>
      </c>
      <c r="AE309" s="134"/>
      <c r="AF309" s="134">
        <f t="shared" ca="1" si="25"/>
        <v>44963</v>
      </c>
      <c r="AG309" s="126">
        <f t="shared" ca="1" si="26"/>
        <v>409</v>
      </c>
      <c r="AH309" s="126" t="str">
        <f t="shared" si="27"/>
        <v/>
      </c>
      <c r="AI309" s="134"/>
      <c r="AJ309" s="143" t="s">
        <v>1390</v>
      </c>
      <c r="AK309" s="129">
        <v>10.59</v>
      </c>
      <c r="AL309" s="129">
        <v>10.6</v>
      </c>
      <c r="AM309" s="129">
        <v>10.624999999999998</v>
      </c>
      <c r="AN309" s="129">
        <v>10.629999999999999</v>
      </c>
      <c r="AO309" s="126" t="str">
        <f t="shared" si="28"/>
        <v/>
      </c>
      <c r="AR309" s="99" t="s">
        <v>136</v>
      </c>
    </row>
    <row r="310" spans="1:44" s="99" customFormat="1" ht="21" customHeight="1" x14ac:dyDescent="0.35">
      <c r="A310" s="99">
        <v>424</v>
      </c>
      <c r="B310" s="126" t="str">
        <f t="shared" si="24"/>
        <v>RM-304L/1D-003X768</v>
      </c>
      <c r="C310" s="126" t="s">
        <v>43</v>
      </c>
      <c r="D310" s="126" t="s">
        <v>43</v>
      </c>
      <c r="E310" s="143" t="s">
        <v>1391</v>
      </c>
      <c r="F310" s="143" t="s">
        <v>1392</v>
      </c>
      <c r="G310" s="126" t="s">
        <v>230</v>
      </c>
      <c r="H310" s="126" t="s">
        <v>139</v>
      </c>
      <c r="I310" s="127">
        <v>3.44</v>
      </c>
      <c r="J310" s="127"/>
      <c r="K310" s="127"/>
      <c r="L310" s="127"/>
      <c r="M310" s="144">
        <v>768</v>
      </c>
      <c r="N310" s="129">
        <v>10.58</v>
      </c>
      <c r="O310" s="129"/>
      <c r="P310" s="129"/>
      <c r="Q310" s="130"/>
      <c r="R310" s="131"/>
      <c r="S310" s="131"/>
      <c r="T310" s="132"/>
      <c r="U310" s="132"/>
      <c r="V310" s="132"/>
      <c r="W310" s="132"/>
      <c r="X310" s="132"/>
      <c r="Y310" s="133" t="s">
        <v>1366</v>
      </c>
      <c r="Z310" s="126" t="s">
        <v>64</v>
      </c>
      <c r="AA310" s="134" t="s">
        <v>154</v>
      </c>
      <c r="AB310" s="134" t="s">
        <v>1330</v>
      </c>
      <c r="AC310" s="134"/>
      <c r="AD310" s="134">
        <v>44554</v>
      </c>
      <c r="AE310" s="134"/>
      <c r="AF310" s="134">
        <f t="shared" ca="1" si="25"/>
        <v>44963</v>
      </c>
      <c r="AG310" s="126">
        <f t="shared" ca="1" si="26"/>
        <v>409</v>
      </c>
      <c r="AH310" s="126" t="str">
        <f t="shared" si="27"/>
        <v/>
      </c>
      <c r="AI310" s="134"/>
      <c r="AJ310" s="143" t="s">
        <v>1390</v>
      </c>
      <c r="AK310" s="129">
        <v>10.58</v>
      </c>
      <c r="AL310" s="129">
        <v>10.59</v>
      </c>
      <c r="AM310" s="129">
        <v>10.614999999999998</v>
      </c>
      <c r="AN310" s="129">
        <v>10.62</v>
      </c>
      <c r="AO310" s="126" t="str">
        <f t="shared" si="28"/>
        <v/>
      </c>
      <c r="AR310" s="99" t="s">
        <v>136</v>
      </c>
    </row>
    <row r="311" spans="1:44" s="99" customFormat="1" ht="21" customHeight="1" x14ac:dyDescent="0.35">
      <c r="A311" s="99">
        <v>424</v>
      </c>
      <c r="B311" s="126" t="str">
        <f t="shared" si="24"/>
        <v>WIP-304L/2B-001X764</v>
      </c>
      <c r="C311" s="126" t="s">
        <v>14</v>
      </c>
      <c r="D311" s="126" t="s">
        <v>358</v>
      </c>
      <c r="E311" s="143" t="s">
        <v>1393</v>
      </c>
      <c r="F311" s="143" t="s">
        <v>1394</v>
      </c>
      <c r="G311" s="126" t="s">
        <v>230</v>
      </c>
      <c r="H311" s="126" t="s">
        <v>116</v>
      </c>
      <c r="I311" s="127">
        <v>3.78</v>
      </c>
      <c r="J311" s="127">
        <v>1.4</v>
      </c>
      <c r="K311" s="127">
        <v>1.39</v>
      </c>
      <c r="L311" s="127">
        <v>1.4</v>
      </c>
      <c r="M311" s="144">
        <v>764</v>
      </c>
      <c r="N311" s="129">
        <v>10.205</v>
      </c>
      <c r="O311" s="129" t="s">
        <v>116</v>
      </c>
      <c r="P311" s="129"/>
      <c r="Q311" s="130" t="s">
        <v>412</v>
      </c>
      <c r="R311" s="131"/>
      <c r="S311" s="131"/>
      <c r="T311" s="132">
        <v>44619</v>
      </c>
      <c r="U311" s="132">
        <v>44619</v>
      </c>
      <c r="V311" s="132">
        <v>44620</v>
      </c>
      <c r="W311" s="132"/>
      <c r="X311" s="132"/>
      <c r="Y311" s="133" t="s">
        <v>1395</v>
      </c>
      <c r="Z311" s="126" t="s">
        <v>64</v>
      </c>
      <c r="AA311" s="134" t="s">
        <v>154</v>
      </c>
      <c r="AB311" s="134" t="s">
        <v>1330</v>
      </c>
      <c r="AC311" s="134"/>
      <c r="AD311" s="134">
        <v>44554</v>
      </c>
      <c r="AE311" s="134"/>
      <c r="AF311" s="134">
        <f t="shared" ca="1" si="25"/>
        <v>44963</v>
      </c>
      <c r="AG311" s="126">
        <f t="shared" ca="1" si="26"/>
        <v>409</v>
      </c>
      <c r="AH311" s="126">
        <f t="shared" ca="1" si="27"/>
        <v>343</v>
      </c>
      <c r="AI311" s="134"/>
      <c r="AJ311" s="143" t="s">
        <v>1396</v>
      </c>
      <c r="AK311" s="129">
        <v>10.220000000000001</v>
      </c>
      <c r="AL311" s="129">
        <v>10.23</v>
      </c>
      <c r="AM311" s="129">
        <v>10.254999999999999</v>
      </c>
      <c r="AN311" s="129">
        <v>10.26</v>
      </c>
      <c r="AO311" s="126">
        <f t="shared" ca="1" si="28"/>
        <v>344</v>
      </c>
      <c r="AR311" s="99" t="s">
        <v>136</v>
      </c>
    </row>
    <row r="312" spans="1:44" s="99" customFormat="1" ht="21" customHeight="1" x14ac:dyDescent="0.35">
      <c r="A312" s="99">
        <v>424</v>
      </c>
      <c r="B312" s="126" t="str">
        <f t="shared" si="24"/>
        <v>WIP-304L/FH-001X767</v>
      </c>
      <c r="C312" s="126" t="s">
        <v>13</v>
      </c>
      <c r="D312" s="126" t="s">
        <v>13</v>
      </c>
      <c r="E312" s="143" t="s">
        <v>1397</v>
      </c>
      <c r="F312" s="143" t="s">
        <v>1398</v>
      </c>
      <c r="G312" s="126" t="s">
        <v>230</v>
      </c>
      <c r="H312" s="126" t="s">
        <v>65</v>
      </c>
      <c r="I312" s="127">
        <v>3.43</v>
      </c>
      <c r="J312" s="127">
        <v>1</v>
      </c>
      <c r="K312" s="127"/>
      <c r="L312" s="127"/>
      <c r="M312" s="144">
        <v>767</v>
      </c>
      <c r="N312" s="129">
        <v>10.515000000000001</v>
      </c>
      <c r="O312" s="129" t="s">
        <v>116</v>
      </c>
      <c r="P312" s="129"/>
      <c r="Q312" s="130" t="s">
        <v>1370</v>
      </c>
      <c r="R312" s="131"/>
      <c r="S312" s="131"/>
      <c r="T312" s="132">
        <v>44619</v>
      </c>
      <c r="U312" s="132">
        <v>44619</v>
      </c>
      <c r="V312" s="132"/>
      <c r="W312" s="132"/>
      <c r="X312" s="132"/>
      <c r="Y312" s="133" t="s">
        <v>1366</v>
      </c>
      <c r="Z312" s="126" t="s">
        <v>64</v>
      </c>
      <c r="AA312" s="134" t="s">
        <v>154</v>
      </c>
      <c r="AB312" s="134" t="s">
        <v>1330</v>
      </c>
      <c r="AC312" s="134"/>
      <c r="AD312" s="134">
        <v>44554</v>
      </c>
      <c r="AE312" s="134"/>
      <c r="AF312" s="134">
        <f t="shared" ca="1" si="25"/>
        <v>44963</v>
      </c>
      <c r="AG312" s="126">
        <f t="shared" ca="1" si="26"/>
        <v>409</v>
      </c>
      <c r="AH312" s="126" t="str">
        <f t="shared" si="27"/>
        <v/>
      </c>
      <c r="AI312" s="134"/>
      <c r="AJ312" s="143" t="s">
        <v>1399</v>
      </c>
      <c r="AK312" s="129">
        <v>10.52</v>
      </c>
      <c r="AL312" s="129">
        <v>10.53</v>
      </c>
      <c r="AM312" s="129">
        <v>10.554999999999998</v>
      </c>
      <c r="AN312" s="129">
        <v>10.559999999999999</v>
      </c>
      <c r="AO312" s="126">
        <f t="shared" ca="1" si="28"/>
        <v>344</v>
      </c>
      <c r="AR312" s="99" t="s">
        <v>136</v>
      </c>
    </row>
    <row r="313" spans="1:44" s="99" customFormat="1" ht="21" customHeight="1" x14ac:dyDescent="0.35">
      <c r="A313" s="99">
        <v>424</v>
      </c>
      <c r="B313" s="126" t="str">
        <f t="shared" si="24"/>
        <v>RM-304L/1D-003X767</v>
      </c>
      <c r="C313" s="126" t="s">
        <v>11</v>
      </c>
      <c r="D313" s="126" t="s">
        <v>11</v>
      </c>
      <c r="E313" s="143" t="s">
        <v>1400</v>
      </c>
      <c r="F313" s="143" t="s">
        <v>1401</v>
      </c>
      <c r="G313" s="126" t="s">
        <v>230</v>
      </c>
      <c r="H313" s="126" t="s">
        <v>139</v>
      </c>
      <c r="I313" s="127">
        <v>3.44</v>
      </c>
      <c r="J313" s="127"/>
      <c r="K313" s="127"/>
      <c r="L313" s="127"/>
      <c r="M313" s="144">
        <v>767</v>
      </c>
      <c r="N313" s="129">
        <v>10.494999999999999</v>
      </c>
      <c r="O313" s="129"/>
      <c r="P313" s="129"/>
      <c r="Q313" s="130"/>
      <c r="R313" s="131"/>
      <c r="S313" s="131"/>
      <c r="T313" s="132">
        <v>44620</v>
      </c>
      <c r="U313" s="132"/>
      <c r="V313" s="132"/>
      <c r="W313" s="132"/>
      <c r="X313" s="132"/>
      <c r="Y313" s="133" t="s">
        <v>1366</v>
      </c>
      <c r="Z313" s="126" t="s">
        <v>64</v>
      </c>
      <c r="AA313" s="134" t="s">
        <v>154</v>
      </c>
      <c r="AB313" s="134" t="s">
        <v>1330</v>
      </c>
      <c r="AC313" s="134"/>
      <c r="AD313" s="134">
        <v>44554</v>
      </c>
      <c r="AE313" s="134"/>
      <c r="AF313" s="134">
        <f t="shared" ca="1" si="25"/>
        <v>44963</v>
      </c>
      <c r="AG313" s="126">
        <f t="shared" ca="1" si="26"/>
        <v>409</v>
      </c>
      <c r="AH313" s="126" t="str">
        <f t="shared" si="27"/>
        <v/>
      </c>
      <c r="AI313" s="134"/>
      <c r="AJ313" s="143" t="s">
        <v>1399</v>
      </c>
      <c r="AK313" s="129">
        <v>10.494999999999999</v>
      </c>
      <c r="AL313" s="129">
        <v>10.505000000000001</v>
      </c>
      <c r="AM313" s="129">
        <v>10.53</v>
      </c>
      <c r="AN313" s="129">
        <v>10.535</v>
      </c>
      <c r="AO313" s="126" t="str">
        <f t="shared" si="28"/>
        <v/>
      </c>
      <c r="AR313" s="99" t="s">
        <v>136</v>
      </c>
    </row>
    <row r="314" spans="1:44" s="99" customFormat="1" ht="21" customHeight="1" x14ac:dyDescent="0.35">
      <c r="A314" s="99">
        <v>424</v>
      </c>
      <c r="B314" s="126" t="str">
        <f t="shared" ref="B314:B377" si="29">IF(C314="HOLD RM","HOLD RM",IF(C314="BAL","WIP",IF(C314="HOLD SLT","HOLD SLT",IF(C314="MILL","RM",IF(C314="RE SLT","WIP",IF(C314="RM","RM",IF(C314="RM BAL","RM",IF(C314="RM SLT","RM",IF(C314="RR","WIP",IF(C314="SKP","WIP",IF(C314="SLT","WIP",IF(C314="CTL","WIP",IF(C314="RM SLT RUST","RM SLT RUST",0)))))))))))))&amp;"-"&amp;G314&amp;"/"&amp;IF(H314="2B","2B",IF(H314="NO.1","1D",IF(H314="FH","FH",0)))&amp;"-"&amp;IF(J314="",(TEXT(I314,"0.00")),TEXT(J314,"0.00"))&amp;"X"&amp;M314</f>
        <v>RM-304L/1D-003X766</v>
      </c>
      <c r="C314" s="126" t="s">
        <v>43</v>
      </c>
      <c r="D314" s="126" t="s">
        <v>43</v>
      </c>
      <c r="E314" s="143" t="s">
        <v>1402</v>
      </c>
      <c r="F314" s="143" t="s">
        <v>1403</v>
      </c>
      <c r="G314" s="126" t="s">
        <v>230</v>
      </c>
      <c r="H314" s="126" t="s">
        <v>139</v>
      </c>
      <c r="I314" s="127">
        <v>2.89</v>
      </c>
      <c r="J314" s="127"/>
      <c r="K314" s="127"/>
      <c r="L314" s="127"/>
      <c r="M314" s="144">
        <v>766</v>
      </c>
      <c r="N314" s="129">
        <v>10.285</v>
      </c>
      <c r="O314" s="129"/>
      <c r="P314" s="129"/>
      <c r="Q314" s="130"/>
      <c r="R314" s="131"/>
      <c r="S314" s="131"/>
      <c r="T314" s="132"/>
      <c r="U314" s="132"/>
      <c r="V314" s="132"/>
      <c r="W314" s="132"/>
      <c r="X314" s="132"/>
      <c r="Y314" s="133" t="s">
        <v>1366</v>
      </c>
      <c r="Z314" s="126" t="s">
        <v>64</v>
      </c>
      <c r="AA314" s="134" t="s">
        <v>154</v>
      </c>
      <c r="AB314" s="134" t="s">
        <v>1330</v>
      </c>
      <c r="AC314" s="134"/>
      <c r="AD314" s="134">
        <v>44554</v>
      </c>
      <c r="AE314" s="134"/>
      <c r="AF314" s="134">
        <f t="shared" ca="1" si="25"/>
        <v>44963</v>
      </c>
      <c r="AG314" s="126">
        <f t="shared" ca="1" si="26"/>
        <v>409</v>
      </c>
      <c r="AH314" s="126" t="str">
        <f t="shared" si="27"/>
        <v/>
      </c>
      <c r="AI314" s="134"/>
      <c r="AJ314" s="143" t="s">
        <v>1404</v>
      </c>
      <c r="AK314" s="129">
        <v>10.285</v>
      </c>
      <c r="AL314" s="129">
        <v>10.295</v>
      </c>
      <c r="AM314" s="129">
        <v>10.319999999999999</v>
      </c>
      <c r="AN314" s="129">
        <v>10.324999999999999</v>
      </c>
      <c r="AO314" s="126" t="str">
        <f t="shared" si="28"/>
        <v/>
      </c>
      <c r="AR314" s="99" t="s">
        <v>136</v>
      </c>
    </row>
    <row r="315" spans="1:44" s="99" customFormat="1" ht="21" customHeight="1" x14ac:dyDescent="0.35">
      <c r="A315" s="99">
        <v>424</v>
      </c>
      <c r="B315" s="126" t="str">
        <f t="shared" si="29"/>
        <v>RM-304L/1D-003X767</v>
      </c>
      <c r="C315" s="126" t="s">
        <v>43</v>
      </c>
      <c r="D315" s="126" t="s">
        <v>43</v>
      </c>
      <c r="E315" s="143" t="s">
        <v>1405</v>
      </c>
      <c r="F315" s="143" t="s">
        <v>1406</v>
      </c>
      <c r="G315" s="126" t="s">
        <v>230</v>
      </c>
      <c r="H315" s="126" t="s">
        <v>139</v>
      </c>
      <c r="I315" s="127">
        <v>2.9</v>
      </c>
      <c r="J315" s="127"/>
      <c r="K315" s="127"/>
      <c r="L315" s="127"/>
      <c r="M315" s="144">
        <v>767</v>
      </c>
      <c r="N315" s="129">
        <v>10.285</v>
      </c>
      <c r="O315" s="129"/>
      <c r="P315" s="129"/>
      <c r="Q315" s="130"/>
      <c r="R315" s="131"/>
      <c r="S315" s="131"/>
      <c r="T315" s="132"/>
      <c r="U315" s="132"/>
      <c r="V315" s="132"/>
      <c r="W315" s="132"/>
      <c r="X315" s="132"/>
      <c r="Y315" s="133" t="s">
        <v>1366</v>
      </c>
      <c r="Z315" s="126" t="s">
        <v>64</v>
      </c>
      <c r="AA315" s="134" t="s">
        <v>154</v>
      </c>
      <c r="AB315" s="134" t="s">
        <v>1330</v>
      </c>
      <c r="AC315" s="134"/>
      <c r="AD315" s="134">
        <v>44554</v>
      </c>
      <c r="AE315" s="134"/>
      <c r="AF315" s="134">
        <f t="shared" ca="1" si="25"/>
        <v>44963</v>
      </c>
      <c r="AG315" s="126">
        <f t="shared" ca="1" si="26"/>
        <v>409</v>
      </c>
      <c r="AH315" s="126" t="str">
        <f t="shared" si="27"/>
        <v/>
      </c>
      <c r="AI315" s="134"/>
      <c r="AJ315" s="143" t="s">
        <v>1404</v>
      </c>
      <c r="AK315" s="129">
        <v>10.285</v>
      </c>
      <c r="AL315" s="129">
        <v>10.295</v>
      </c>
      <c r="AM315" s="129">
        <v>10.319999999999999</v>
      </c>
      <c r="AN315" s="129">
        <v>10.324999999999999</v>
      </c>
      <c r="AO315" s="126" t="str">
        <f t="shared" si="28"/>
        <v/>
      </c>
      <c r="AR315" s="99" t="s">
        <v>136</v>
      </c>
    </row>
    <row r="316" spans="1:44" s="99" customFormat="1" ht="21" customHeight="1" x14ac:dyDescent="0.35">
      <c r="A316" s="99">
        <v>424</v>
      </c>
      <c r="B316" s="126" t="str">
        <f t="shared" si="29"/>
        <v>RM-304L/1D-004X767</v>
      </c>
      <c r="C316" s="126" t="s">
        <v>43</v>
      </c>
      <c r="D316" s="126" t="s">
        <v>43</v>
      </c>
      <c r="E316" s="143" t="s">
        <v>1407</v>
      </c>
      <c r="F316" s="143" t="s">
        <v>1408</v>
      </c>
      <c r="G316" s="126" t="s">
        <v>230</v>
      </c>
      <c r="H316" s="126" t="s">
        <v>139</v>
      </c>
      <c r="I316" s="127">
        <v>3.8</v>
      </c>
      <c r="J316" s="127"/>
      <c r="K316" s="127"/>
      <c r="L316" s="127"/>
      <c r="M316" s="144">
        <v>767</v>
      </c>
      <c r="N316" s="129">
        <v>11.46</v>
      </c>
      <c r="O316" s="129"/>
      <c r="P316" s="129"/>
      <c r="Q316" s="130"/>
      <c r="R316" s="131"/>
      <c r="S316" s="131"/>
      <c r="T316" s="132"/>
      <c r="U316" s="132"/>
      <c r="V316" s="132"/>
      <c r="W316" s="132"/>
      <c r="X316" s="132"/>
      <c r="Y316" s="133" t="s">
        <v>1376</v>
      </c>
      <c r="Z316" s="126" t="s">
        <v>64</v>
      </c>
      <c r="AA316" s="134" t="s">
        <v>154</v>
      </c>
      <c r="AB316" s="134" t="s">
        <v>1330</v>
      </c>
      <c r="AC316" s="134"/>
      <c r="AD316" s="134">
        <v>44554</v>
      </c>
      <c r="AE316" s="134"/>
      <c r="AF316" s="134">
        <f t="shared" ca="1" si="25"/>
        <v>44963</v>
      </c>
      <c r="AG316" s="126">
        <f t="shared" ca="1" si="26"/>
        <v>409</v>
      </c>
      <c r="AH316" s="126" t="str">
        <f t="shared" si="27"/>
        <v/>
      </c>
      <c r="AI316" s="134"/>
      <c r="AJ316" s="143" t="s">
        <v>1409</v>
      </c>
      <c r="AK316" s="129">
        <v>11.46</v>
      </c>
      <c r="AL316" s="129">
        <v>11.47</v>
      </c>
      <c r="AM316" s="129">
        <v>11.494999999999999</v>
      </c>
      <c r="AN316" s="129">
        <v>11.5</v>
      </c>
      <c r="AO316" s="126" t="str">
        <f t="shared" si="28"/>
        <v/>
      </c>
      <c r="AR316" s="99" t="s">
        <v>136</v>
      </c>
    </row>
    <row r="317" spans="1:44" s="99" customFormat="1" ht="21" customHeight="1" x14ac:dyDescent="0.35">
      <c r="A317" s="99">
        <v>424</v>
      </c>
      <c r="B317" s="126" t="str">
        <f t="shared" si="29"/>
        <v>RM-304L/1D-004X767</v>
      </c>
      <c r="C317" s="126" t="s">
        <v>43</v>
      </c>
      <c r="D317" s="126" t="s">
        <v>43</v>
      </c>
      <c r="E317" s="143" t="s">
        <v>1410</v>
      </c>
      <c r="F317" s="143" t="s">
        <v>1411</v>
      </c>
      <c r="G317" s="126" t="s">
        <v>230</v>
      </c>
      <c r="H317" s="126" t="s">
        <v>139</v>
      </c>
      <c r="I317" s="127">
        <v>3.8</v>
      </c>
      <c r="J317" s="127"/>
      <c r="K317" s="127"/>
      <c r="L317" s="127"/>
      <c r="M317" s="144">
        <v>767</v>
      </c>
      <c r="N317" s="129">
        <v>11.475</v>
      </c>
      <c r="O317" s="129"/>
      <c r="P317" s="129"/>
      <c r="Q317" s="130"/>
      <c r="R317" s="131"/>
      <c r="S317" s="131"/>
      <c r="T317" s="132"/>
      <c r="U317" s="132"/>
      <c r="V317" s="132"/>
      <c r="W317" s="132"/>
      <c r="X317" s="132"/>
      <c r="Y317" s="133" t="s">
        <v>1366</v>
      </c>
      <c r="Z317" s="126" t="s">
        <v>64</v>
      </c>
      <c r="AA317" s="134" t="s">
        <v>154</v>
      </c>
      <c r="AB317" s="134" t="s">
        <v>1330</v>
      </c>
      <c r="AC317" s="134"/>
      <c r="AD317" s="134">
        <v>44554</v>
      </c>
      <c r="AE317" s="134"/>
      <c r="AF317" s="134">
        <f t="shared" ca="1" si="25"/>
        <v>44963</v>
      </c>
      <c r="AG317" s="126">
        <f t="shared" ca="1" si="26"/>
        <v>409</v>
      </c>
      <c r="AH317" s="126" t="str">
        <f t="shared" si="27"/>
        <v/>
      </c>
      <c r="AI317" s="134"/>
      <c r="AJ317" s="143" t="s">
        <v>1409</v>
      </c>
      <c r="AK317" s="129">
        <v>11.475</v>
      </c>
      <c r="AL317" s="129">
        <v>11.484999999999999</v>
      </c>
      <c r="AM317" s="129">
        <v>11.509999999999998</v>
      </c>
      <c r="AN317" s="129">
        <v>11.514999999999999</v>
      </c>
      <c r="AO317" s="126" t="str">
        <f t="shared" si="28"/>
        <v/>
      </c>
      <c r="AR317" s="99" t="s">
        <v>136</v>
      </c>
    </row>
    <row r="318" spans="1:44" s="99" customFormat="1" ht="21" customHeight="1" x14ac:dyDescent="0.35">
      <c r="A318" s="99">
        <v>424</v>
      </c>
      <c r="B318" s="126" t="str">
        <f t="shared" si="29"/>
        <v>RM-304L/1D-003X770</v>
      </c>
      <c r="C318" s="126" t="s">
        <v>43</v>
      </c>
      <c r="D318" s="126" t="s">
        <v>43</v>
      </c>
      <c r="E318" s="143" t="s">
        <v>1412</v>
      </c>
      <c r="F318" s="143" t="s">
        <v>1413</v>
      </c>
      <c r="G318" s="126" t="s">
        <v>230</v>
      </c>
      <c r="H318" s="126" t="s">
        <v>139</v>
      </c>
      <c r="I318" s="127">
        <v>3.48</v>
      </c>
      <c r="J318" s="127"/>
      <c r="K318" s="127"/>
      <c r="L318" s="127"/>
      <c r="M318" s="144">
        <v>770</v>
      </c>
      <c r="N318" s="129">
        <v>10.525</v>
      </c>
      <c r="O318" s="129"/>
      <c r="P318" s="129"/>
      <c r="Q318" s="130"/>
      <c r="R318" s="131"/>
      <c r="S318" s="131"/>
      <c r="T318" s="132"/>
      <c r="U318" s="132"/>
      <c r="V318" s="132"/>
      <c r="W318" s="132"/>
      <c r="X318" s="132"/>
      <c r="Y318" s="133" t="s">
        <v>1376</v>
      </c>
      <c r="Z318" s="126" t="s">
        <v>64</v>
      </c>
      <c r="AA318" s="134" t="s">
        <v>154</v>
      </c>
      <c r="AB318" s="134" t="s">
        <v>1330</v>
      </c>
      <c r="AC318" s="134"/>
      <c r="AD318" s="134">
        <v>44554</v>
      </c>
      <c r="AE318" s="134"/>
      <c r="AF318" s="134">
        <f t="shared" ca="1" si="25"/>
        <v>44963</v>
      </c>
      <c r="AG318" s="126">
        <f t="shared" ca="1" si="26"/>
        <v>409</v>
      </c>
      <c r="AH318" s="126" t="str">
        <f t="shared" si="27"/>
        <v/>
      </c>
      <c r="AI318" s="134"/>
      <c r="AJ318" s="143" t="s">
        <v>1414</v>
      </c>
      <c r="AK318" s="129">
        <v>10.525</v>
      </c>
      <c r="AL318" s="129">
        <v>10.535</v>
      </c>
      <c r="AM318" s="129">
        <v>10.559999999999999</v>
      </c>
      <c r="AN318" s="129">
        <v>10.565</v>
      </c>
      <c r="AO318" s="126" t="str">
        <f t="shared" si="28"/>
        <v/>
      </c>
      <c r="AR318" s="99" t="s">
        <v>136</v>
      </c>
    </row>
    <row r="319" spans="1:44" s="99" customFormat="1" ht="21" customHeight="1" x14ac:dyDescent="0.35">
      <c r="A319" s="99">
        <v>424</v>
      </c>
      <c r="B319" s="126" t="str">
        <f t="shared" si="29"/>
        <v>RM-304L/1D-003X773</v>
      </c>
      <c r="C319" s="126" t="s">
        <v>43</v>
      </c>
      <c r="D319" s="126" t="s">
        <v>43</v>
      </c>
      <c r="E319" s="143" t="s">
        <v>1415</v>
      </c>
      <c r="F319" s="143" t="s">
        <v>1416</v>
      </c>
      <c r="G319" s="126" t="s">
        <v>230</v>
      </c>
      <c r="H319" s="126" t="s">
        <v>139</v>
      </c>
      <c r="I319" s="127">
        <v>3.49</v>
      </c>
      <c r="J319" s="127"/>
      <c r="K319" s="127"/>
      <c r="L319" s="127"/>
      <c r="M319" s="144">
        <v>773</v>
      </c>
      <c r="N319" s="129">
        <v>10.535</v>
      </c>
      <c r="O319" s="129"/>
      <c r="P319" s="129"/>
      <c r="Q319" s="130"/>
      <c r="R319" s="131"/>
      <c r="S319" s="131"/>
      <c r="T319" s="132"/>
      <c r="U319" s="132"/>
      <c r="V319" s="132"/>
      <c r="W319" s="132"/>
      <c r="X319" s="132"/>
      <c r="Y319" s="133" t="s">
        <v>1376</v>
      </c>
      <c r="Z319" s="126" t="s">
        <v>64</v>
      </c>
      <c r="AA319" s="134" t="s">
        <v>154</v>
      </c>
      <c r="AB319" s="134" t="s">
        <v>1330</v>
      </c>
      <c r="AC319" s="134"/>
      <c r="AD319" s="134">
        <v>44554</v>
      </c>
      <c r="AE319" s="134"/>
      <c r="AF319" s="134">
        <f t="shared" ca="1" si="25"/>
        <v>44963</v>
      </c>
      <c r="AG319" s="126">
        <f t="shared" ca="1" si="26"/>
        <v>409</v>
      </c>
      <c r="AH319" s="126" t="str">
        <f t="shared" si="27"/>
        <v/>
      </c>
      <c r="AI319" s="134"/>
      <c r="AJ319" s="143" t="s">
        <v>1414</v>
      </c>
      <c r="AK319" s="129">
        <v>10.535</v>
      </c>
      <c r="AL319" s="129">
        <v>10.545</v>
      </c>
      <c r="AM319" s="129">
        <v>10.569999999999999</v>
      </c>
      <c r="AN319" s="129">
        <v>10.574999999999999</v>
      </c>
      <c r="AO319" s="126" t="str">
        <f t="shared" si="28"/>
        <v/>
      </c>
      <c r="AR319" s="99" t="s">
        <v>136</v>
      </c>
    </row>
    <row r="320" spans="1:44" s="99" customFormat="1" ht="21" customHeight="1" x14ac:dyDescent="0.35">
      <c r="A320" s="99">
        <v>424</v>
      </c>
      <c r="B320" s="126" t="str">
        <f t="shared" si="29"/>
        <v>RM-304L/1D-003X766</v>
      </c>
      <c r="C320" s="126" t="s">
        <v>43</v>
      </c>
      <c r="D320" s="126" t="s">
        <v>43</v>
      </c>
      <c r="E320" s="143" t="s">
        <v>1417</v>
      </c>
      <c r="F320" s="143" t="s">
        <v>1418</v>
      </c>
      <c r="G320" s="126" t="s">
        <v>230</v>
      </c>
      <c r="H320" s="126" t="s">
        <v>139</v>
      </c>
      <c r="I320" s="127">
        <v>2.99</v>
      </c>
      <c r="J320" s="127"/>
      <c r="K320" s="127"/>
      <c r="L320" s="127"/>
      <c r="M320" s="144">
        <v>766</v>
      </c>
      <c r="N320" s="129">
        <v>12.1</v>
      </c>
      <c r="O320" s="129"/>
      <c r="P320" s="129"/>
      <c r="Q320" s="130"/>
      <c r="R320" s="131"/>
      <c r="S320" s="131"/>
      <c r="T320" s="132"/>
      <c r="U320" s="132"/>
      <c r="V320" s="132"/>
      <c r="W320" s="132"/>
      <c r="X320" s="132"/>
      <c r="Y320" s="133" t="s">
        <v>1376</v>
      </c>
      <c r="Z320" s="126" t="s">
        <v>64</v>
      </c>
      <c r="AA320" s="134" t="s">
        <v>154</v>
      </c>
      <c r="AB320" s="134" t="s">
        <v>1330</v>
      </c>
      <c r="AC320" s="134"/>
      <c r="AD320" s="134">
        <v>44554</v>
      </c>
      <c r="AE320" s="134"/>
      <c r="AF320" s="134">
        <f t="shared" ca="1" si="25"/>
        <v>44963</v>
      </c>
      <c r="AG320" s="126">
        <f t="shared" ca="1" si="26"/>
        <v>409</v>
      </c>
      <c r="AH320" s="126" t="str">
        <f t="shared" si="27"/>
        <v/>
      </c>
      <c r="AI320" s="134"/>
      <c r="AJ320" s="143" t="s">
        <v>1419</v>
      </c>
      <c r="AK320" s="129">
        <v>12.1</v>
      </c>
      <c r="AL320" s="129">
        <v>12.11</v>
      </c>
      <c r="AM320" s="129">
        <v>12.134999999999998</v>
      </c>
      <c r="AN320" s="129">
        <v>12.139999999999999</v>
      </c>
      <c r="AO320" s="126" t="str">
        <f t="shared" si="28"/>
        <v/>
      </c>
      <c r="AR320" s="99" t="s">
        <v>136</v>
      </c>
    </row>
    <row r="321" spans="1:44" s="99" customFormat="1" ht="21" customHeight="1" x14ac:dyDescent="0.35">
      <c r="A321" s="99">
        <v>424</v>
      </c>
      <c r="B321" s="126" t="str">
        <f t="shared" si="29"/>
        <v>RM-304L/1D-003X772</v>
      </c>
      <c r="C321" s="126" t="s">
        <v>43</v>
      </c>
      <c r="D321" s="126" t="s">
        <v>43</v>
      </c>
      <c r="E321" s="143" t="s">
        <v>1420</v>
      </c>
      <c r="F321" s="143" t="s">
        <v>1421</v>
      </c>
      <c r="G321" s="126" t="s">
        <v>230</v>
      </c>
      <c r="H321" s="126" t="s">
        <v>139</v>
      </c>
      <c r="I321" s="127">
        <v>2.98</v>
      </c>
      <c r="J321" s="127"/>
      <c r="K321" s="127"/>
      <c r="L321" s="127"/>
      <c r="M321" s="144">
        <v>772</v>
      </c>
      <c r="N321" s="129">
        <v>12.19</v>
      </c>
      <c r="O321" s="129"/>
      <c r="P321" s="129"/>
      <c r="Q321" s="130"/>
      <c r="R321" s="131"/>
      <c r="S321" s="131"/>
      <c r="T321" s="132"/>
      <c r="U321" s="132"/>
      <c r="V321" s="132"/>
      <c r="W321" s="132"/>
      <c r="X321" s="132"/>
      <c r="Y321" s="133" t="s">
        <v>1366</v>
      </c>
      <c r="Z321" s="126" t="s">
        <v>64</v>
      </c>
      <c r="AA321" s="134" t="s">
        <v>154</v>
      </c>
      <c r="AB321" s="134" t="s">
        <v>1330</v>
      </c>
      <c r="AC321" s="134"/>
      <c r="AD321" s="134">
        <v>44554</v>
      </c>
      <c r="AE321" s="134"/>
      <c r="AF321" s="134">
        <f t="shared" ca="1" si="25"/>
        <v>44963</v>
      </c>
      <c r="AG321" s="126">
        <f t="shared" ca="1" si="26"/>
        <v>409</v>
      </c>
      <c r="AH321" s="126" t="str">
        <f t="shared" si="27"/>
        <v/>
      </c>
      <c r="AI321" s="134"/>
      <c r="AJ321" s="143" t="s">
        <v>1419</v>
      </c>
      <c r="AK321" s="129">
        <v>12.19</v>
      </c>
      <c r="AL321" s="129">
        <v>12.2</v>
      </c>
      <c r="AM321" s="129">
        <v>12.224999999999998</v>
      </c>
      <c r="AN321" s="129">
        <v>12.229999999999999</v>
      </c>
      <c r="AO321" s="126" t="str">
        <f t="shared" si="28"/>
        <v/>
      </c>
      <c r="AR321" s="99" t="s">
        <v>136</v>
      </c>
    </row>
    <row r="322" spans="1:44" s="99" customFormat="1" ht="21" customHeight="1" x14ac:dyDescent="0.35">
      <c r="A322" s="99">
        <v>424</v>
      </c>
      <c r="B322" s="126" t="str">
        <f t="shared" si="29"/>
        <v>RM-304/1D-003X772</v>
      </c>
      <c r="C322" s="126" t="s">
        <v>43</v>
      </c>
      <c r="D322" s="126" t="s">
        <v>43</v>
      </c>
      <c r="E322" s="143" t="s">
        <v>1422</v>
      </c>
      <c r="F322" s="143" t="s">
        <v>1423</v>
      </c>
      <c r="G322" s="126">
        <v>304</v>
      </c>
      <c r="H322" s="126" t="s">
        <v>139</v>
      </c>
      <c r="I322" s="127">
        <v>3.24</v>
      </c>
      <c r="J322" s="127"/>
      <c r="K322" s="127"/>
      <c r="L322" s="127"/>
      <c r="M322" s="144">
        <v>772</v>
      </c>
      <c r="N322" s="129">
        <v>10.59</v>
      </c>
      <c r="O322" s="129"/>
      <c r="P322" s="129"/>
      <c r="Q322" s="130"/>
      <c r="R322" s="131"/>
      <c r="S322" s="131"/>
      <c r="T322" s="132"/>
      <c r="U322" s="132"/>
      <c r="V322" s="132"/>
      <c r="W322" s="132"/>
      <c r="X322" s="132"/>
      <c r="Y322" s="133" t="s">
        <v>1395</v>
      </c>
      <c r="Z322" s="126" t="s">
        <v>64</v>
      </c>
      <c r="AA322" s="134" t="s">
        <v>154</v>
      </c>
      <c r="AB322" s="134" t="s">
        <v>1330</v>
      </c>
      <c r="AC322" s="134"/>
      <c r="AD322" s="134">
        <v>44554</v>
      </c>
      <c r="AE322" s="134"/>
      <c r="AF322" s="134">
        <f t="shared" ca="1" si="25"/>
        <v>44963</v>
      </c>
      <c r="AG322" s="126">
        <f t="shared" ca="1" si="26"/>
        <v>409</v>
      </c>
      <c r="AH322" s="126" t="str">
        <f t="shared" si="27"/>
        <v/>
      </c>
      <c r="AI322" s="134"/>
      <c r="AJ322" s="143" t="s">
        <v>1424</v>
      </c>
      <c r="AK322" s="129">
        <v>10.59</v>
      </c>
      <c r="AL322" s="129">
        <v>10.6</v>
      </c>
      <c r="AM322" s="129">
        <v>10.624999999999998</v>
      </c>
      <c r="AN322" s="129">
        <v>10.629999999999999</v>
      </c>
      <c r="AO322" s="126" t="str">
        <f t="shared" si="28"/>
        <v/>
      </c>
      <c r="AR322" s="99" t="s">
        <v>136</v>
      </c>
    </row>
    <row r="323" spans="1:44" s="99" customFormat="1" ht="21" customHeight="1" x14ac:dyDescent="0.35">
      <c r="A323" s="99">
        <v>424</v>
      </c>
      <c r="B323" s="126" t="str">
        <f t="shared" si="29"/>
        <v>WIP-304/2B-002X772</v>
      </c>
      <c r="C323" s="126" t="s">
        <v>14</v>
      </c>
      <c r="D323" s="126" t="s">
        <v>358</v>
      </c>
      <c r="E323" s="143" t="s">
        <v>1425</v>
      </c>
      <c r="F323" s="143" t="s">
        <v>1426</v>
      </c>
      <c r="G323" s="126">
        <v>304</v>
      </c>
      <c r="H323" s="126" t="s">
        <v>116</v>
      </c>
      <c r="I323" s="127">
        <v>3.74</v>
      </c>
      <c r="J323" s="127">
        <v>1.5</v>
      </c>
      <c r="K323" s="127"/>
      <c r="L323" s="127"/>
      <c r="M323" s="144">
        <v>772</v>
      </c>
      <c r="N323" s="129">
        <v>5.8449999999999998</v>
      </c>
      <c r="O323" s="129" t="s">
        <v>116</v>
      </c>
      <c r="P323" s="129"/>
      <c r="Q323" s="130" t="s">
        <v>117</v>
      </c>
      <c r="R323" s="131"/>
      <c r="S323" s="131"/>
      <c r="T323" s="132">
        <v>44615</v>
      </c>
      <c r="U323" s="132">
        <v>44616</v>
      </c>
      <c r="V323" s="132">
        <v>44617</v>
      </c>
      <c r="W323" s="132"/>
      <c r="X323" s="132"/>
      <c r="Y323" s="133" t="s">
        <v>1395</v>
      </c>
      <c r="Z323" s="126" t="s">
        <v>64</v>
      </c>
      <c r="AA323" s="134" t="s">
        <v>154</v>
      </c>
      <c r="AB323" s="134" t="s">
        <v>1330</v>
      </c>
      <c r="AC323" s="134"/>
      <c r="AD323" s="134">
        <v>44554</v>
      </c>
      <c r="AE323" s="134"/>
      <c r="AF323" s="134">
        <f t="shared" ca="1" si="25"/>
        <v>44963</v>
      </c>
      <c r="AG323" s="126">
        <f t="shared" ca="1" si="26"/>
        <v>409</v>
      </c>
      <c r="AH323" s="126">
        <f t="shared" ca="1" si="27"/>
        <v>346</v>
      </c>
      <c r="AI323" s="134"/>
      <c r="AJ323" s="143" t="s">
        <v>1427</v>
      </c>
      <c r="AK323" s="129">
        <v>10.42</v>
      </c>
      <c r="AL323" s="129">
        <v>10.43</v>
      </c>
      <c r="AM323" s="129">
        <v>10.454999999999998</v>
      </c>
      <c r="AN323" s="129">
        <v>10.459999999999999</v>
      </c>
      <c r="AO323" s="126">
        <f t="shared" ca="1" si="28"/>
        <v>347</v>
      </c>
      <c r="AR323" s="99" t="s">
        <v>136</v>
      </c>
    </row>
    <row r="324" spans="1:44" s="99" customFormat="1" ht="21" customHeight="1" x14ac:dyDescent="0.35">
      <c r="A324" s="99">
        <v>424</v>
      </c>
      <c r="B324" s="126" t="str">
        <f t="shared" si="29"/>
        <v>WIP-304L/FH-001X770</v>
      </c>
      <c r="C324" s="126" t="s">
        <v>13</v>
      </c>
      <c r="D324" s="126" t="s">
        <v>13</v>
      </c>
      <c r="E324" s="143" t="s">
        <v>1428</v>
      </c>
      <c r="F324" s="143" t="s">
        <v>1429</v>
      </c>
      <c r="G324" s="126" t="s">
        <v>230</v>
      </c>
      <c r="H324" s="126" t="s">
        <v>65</v>
      </c>
      <c r="I324" s="127">
        <v>2.98</v>
      </c>
      <c r="J324" s="127">
        <v>1</v>
      </c>
      <c r="K324" s="127"/>
      <c r="L324" s="127"/>
      <c r="M324" s="144">
        <v>770</v>
      </c>
      <c r="N324" s="129">
        <v>10.4</v>
      </c>
      <c r="O324" s="129" t="s">
        <v>116</v>
      </c>
      <c r="P324" s="129"/>
      <c r="Q324" s="130" t="s">
        <v>1370</v>
      </c>
      <c r="R324" s="131"/>
      <c r="S324" s="131"/>
      <c r="T324" s="132">
        <v>44620</v>
      </c>
      <c r="U324" s="132">
        <v>44620</v>
      </c>
      <c r="V324" s="132"/>
      <c r="W324" s="132"/>
      <c r="X324" s="132"/>
      <c r="Y324" s="133" t="s">
        <v>1366</v>
      </c>
      <c r="Z324" s="126" t="s">
        <v>64</v>
      </c>
      <c r="AA324" s="134" t="s">
        <v>154</v>
      </c>
      <c r="AB324" s="134" t="s">
        <v>1330</v>
      </c>
      <c r="AC324" s="134"/>
      <c r="AD324" s="134">
        <v>44554</v>
      </c>
      <c r="AE324" s="134"/>
      <c r="AF324" s="134">
        <f t="shared" ca="1" si="25"/>
        <v>44963</v>
      </c>
      <c r="AG324" s="126">
        <f t="shared" ca="1" si="26"/>
        <v>409</v>
      </c>
      <c r="AH324" s="126" t="str">
        <f t="shared" si="27"/>
        <v/>
      </c>
      <c r="AI324" s="134"/>
      <c r="AJ324" s="143" t="s">
        <v>1430</v>
      </c>
      <c r="AK324" s="129">
        <v>10.404999999999999</v>
      </c>
      <c r="AL324" s="129">
        <v>10.414999999999999</v>
      </c>
      <c r="AM324" s="129">
        <v>10.439999999999998</v>
      </c>
      <c r="AN324" s="129">
        <v>10.444999999999999</v>
      </c>
      <c r="AO324" s="126">
        <f t="shared" ca="1" si="28"/>
        <v>343</v>
      </c>
      <c r="AR324" s="99" t="s">
        <v>136</v>
      </c>
    </row>
    <row r="325" spans="1:44" s="99" customFormat="1" ht="21" customHeight="1" x14ac:dyDescent="0.35">
      <c r="A325" s="99">
        <v>424</v>
      </c>
      <c r="B325" s="126" t="str">
        <f t="shared" si="29"/>
        <v>WIP-304L/FH-001X770</v>
      </c>
      <c r="C325" s="126" t="s">
        <v>13</v>
      </c>
      <c r="D325" s="126" t="s">
        <v>13</v>
      </c>
      <c r="E325" s="143" t="s">
        <v>1431</v>
      </c>
      <c r="F325" s="143" t="s">
        <v>1432</v>
      </c>
      <c r="G325" s="126" t="s">
        <v>230</v>
      </c>
      <c r="H325" s="126" t="s">
        <v>65</v>
      </c>
      <c r="I325" s="127">
        <v>2.98</v>
      </c>
      <c r="J325" s="127">
        <v>1</v>
      </c>
      <c r="K325" s="127"/>
      <c r="L325" s="127"/>
      <c r="M325" s="144">
        <v>770</v>
      </c>
      <c r="N325" s="129">
        <v>10.404999999999999</v>
      </c>
      <c r="O325" s="129" t="s">
        <v>116</v>
      </c>
      <c r="P325" s="129"/>
      <c r="Q325" s="130" t="s">
        <v>1370</v>
      </c>
      <c r="R325" s="131"/>
      <c r="S325" s="131"/>
      <c r="T325" s="132">
        <v>44620</v>
      </c>
      <c r="U325" s="132">
        <v>44620</v>
      </c>
      <c r="V325" s="132"/>
      <c r="W325" s="132"/>
      <c r="X325" s="132"/>
      <c r="Y325" s="133" t="s">
        <v>1366</v>
      </c>
      <c r="Z325" s="126" t="s">
        <v>64</v>
      </c>
      <c r="AA325" s="134" t="s">
        <v>154</v>
      </c>
      <c r="AB325" s="134" t="s">
        <v>1330</v>
      </c>
      <c r="AC325" s="134"/>
      <c r="AD325" s="134">
        <v>44554</v>
      </c>
      <c r="AE325" s="134"/>
      <c r="AF325" s="134">
        <f t="shared" ref="AF325:AF388" ca="1" si="30">TODAY()</f>
        <v>44963</v>
      </c>
      <c r="AG325" s="126">
        <f t="shared" ref="AG325:AG388" ca="1" si="31">IF(AD325&lt;&gt;0,AF325-AD325,0)</f>
        <v>409</v>
      </c>
      <c r="AH325" s="126" t="str">
        <f t="shared" ref="AH325:AH388" si="32">IF(ISNUMBER(V325)=TRUE,AF325-V325,IF(V325="","",(AF325)-(MID(RIGHT(V325,10),4,2)&amp;"/"&amp;LEFT((RIGHT(V325,10)),2)&amp;"/"&amp;RIGHT(V325,4))))</f>
        <v/>
      </c>
      <c r="AI325" s="134"/>
      <c r="AJ325" s="143" t="s">
        <v>1430</v>
      </c>
      <c r="AK325" s="129">
        <v>10.41</v>
      </c>
      <c r="AL325" s="129">
        <v>10.42</v>
      </c>
      <c r="AM325" s="129">
        <v>10.444999999999999</v>
      </c>
      <c r="AN325" s="129">
        <v>10.45</v>
      </c>
      <c r="AO325" s="126">
        <f t="shared" ref="AO325:AO388" ca="1" si="33">IF(ISNUMBER(U325)=TRUE,AF325-U325,IF(U325="","",(AF325)-(MID(RIGHT(U325,10),4,2)&amp;"/"&amp;LEFT((RIGHT(U325,10)),2)&amp;"/"&amp;RIGHT(U325,4))))</f>
        <v>343</v>
      </c>
      <c r="AR325" s="99" t="s">
        <v>136</v>
      </c>
    </row>
    <row r="326" spans="1:44" s="99" customFormat="1" ht="21" customHeight="1" x14ac:dyDescent="0.35">
      <c r="A326" s="99">
        <v>424</v>
      </c>
      <c r="B326" s="126" t="str">
        <f t="shared" si="29"/>
        <v>RM-304L/1D-003X770</v>
      </c>
      <c r="C326" s="126" t="s">
        <v>43</v>
      </c>
      <c r="D326" s="126" t="s">
        <v>43</v>
      </c>
      <c r="E326" s="143" t="s">
        <v>1433</v>
      </c>
      <c r="F326" s="143" t="s">
        <v>1434</v>
      </c>
      <c r="G326" s="126" t="s">
        <v>230</v>
      </c>
      <c r="H326" s="126" t="s">
        <v>139</v>
      </c>
      <c r="I326" s="127">
        <v>2.99</v>
      </c>
      <c r="J326" s="127"/>
      <c r="K326" s="127"/>
      <c r="L326" s="127"/>
      <c r="M326" s="144">
        <v>770</v>
      </c>
      <c r="N326" s="129">
        <v>10.414999999999999</v>
      </c>
      <c r="O326" s="129"/>
      <c r="P326" s="129"/>
      <c r="Q326" s="130"/>
      <c r="R326" s="131"/>
      <c r="S326" s="131"/>
      <c r="T326" s="132"/>
      <c r="U326" s="132"/>
      <c r="V326" s="132"/>
      <c r="W326" s="132"/>
      <c r="X326" s="132"/>
      <c r="Y326" s="133" t="s">
        <v>1376</v>
      </c>
      <c r="Z326" s="126" t="s">
        <v>64</v>
      </c>
      <c r="AA326" s="134" t="s">
        <v>154</v>
      </c>
      <c r="AB326" s="134" t="s">
        <v>1330</v>
      </c>
      <c r="AC326" s="134"/>
      <c r="AD326" s="134">
        <v>44554</v>
      </c>
      <c r="AE326" s="134"/>
      <c r="AF326" s="134">
        <f t="shared" ca="1" si="30"/>
        <v>44963</v>
      </c>
      <c r="AG326" s="126">
        <f t="shared" ca="1" si="31"/>
        <v>409</v>
      </c>
      <c r="AH326" s="126" t="str">
        <f t="shared" si="32"/>
        <v/>
      </c>
      <c r="AI326" s="134"/>
      <c r="AJ326" s="143" t="s">
        <v>1435</v>
      </c>
      <c r="AK326" s="129">
        <v>10.414999999999999</v>
      </c>
      <c r="AL326" s="129">
        <v>10.425000000000001</v>
      </c>
      <c r="AM326" s="129">
        <v>10.45</v>
      </c>
      <c r="AN326" s="129">
        <v>10.455</v>
      </c>
      <c r="AO326" s="126" t="str">
        <f t="shared" si="33"/>
        <v/>
      </c>
      <c r="AR326" s="99" t="s">
        <v>136</v>
      </c>
    </row>
    <row r="327" spans="1:44" s="99" customFormat="1" ht="21" customHeight="1" x14ac:dyDescent="0.35">
      <c r="A327" s="99">
        <v>424</v>
      </c>
      <c r="B327" s="126" t="str">
        <f t="shared" si="29"/>
        <v>RM-304L/1D-003X770</v>
      </c>
      <c r="C327" s="126" t="s">
        <v>43</v>
      </c>
      <c r="D327" s="126" t="s">
        <v>43</v>
      </c>
      <c r="E327" s="143" t="s">
        <v>1436</v>
      </c>
      <c r="F327" s="143" t="s">
        <v>1437</v>
      </c>
      <c r="G327" s="126" t="s">
        <v>230</v>
      </c>
      <c r="H327" s="126" t="s">
        <v>139</v>
      </c>
      <c r="I327" s="127">
        <v>2.99</v>
      </c>
      <c r="J327" s="127"/>
      <c r="K327" s="127"/>
      <c r="L327" s="127"/>
      <c r="M327" s="144">
        <v>770</v>
      </c>
      <c r="N327" s="129">
        <v>10.43</v>
      </c>
      <c r="O327" s="129"/>
      <c r="P327" s="129"/>
      <c r="Q327" s="130"/>
      <c r="R327" s="131"/>
      <c r="S327" s="131"/>
      <c r="T327" s="132"/>
      <c r="U327" s="132"/>
      <c r="V327" s="132"/>
      <c r="W327" s="132"/>
      <c r="X327" s="132"/>
      <c r="Y327" s="133" t="s">
        <v>1376</v>
      </c>
      <c r="Z327" s="126" t="s">
        <v>64</v>
      </c>
      <c r="AA327" s="134" t="s">
        <v>154</v>
      </c>
      <c r="AB327" s="134" t="s">
        <v>1330</v>
      </c>
      <c r="AC327" s="134"/>
      <c r="AD327" s="134">
        <v>44554</v>
      </c>
      <c r="AE327" s="134"/>
      <c r="AF327" s="134">
        <f t="shared" ca="1" si="30"/>
        <v>44963</v>
      </c>
      <c r="AG327" s="126">
        <f t="shared" ca="1" si="31"/>
        <v>409</v>
      </c>
      <c r="AH327" s="126" t="str">
        <f t="shared" si="32"/>
        <v/>
      </c>
      <c r="AI327" s="134"/>
      <c r="AJ327" s="143" t="s">
        <v>1435</v>
      </c>
      <c r="AK327" s="129">
        <v>10.43</v>
      </c>
      <c r="AL327" s="129">
        <v>10.44</v>
      </c>
      <c r="AM327" s="129">
        <v>10.464999999999998</v>
      </c>
      <c r="AN327" s="129">
        <v>10.469999999999999</v>
      </c>
      <c r="AO327" s="126" t="str">
        <f t="shared" si="33"/>
        <v/>
      </c>
      <c r="AR327" s="99" t="s">
        <v>136</v>
      </c>
    </row>
    <row r="328" spans="1:44" s="99" customFormat="1" ht="21" customHeight="1" x14ac:dyDescent="0.35">
      <c r="A328" s="99">
        <v>424</v>
      </c>
      <c r="B328" s="126" t="str">
        <f t="shared" si="29"/>
        <v>RM-304/1D-003X770</v>
      </c>
      <c r="C328" s="126" t="s">
        <v>43</v>
      </c>
      <c r="D328" s="126" t="s">
        <v>43</v>
      </c>
      <c r="E328" s="143" t="s">
        <v>1438</v>
      </c>
      <c r="F328" s="143" t="s">
        <v>1439</v>
      </c>
      <c r="G328" s="126">
        <v>304</v>
      </c>
      <c r="H328" s="126" t="s">
        <v>139</v>
      </c>
      <c r="I328" s="127">
        <v>2.98</v>
      </c>
      <c r="J328" s="127"/>
      <c r="K328" s="127"/>
      <c r="L328" s="127"/>
      <c r="M328" s="144">
        <v>770</v>
      </c>
      <c r="N328" s="129">
        <v>12.07</v>
      </c>
      <c r="O328" s="129"/>
      <c r="P328" s="129"/>
      <c r="Q328" s="130"/>
      <c r="R328" s="131"/>
      <c r="S328" s="131"/>
      <c r="T328" s="132"/>
      <c r="U328" s="132"/>
      <c r="V328" s="132"/>
      <c r="W328" s="132"/>
      <c r="X328" s="132"/>
      <c r="Y328" s="133" t="s">
        <v>1376</v>
      </c>
      <c r="Z328" s="126" t="s">
        <v>64</v>
      </c>
      <c r="AA328" s="134" t="s">
        <v>154</v>
      </c>
      <c r="AB328" s="134" t="s">
        <v>1330</v>
      </c>
      <c r="AC328" s="134"/>
      <c r="AD328" s="134">
        <v>44554</v>
      </c>
      <c r="AE328" s="134"/>
      <c r="AF328" s="134">
        <f t="shared" ca="1" si="30"/>
        <v>44963</v>
      </c>
      <c r="AG328" s="126">
        <f t="shared" ca="1" si="31"/>
        <v>409</v>
      </c>
      <c r="AH328" s="126" t="str">
        <f t="shared" si="32"/>
        <v/>
      </c>
      <c r="AI328" s="134"/>
      <c r="AJ328" s="143" t="s">
        <v>1440</v>
      </c>
      <c r="AK328" s="129">
        <v>12.07</v>
      </c>
      <c r="AL328" s="129">
        <v>12.08</v>
      </c>
      <c r="AM328" s="129">
        <v>12.104999999999999</v>
      </c>
      <c r="AN328" s="129">
        <v>12.11</v>
      </c>
      <c r="AO328" s="126" t="str">
        <f t="shared" si="33"/>
        <v/>
      </c>
      <c r="AR328" s="99" t="s">
        <v>136</v>
      </c>
    </row>
    <row r="329" spans="1:44" s="99" customFormat="1" ht="21" customHeight="1" x14ac:dyDescent="0.35">
      <c r="A329" s="99">
        <v>424</v>
      </c>
      <c r="B329" s="126" t="str">
        <f t="shared" si="29"/>
        <v>RM-304/1D-003X771</v>
      </c>
      <c r="C329" s="126" t="s">
        <v>43</v>
      </c>
      <c r="D329" s="126" t="s">
        <v>43</v>
      </c>
      <c r="E329" s="143" t="s">
        <v>1441</v>
      </c>
      <c r="F329" s="143" t="s">
        <v>1442</v>
      </c>
      <c r="G329" s="126">
        <v>304</v>
      </c>
      <c r="H329" s="126" t="s">
        <v>139</v>
      </c>
      <c r="I329" s="127">
        <v>2.98</v>
      </c>
      <c r="J329" s="127"/>
      <c r="K329" s="127"/>
      <c r="L329" s="127"/>
      <c r="M329" s="144">
        <v>771</v>
      </c>
      <c r="N329" s="129">
        <v>12.1</v>
      </c>
      <c r="O329" s="129"/>
      <c r="P329" s="129"/>
      <c r="Q329" s="130"/>
      <c r="R329" s="131"/>
      <c r="S329" s="131"/>
      <c r="T329" s="132"/>
      <c r="U329" s="132"/>
      <c r="V329" s="132"/>
      <c r="W329" s="132"/>
      <c r="X329" s="132"/>
      <c r="Y329" s="133" t="s">
        <v>1376</v>
      </c>
      <c r="Z329" s="126" t="s">
        <v>64</v>
      </c>
      <c r="AA329" s="134" t="s">
        <v>154</v>
      </c>
      <c r="AB329" s="134" t="s">
        <v>1330</v>
      </c>
      <c r="AC329" s="134"/>
      <c r="AD329" s="134">
        <v>44554</v>
      </c>
      <c r="AE329" s="134"/>
      <c r="AF329" s="134">
        <f t="shared" ca="1" si="30"/>
        <v>44963</v>
      </c>
      <c r="AG329" s="126">
        <f t="shared" ca="1" si="31"/>
        <v>409</v>
      </c>
      <c r="AH329" s="126" t="str">
        <f t="shared" si="32"/>
        <v/>
      </c>
      <c r="AI329" s="134"/>
      <c r="AJ329" s="143" t="s">
        <v>1440</v>
      </c>
      <c r="AK329" s="129">
        <v>12.1</v>
      </c>
      <c r="AL329" s="129">
        <v>12.11</v>
      </c>
      <c r="AM329" s="129">
        <v>12.134999999999998</v>
      </c>
      <c r="AN329" s="129">
        <v>12.139999999999999</v>
      </c>
      <c r="AO329" s="126" t="str">
        <f t="shared" si="33"/>
        <v/>
      </c>
      <c r="AR329" s="99" t="s">
        <v>136</v>
      </c>
    </row>
    <row r="330" spans="1:44" s="99" customFormat="1" ht="21" customHeight="1" x14ac:dyDescent="0.35">
      <c r="A330" s="99">
        <v>424</v>
      </c>
      <c r="B330" s="126" t="str">
        <f t="shared" si="29"/>
        <v>RM-304L/1D-004X770</v>
      </c>
      <c r="C330" s="126" t="s">
        <v>43</v>
      </c>
      <c r="D330" s="126" t="s">
        <v>43</v>
      </c>
      <c r="E330" s="143" t="s">
        <v>1443</v>
      </c>
      <c r="F330" s="143" t="s">
        <v>1444</v>
      </c>
      <c r="G330" s="126" t="s">
        <v>230</v>
      </c>
      <c r="H330" s="126" t="s">
        <v>139</v>
      </c>
      <c r="I330" s="127">
        <v>3.8</v>
      </c>
      <c r="J330" s="127"/>
      <c r="K330" s="127"/>
      <c r="L330" s="127"/>
      <c r="M330" s="144">
        <v>770</v>
      </c>
      <c r="N330" s="129">
        <v>10.43</v>
      </c>
      <c r="O330" s="129"/>
      <c r="P330" s="129"/>
      <c r="Q330" s="130"/>
      <c r="R330" s="131"/>
      <c r="S330" s="131"/>
      <c r="T330" s="132"/>
      <c r="U330" s="132"/>
      <c r="V330" s="132"/>
      <c r="W330" s="132"/>
      <c r="X330" s="132"/>
      <c r="Y330" s="133" t="s">
        <v>1376</v>
      </c>
      <c r="Z330" s="126" t="s">
        <v>64</v>
      </c>
      <c r="AA330" s="134" t="s">
        <v>154</v>
      </c>
      <c r="AB330" s="134" t="s">
        <v>1330</v>
      </c>
      <c r="AC330" s="134"/>
      <c r="AD330" s="134">
        <v>44554</v>
      </c>
      <c r="AE330" s="134"/>
      <c r="AF330" s="134">
        <f t="shared" ca="1" si="30"/>
        <v>44963</v>
      </c>
      <c r="AG330" s="126">
        <f t="shared" ca="1" si="31"/>
        <v>409</v>
      </c>
      <c r="AH330" s="126" t="str">
        <f t="shared" si="32"/>
        <v/>
      </c>
      <c r="AI330" s="134"/>
      <c r="AJ330" s="143" t="s">
        <v>1445</v>
      </c>
      <c r="AK330" s="129">
        <v>10.43</v>
      </c>
      <c r="AL330" s="129">
        <v>10.44</v>
      </c>
      <c r="AM330" s="129">
        <v>10.464999999999998</v>
      </c>
      <c r="AN330" s="129">
        <v>10.469999999999999</v>
      </c>
      <c r="AO330" s="126" t="str">
        <f t="shared" si="33"/>
        <v/>
      </c>
      <c r="AR330" s="99" t="s">
        <v>136</v>
      </c>
    </row>
    <row r="331" spans="1:44" s="99" customFormat="1" ht="21" customHeight="1" x14ac:dyDescent="0.35">
      <c r="A331" s="99">
        <v>424</v>
      </c>
      <c r="B331" s="126" t="str">
        <f t="shared" si="29"/>
        <v>RM-304L/1D-004X771</v>
      </c>
      <c r="C331" s="126" t="s">
        <v>43</v>
      </c>
      <c r="D331" s="126" t="s">
        <v>43</v>
      </c>
      <c r="E331" s="143" t="s">
        <v>1446</v>
      </c>
      <c r="F331" s="143" t="s">
        <v>1447</v>
      </c>
      <c r="G331" s="126" t="s">
        <v>230</v>
      </c>
      <c r="H331" s="126" t="s">
        <v>139</v>
      </c>
      <c r="I331" s="127">
        <v>3.8</v>
      </c>
      <c r="J331" s="127"/>
      <c r="K331" s="127"/>
      <c r="L331" s="127"/>
      <c r="M331" s="144">
        <v>771</v>
      </c>
      <c r="N331" s="129">
        <v>10.5</v>
      </c>
      <c r="O331" s="129"/>
      <c r="P331" s="129"/>
      <c r="Q331" s="130"/>
      <c r="R331" s="131"/>
      <c r="S331" s="131"/>
      <c r="T331" s="132"/>
      <c r="U331" s="132"/>
      <c r="V331" s="132"/>
      <c r="W331" s="132"/>
      <c r="X331" s="132"/>
      <c r="Y331" s="133" t="s">
        <v>1376</v>
      </c>
      <c r="Z331" s="126" t="s">
        <v>64</v>
      </c>
      <c r="AA331" s="134" t="s">
        <v>154</v>
      </c>
      <c r="AB331" s="134" t="s">
        <v>1330</v>
      </c>
      <c r="AC331" s="134"/>
      <c r="AD331" s="134">
        <v>44554</v>
      </c>
      <c r="AE331" s="134"/>
      <c r="AF331" s="134">
        <f t="shared" ca="1" si="30"/>
        <v>44963</v>
      </c>
      <c r="AG331" s="126">
        <f t="shared" ca="1" si="31"/>
        <v>409</v>
      </c>
      <c r="AH331" s="126" t="str">
        <f t="shared" si="32"/>
        <v/>
      </c>
      <c r="AI331" s="134"/>
      <c r="AJ331" s="143" t="s">
        <v>1445</v>
      </c>
      <c r="AK331" s="129">
        <v>10.5</v>
      </c>
      <c r="AL331" s="129">
        <v>10.51</v>
      </c>
      <c r="AM331" s="129">
        <v>10.534999999999998</v>
      </c>
      <c r="AN331" s="129">
        <v>10.54</v>
      </c>
      <c r="AO331" s="126" t="str">
        <f t="shared" si="33"/>
        <v/>
      </c>
      <c r="AR331" s="99" t="s">
        <v>136</v>
      </c>
    </row>
    <row r="332" spans="1:44" s="99" customFormat="1" ht="21" customHeight="1" x14ac:dyDescent="0.35">
      <c r="A332" s="99">
        <v>424</v>
      </c>
      <c r="B332" s="126" t="str">
        <f t="shared" si="29"/>
        <v>RM-304L/1D-003X770</v>
      </c>
      <c r="C332" s="126" t="s">
        <v>43</v>
      </c>
      <c r="D332" s="126" t="s">
        <v>43</v>
      </c>
      <c r="E332" s="143" t="s">
        <v>1448</v>
      </c>
      <c r="F332" s="143" t="s">
        <v>1449</v>
      </c>
      <c r="G332" s="126" t="s">
        <v>230</v>
      </c>
      <c r="H332" s="126" t="s">
        <v>139</v>
      </c>
      <c r="I332" s="127">
        <v>2.95</v>
      </c>
      <c r="J332" s="127"/>
      <c r="K332" s="127"/>
      <c r="L332" s="127"/>
      <c r="M332" s="144">
        <v>770</v>
      </c>
      <c r="N332" s="129">
        <v>8.5150000000000006</v>
      </c>
      <c r="O332" s="129"/>
      <c r="P332" s="129"/>
      <c r="Q332" s="130"/>
      <c r="R332" s="131"/>
      <c r="S332" s="131"/>
      <c r="T332" s="132"/>
      <c r="U332" s="132"/>
      <c r="V332" s="132"/>
      <c r="W332" s="132"/>
      <c r="X332" s="132"/>
      <c r="Y332" s="133" t="s">
        <v>1376</v>
      </c>
      <c r="Z332" s="126" t="s">
        <v>64</v>
      </c>
      <c r="AA332" s="134" t="s">
        <v>154</v>
      </c>
      <c r="AB332" s="134" t="s">
        <v>1330</v>
      </c>
      <c r="AC332" s="134"/>
      <c r="AD332" s="134">
        <v>44554</v>
      </c>
      <c r="AE332" s="134"/>
      <c r="AF332" s="134">
        <f t="shared" ca="1" si="30"/>
        <v>44963</v>
      </c>
      <c r="AG332" s="126">
        <f t="shared" ca="1" si="31"/>
        <v>409</v>
      </c>
      <c r="AH332" s="126" t="str">
        <f t="shared" si="32"/>
        <v/>
      </c>
      <c r="AI332" s="134"/>
      <c r="AJ332" s="143" t="s">
        <v>1450</v>
      </c>
      <c r="AK332" s="129">
        <v>8.5150000000000006</v>
      </c>
      <c r="AL332" s="129">
        <v>8.5250000000000004</v>
      </c>
      <c r="AM332" s="129">
        <v>8.5499999999999989</v>
      </c>
      <c r="AN332" s="129">
        <v>8.5549999999999997</v>
      </c>
      <c r="AO332" s="126" t="str">
        <f t="shared" si="33"/>
        <v/>
      </c>
      <c r="AR332" s="99" t="s">
        <v>136</v>
      </c>
    </row>
    <row r="333" spans="1:44" s="99" customFormat="1" ht="21" customHeight="1" x14ac:dyDescent="0.35">
      <c r="A333" s="99">
        <v>424</v>
      </c>
      <c r="B333" s="126" t="str">
        <f t="shared" si="29"/>
        <v>RM-304L/1D-003X770</v>
      </c>
      <c r="C333" s="126" t="s">
        <v>43</v>
      </c>
      <c r="D333" s="126" t="s">
        <v>43</v>
      </c>
      <c r="E333" s="143" t="s">
        <v>1451</v>
      </c>
      <c r="F333" s="143" t="s">
        <v>1452</v>
      </c>
      <c r="G333" s="126" t="s">
        <v>230</v>
      </c>
      <c r="H333" s="126" t="s">
        <v>139</v>
      </c>
      <c r="I333" s="127">
        <v>2.95</v>
      </c>
      <c r="J333" s="127"/>
      <c r="K333" s="127"/>
      <c r="L333" s="127"/>
      <c r="M333" s="144">
        <v>770</v>
      </c>
      <c r="N333" s="129">
        <v>8.5350000000000001</v>
      </c>
      <c r="O333" s="129"/>
      <c r="P333" s="129"/>
      <c r="Q333" s="130"/>
      <c r="R333" s="131"/>
      <c r="S333" s="131"/>
      <c r="T333" s="132"/>
      <c r="U333" s="132"/>
      <c r="V333" s="132"/>
      <c r="W333" s="132"/>
      <c r="X333" s="132"/>
      <c r="Y333" s="133" t="s">
        <v>1376</v>
      </c>
      <c r="Z333" s="126" t="s">
        <v>64</v>
      </c>
      <c r="AA333" s="134" t="s">
        <v>154</v>
      </c>
      <c r="AB333" s="134" t="s">
        <v>1330</v>
      </c>
      <c r="AC333" s="134"/>
      <c r="AD333" s="134">
        <v>44554</v>
      </c>
      <c r="AE333" s="134"/>
      <c r="AF333" s="134">
        <f t="shared" ca="1" si="30"/>
        <v>44963</v>
      </c>
      <c r="AG333" s="126">
        <f t="shared" ca="1" si="31"/>
        <v>409</v>
      </c>
      <c r="AH333" s="126" t="str">
        <f t="shared" si="32"/>
        <v/>
      </c>
      <c r="AI333" s="134"/>
      <c r="AJ333" s="143" t="s">
        <v>1450</v>
      </c>
      <c r="AK333" s="129">
        <v>8.5350000000000001</v>
      </c>
      <c r="AL333" s="129">
        <v>8.5449999999999999</v>
      </c>
      <c r="AM333" s="129">
        <v>8.5699999999999985</v>
      </c>
      <c r="AN333" s="129">
        <v>8.5749999999999993</v>
      </c>
      <c r="AO333" s="126" t="str">
        <f t="shared" si="33"/>
        <v/>
      </c>
      <c r="AR333" s="99" t="s">
        <v>136</v>
      </c>
    </row>
    <row r="334" spans="1:44" s="99" customFormat="1" ht="21" customHeight="1" x14ac:dyDescent="0.35">
      <c r="A334" s="99">
        <v>424</v>
      </c>
      <c r="B334" s="126" t="str">
        <f t="shared" si="29"/>
        <v>RM-304/1D-003X770</v>
      </c>
      <c r="C334" s="126" t="s">
        <v>43</v>
      </c>
      <c r="D334" s="126" t="s">
        <v>43</v>
      </c>
      <c r="E334" s="143" t="s">
        <v>1453</v>
      </c>
      <c r="F334" s="143" t="s">
        <v>1454</v>
      </c>
      <c r="G334" s="126">
        <v>304</v>
      </c>
      <c r="H334" s="126" t="s">
        <v>139</v>
      </c>
      <c r="I334" s="127">
        <v>3.04</v>
      </c>
      <c r="J334" s="127"/>
      <c r="K334" s="127"/>
      <c r="L334" s="127"/>
      <c r="M334" s="144">
        <v>770</v>
      </c>
      <c r="N334" s="129">
        <v>10.52</v>
      </c>
      <c r="O334" s="129"/>
      <c r="P334" s="129"/>
      <c r="Q334" s="130"/>
      <c r="R334" s="131"/>
      <c r="S334" s="131"/>
      <c r="T334" s="132"/>
      <c r="U334" s="132"/>
      <c r="V334" s="132"/>
      <c r="W334" s="132"/>
      <c r="X334" s="132"/>
      <c r="Y334" s="133" t="s">
        <v>1376</v>
      </c>
      <c r="Z334" s="126" t="s">
        <v>64</v>
      </c>
      <c r="AA334" s="134" t="s">
        <v>154</v>
      </c>
      <c r="AB334" s="134" t="s">
        <v>1330</v>
      </c>
      <c r="AC334" s="134"/>
      <c r="AD334" s="134">
        <v>44554</v>
      </c>
      <c r="AE334" s="134"/>
      <c r="AF334" s="134">
        <f t="shared" ca="1" si="30"/>
        <v>44963</v>
      </c>
      <c r="AG334" s="126">
        <f t="shared" ca="1" si="31"/>
        <v>409</v>
      </c>
      <c r="AH334" s="126" t="str">
        <f t="shared" si="32"/>
        <v/>
      </c>
      <c r="AI334" s="134"/>
      <c r="AJ334" s="143" t="s">
        <v>1455</v>
      </c>
      <c r="AK334" s="129">
        <v>10.52</v>
      </c>
      <c r="AL334" s="129">
        <v>10.53</v>
      </c>
      <c r="AM334" s="129">
        <v>10.554999999999998</v>
      </c>
      <c r="AN334" s="129">
        <v>10.559999999999999</v>
      </c>
      <c r="AO334" s="126" t="str">
        <f t="shared" si="33"/>
        <v/>
      </c>
      <c r="AR334" s="99" t="s">
        <v>136</v>
      </c>
    </row>
    <row r="335" spans="1:44" s="99" customFormat="1" ht="21" customHeight="1" x14ac:dyDescent="0.35">
      <c r="A335" s="99">
        <v>424</v>
      </c>
      <c r="B335" s="126" t="str">
        <f t="shared" si="29"/>
        <v>RM-304/1D-003X771</v>
      </c>
      <c r="C335" s="126" t="s">
        <v>43</v>
      </c>
      <c r="D335" s="126" t="s">
        <v>43</v>
      </c>
      <c r="E335" s="143" t="s">
        <v>1456</v>
      </c>
      <c r="F335" s="143" t="s">
        <v>1457</v>
      </c>
      <c r="G335" s="126">
        <v>304</v>
      </c>
      <c r="H335" s="126" t="s">
        <v>139</v>
      </c>
      <c r="I335" s="127">
        <v>3.05</v>
      </c>
      <c r="J335" s="127"/>
      <c r="K335" s="127"/>
      <c r="L335" s="127"/>
      <c r="M335" s="144">
        <v>771</v>
      </c>
      <c r="N335" s="129">
        <v>10.535</v>
      </c>
      <c r="O335" s="129"/>
      <c r="P335" s="129"/>
      <c r="Q335" s="130"/>
      <c r="R335" s="131"/>
      <c r="S335" s="131"/>
      <c r="T335" s="132"/>
      <c r="U335" s="132"/>
      <c r="V335" s="132"/>
      <c r="W335" s="132"/>
      <c r="X335" s="132"/>
      <c r="Y335" s="133" t="s">
        <v>1376</v>
      </c>
      <c r="Z335" s="126" t="s">
        <v>64</v>
      </c>
      <c r="AA335" s="134" t="s">
        <v>154</v>
      </c>
      <c r="AB335" s="134" t="s">
        <v>1330</v>
      </c>
      <c r="AC335" s="134"/>
      <c r="AD335" s="134">
        <v>44554</v>
      </c>
      <c r="AE335" s="134"/>
      <c r="AF335" s="134">
        <f t="shared" ca="1" si="30"/>
        <v>44963</v>
      </c>
      <c r="AG335" s="126">
        <f t="shared" ca="1" si="31"/>
        <v>409</v>
      </c>
      <c r="AH335" s="126" t="str">
        <f t="shared" si="32"/>
        <v/>
      </c>
      <c r="AI335" s="134"/>
      <c r="AJ335" s="143" t="s">
        <v>1455</v>
      </c>
      <c r="AK335" s="129">
        <v>10.535</v>
      </c>
      <c r="AL335" s="129">
        <v>10.545</v>
      </c>
      <c r="AM335" s="129">
        <v>10.569999999999999</v>
      </c>
      <c r="AN335" s="129">
        <v>10.574999999999999</v>
      </c>
      <c r="AO335" s="126" t="str">
        <f t="shared" si="33"/>
        <v/>
      </c>
      <c r="AR335" s="99" t="s">
        <v>136</v>
      </c>
    </row>
    <row r="336" spans="1:44" s="99" customFormat="1" ht="21" customHeight="1" x14ac:dyDescent="0.35">
      <c r="A336" s="99">
        <v>424</v>
      </c>
      <c r="B336" s="126" t="str">
        <f t="shared" si="29"/>
        <v>RM-304L/1D-003X770</v>
      </c>
      <c r="C336" s="126" t="s">
        <v>43</v>
      </c>
      <c r="D336" s="126" t="s">
        <v>43</v>
      </c>
      <c r="E336" s="143" t="s">
        <v>1458</v>
      </c>
      <c r="F336" s="143" t="s">
        <v>1459</v>
      </c>
      <c r="G336" s="126" t="s">
        <v>230</v>
      </c>
      <c r="H336" s="126" t="s">
        <v>139</v>
      </c>
      <c r="I336" s="127">
        <v>2.89</v>
      </c>
      <c r="J336" s="127"/>
      <c r="K336" s="127"/>
      <c r="L336" s="127"/>
      <c r="M336" s="144">
        <v>770</v>
      </c>
      <c r="N336" s="129">
        <v>8.5749999999999993</v>
      </c>
      <c r="O336" s="129"/>
      <c r="P336" s="129"/>
      <c r="Q336" s="130"/>
      <c r="R336" s="131"/>
      <c r="S336" s="131"/>
      <c r="T336" s="132"/>
      <c r="U336" s="132"/>
      <c r="V336" s="132"/>
      <c r="W336" s="132"/>
      <c r="X336" s="132"/>
      <c r="Y336" s="133" t="s">
        <v>1376</v>
      </c>
      <c r="Z336" s="126" t="s">
        <v>64</v>
      </c>
      <c r="AA336" s="134" t="s">
        <v>154</v>
      </c>
      <c r="AB336" s="134" t="s">
        <v>1330</v>
      </c>
      <c r="AC336" s="134"/>
      <c r="AD336" s="134">
        <v>44554</v>
      </c>
      <c r="AE336" s="134"/>
      <c r="AF336" s="134">
        <f t="shared" ca="1" si="30"/>
        <v>44963</v>
      </c>
      <c r="AG336" s="126">
        <f t="shared" ca="1" si="31"/>
        <v>409</v>
      </c>
      <c r="AH336" s="126" t="str">
        <f t="shared" si="32"/>
        <v/>
      </c>
      <c r="AI336" s="134"/>
      <c r="AJ336" s="143" t="s">
        <v>1460</v>
      </c>
      <c r="AK336" s="129">
        <v>8.5749999999999993</v>
      </c>
      <c r="AL336" s="129">
        <v>8.5850000000000009</v>
      </c>
      <c r="AM336" s="129">
        <v>8.61</v>
      </c>
      <c r="AN336" s="129">
        <v>8.6150000000000002</v>
      </c>
      <c r="AO336" s="126" t="str">
        <f t="shared" si="33"/>
        <v/>
      </c>
      <c r="AR336" s="99" t="s">
        <v>136</v>
      </c>
    </row>
    <row r="337" spans="1:44" s="99" customFormat="1" ht="21" customHeight="1" x14ac:dyDescent="0.35">
      <c r="A337" s="99">
        <v>424</v>
      </c>
      <c r="B337" s="126" t="str">
        <f t="shared" si="29"/>
        <v>RM-304L/1D-003X772</v>
      </c>
      <c r="C337" s="126" t="s">
        <v>43</v>
      </c>
      <c r="D337" s="126" t="s">
        <v>43</v>
      </c>
      <c r="E337" s="143" t="s">
        <v>1461</v>
      </c>
      <c r="F337" s="143" t="s">
        <v>1462</v>
      </c>
      <c r="G337" s="126" t="s">
        <v>230</v>
      </c>
      <c r="H337" s="126" t="s">
        <v>139</v>
      </c>
      <c r="I337" s="127">
        <v>2.89</v>
      </c>
      <c r="J337" s="127"/>
      <c r="K337" s="127"/>
      <c r="L337" s="127"/>
      <c r="M337" s="144">
        <v>772</v>
      </c>
      <c r="N337" s="129">
        <v>8.6199999999999992</v>
      </c>
      <c r="O337" s="129"/>
      <c r="P337" s="129"/>
      <c r="Q337" s="130"/>
      <c r="R337" s="131"/>
      <c r="S337" s="131"/>
      <c r="T337" s="132"/>
      <c r="U337" s="132"/>
      <c r="V337" s="132"/>
      <c r="W337" s="132"/>
      <c r="X337" s="132"/>
      <c r="Y337" s="133" t="s">
        <v>1376</v>
      </c>
      <c r="Z337" s="126" t="s">
        <v>64</v>
      </c>
      <c r="AA337" s="134" t="s">
        <v>154</v>
      </c>
      <c r="AB337" s="134" t="s">
        <v>1330</v>
      </c>
      <c r="AC337" s="134"/>
      <c r="AD337" s="134">
        <v>44554</v>
      </c>
      <c r="AE337" s="134"/>
      <c r="AF337" s="134">
        <f t="shared" ca="1" si="30"/>
        <v>44963</v>
      </c>
      <c r="AG337" s="126">
        <f t="shared" ca="1" si="31"/>
        <v>409</v>
      </c>
      <c r="AH337" s="126" t="str">
        <f t="shared" si="32"/>
        <v/>
      </c>
      <c r="AI337" s="134"/>
      <c r="AJ337" s="143" t="s">
        <v>1460</v>
      </c>
      <c r="AK337" s="129">
        <v>8.6199999999999992</v>
      </c>
      <c r="AL337" s="129">
        <v>8.6300000000000008</v>
      </c>
      <c r="AM337" s="129">
        <v>8.6549999999999994</v>
      </c>
      <c r="AN337" s="129">
        <v>8.66</v>
      </c>
      <c r="AO337" s="126" t="str">
        <f t="shared" si="33"/>
        <v/>
      </c>
      <c r="AR337" s="99" t="s">
        <v>136</v>
      </c>
    </row>
    <row r="338" spans="1:44" s="99" customFormat="1" ht="21" customHeight="1" x14ac:dyDescent="0.35">
      <c r="A338" s="99">
        <v>424</v>
      </c>
      <c r="B338" s="126" t="str">
        <f t="shared" si="29"/>
        <v>RM-304L/1D-003X770</v>
      </c>
      <c r="C338" s="126" t="s">
        <v>43</v>
      </c>
      <c r="D338" s="126" t="s">
        <v>43</v>
      </c>
      <c r="E338" s="143" t="s">
        <v>1463</v>
      </c>
      <c r="F338" s="143" t="s">
        <v>1464</v>
      </c>
      <c r="G338" s="126" t="s">
        <v>230</v>
      </c>
      <c r="H338" s="126" t="s">
        <v>139</v>
      </c>
      <c r="I338" s="127">
        <v>2.91</v>
      </c>
      <c r="J338" s="127"/>
      <c r="K338" s="127"/>
      <c r="L338" s="127"/>
      <c r="M338" s="144">
        <v>770</v>
      </c>
      <c r="N338" s="129">
        <v>10.51</v>
      </c>
      <c r="O338" s="129"/>
      <c r="P338" s="129"/>
      <c r="Q338" s="130"/>
      <c r="R338" s="131"/>
      <c r="S338" s="131"/>
      <c r="T338" s="132"/>
      <c r="U338" s="132"/>
      <c r="V338" s="132"/>
      <c r="W338" s="132"/>
      <c r="X338" s="132"/>
      <c r="Y338" s="133" t="s">
        <v>1376</v>
      </c>
      <c r="Z338" s="126" t="s">
        <v>64</v>
      </c>
      <c r="AA338" s="134" t="s">
        <v>154</v>
      </c>
      <c r="AB338" s="134" t="s">
        <v>1330</v>
      </c>
      <c r="AC338" s="134"/>
      <c r="AD338" s="134">
        <v>44554</v>
      </c>
      <c r="AE338" s="134"/>
      <c r="AF338" s="134">
        <f t="shared" ca="1" si="30"/>
        <v>44963</v>
      </c>
      <c r="AG338" s="126">
        <f t="shared" ca="1" si="31"/>
        <v>409</v>
      </c>
      <c r="AH338" s="126" t="str">
        <f t="shared" si="32"/>
        <v/>
      </c>
      <c r="AI338" s="134"/>
      <c r="AJ338" s="143" t="s">
        <v>1465</v>
      </c>
      <c r="AK338" s="129">
        <v>10.51</v>
      </c>
      <c r="AL338" s="129">
        <v>10.52</v>
      </c>
      <c r="AM338" s="129">
        <v>10.544999999999998</v>
      </c>
      <c r="AN338" s="129">
        <v>10.549999999999999</v>
      </c>
      <c r="AO338" s="126" t="str">
        <f t="shared" si="33"/>
        <v/>
      </c>
      <c r="AR338" s="99" t="s">
        <v>136</v>
      </c>
    </row>
    <row r="339" spans="1:44" s="99" customFormat="1" ht="21" customHeight="1" x14ac:dyDescent="0.35">
      <c r="A339" s="99">
        <v>424</v>
      </c>
      <c r="B339" s="126" t="str">
        <f t="shared" si="29"/>
        <v>RM-304L/1D-003X773</v>
      </c>
      <c r="C339" s="126" t="s">
        <v>43</v>
      </c>
      <c r="D339" s="126" t="s">
        <v>43</v>
      </c>
      <c r="E339" s="143" t="s">
        <v>1466</v>
      </c>
      <c r="F339" s="143" t="s">
        <v>1467</v>
      </c>
      <c r="G339" s="126" t="s">
        <v>230</v>
      </c>
      <c r="H339" s="126" t="s">
        <v>139</v>
      </c>
      <c r="I339" s="127">
        <v>2.92</v>
      </c>
      <c r="J339" s="127"/>
      <c r="K339" s="127"/>
      <c r="L339" s="127"/>
      <c r="M339" s="144">
        <v>773</v>
      </c>
      <c r="N339" s="129">
        <v>10.54</v>
      </c>
      <c r="O339" s="129"/>
      <c r="P339" s="129"/>
      <c r="Q339" s="130"/>
      <c r="R339" s="131"/>
      <c r="S339" s="131"/>
      <c r="T339" s="132"/>
      <c r="U339" s="132"/>
      <c r="V339" s="132"/>
      <c r="W339" s="132"/>
      <c r="X339" s="132"/>
      <c r="Y339" s="133" t="s">
        <v>1376</v>
      </c>
      <c r="Z339" s="126" t="s">
        <v>64</v>
      </c>
      <c r="AA339" s="134" t="s">
        <v>154</v>
      </c>
      <c r="AB339" s="134" t="s">
        <v>1330</v>
      </c>
      <c r="AC339" s="134"/>
      <c r="AD339" s="134">
        <v>44554</v>
      </c>
      <c r="AE339" s="134"/>
      <c r="AF339" s="134">
        <f t="shared" ca="1" si="30"/>
        <v>44963</v>
      </c>
      <c r="AG339" s="126">
        <f t="shared" ca="1" si="31"/>
        <v>409</v>
      </c>
      <c r="AH339" s="126" t="str">
        <f t="shared" si="32"/>
        <v/>
      </c>
      <c r="AI339" s="134"/>
      <c r="AJ339" s="143" t="s">
        <v>1465</v>
      </c>
      <c r="AK339" s="129">
        <v>10.54</v>
      </c>
      <c r="AL339" s="129">
        <v>10.55</v>
      </c>
      <c r="AM339" s="129">
        <v>10.574999999999999</v>
      </c>
      <c r="AN339" s="129">
        <v>10.58</v>
      </c>
      <c r="AO339" s="126" t="str">
        <f t="shared" si="33"/>
        <v/>
      </c>
      <c r="AR339" s="99" t="s">
        <v>136</v>
      </c>
    </row>
    <row r="340" spans="1:44" s="99" customFormat="1" ht="21" customHeight="1" x14ac:dyDescent="0.35">
      <c r="A340" s="99">
        <v>424</v>
      </c>
      <c r="B340" s="126" t="str">
        <f t="shared" si="29"/>
        <v>RM-304/1D-003X770</v>
      </c>
      <c r="C340" s="126" t="s">
        <v>43</v>
      </c>
      <c r="D340" s="126" t="s">
        <v>43</v>
      </c>
      <c r="E340" s="143" t="s">
        <v>1468</v>
      </c>
      <c r="F340" s="143" t="s">
        <v>1469</v>
      </c>
      <c r="G340" s="126">
        <v>304</v>
      </c>
      <c r="H340" s="126" t="s">
        <v>139</v>
      </c>
      <c r="I340" s="127">
        <v>2.89</v>
      </c>
      <c r="J340" s="127"/>
      <c r="K340" s="127"/>
      <c r="L340" s="127"/>
      <c r="M340" s="144">
        <v>770</v>
      </c>
      <c r="N340" s="129">
        <v>10.505000000000001</v>
      </c>
      <c r="O340" s="129"/>
      <c r="P340" s="129"/>
      <c r="Q340" s="130"/>
      <c r="R340" s="131"/>
      <c r="S340" s="131"/>
      <c r="T340" s="132"/>
      <c r="U340" s="132"/>
      <c r="V340" s="132"/>
      <c r="W340" s="132"/>
      <c r="X340" s="132"/>
      <c r="Y340" s="133" t="s">
        <v>1366</v>
      </c>
      <c r="Z340" s="126" t="s">
        <v>64</v>
      </c>
      <c r="AA340" s="134" t="s">
        <v>154</v>
      </c>
      <c r="AB340" s="134" t="s">
        <v>1330</v>
      </c>
      <c r="AC340" s="134"/>
      <c r="AD340" s="134">
        <v>44554</v>
      </c>
      <c r="AE340" s="134"/>
      <c r="AF340" s="134">
        <f t="shared" ca="1" si="30"/>
        <v>44963</v>
      </c>
      <c r="AG340" s="126">
        <f t="shared" ca="1" si="31"/>
        <v>409</v>
      </c>
      <c r="AH340" s="126" t="str">
        <f t="shared" si="32"/>
        <v/>
      </c>
      <c r="AI340" s="134"/>
      <c r="AJ340" s="143" t="s">
        <v>1470</v>
      </c>
      <c r="AK340" s="129">
        <v>10.505000000000001</v>
      </c>
      <c r="AL340" s="129">
        <v>10.515000000000001</v>
      </c>
      <c r="AM340" s="129">
        <v>10.54</v>
      </c>
      <c r="AN340" s="129">
        <v>10.545</v>
      </c>
      <c r="AO340" s="126" t="str">
        <f t="shared" si="33"/>
        <v/>
      </c>
      <c r="AR340" s="99" t="s">
        <v>136</v>
      </c>
    </row>
    <row r="341" spans="1:44" s="99" customFormat="1" ht="21" customHeight="1" x14ac:dyDescent="0.35">
      <c r="A341" s="99">
        <v>424</v>
      </c>
      <c r="B341" s="126" t="str">
        <f t="shared" si="29"/>
        <v>WIP-304/FH-001X772</v>
      </c>
      <c r="C341" s="126" t="s">
        <v>13</v>
      </c>
      <c r="D341" s="126" t="s">
        <v>13</v>
      </c>
      <c r="E341" s="143" t="s">
        <v>1471</v>
      </c>
      <c r="F341" s="143" t="s">
        <v>1472</v>
      </c>
      <c r="G341" s="126">
        <v>304</v>
      </c>
      <c r="H341" s="126" t="s">
        <v>65</v>
      </c>
      <c r="I341" s="127">
        <v>2.9</v>
      </c>
      <c r="J341" s="127">
        <v>1</v>
      </c>
      <c r="K341" s="127"/>
      <c r="L341" s="127"/>
      <c r="M341" s="144">
        <v>772</v>
      </c>
      <c r="N341" s="129">
        <v>10.535</v>
      </c>
      <c r="O341" s="129" t="s">
        <v>116</v>
      </c>
      <c r="P341" s="129"/>
      <c r="Q341" s="130" t="s">
        <v>1370</v>
      </c>
      <c r="R341" s="131"/>
      <c r="S341" s="131"/>
      <c r="T341" s="132">
        <v>44619</v>
      </c>
      <c r="U341" s="132">
        <v>44619</v>
      </c>
      <c r="V341" s="132"/>
      <c r="W341" s="132"/>
      <c r="X341" s="132"/>
      <c r="Y341" s="133" t="s">
        <v>1366</v>
      </c>
      <c r="Z341" s="126" t="s">
        <v>64</v>
      </c>
      <c r="AA341" s="134" t="s">
        <v>154</v>
      </c>
      <c r="AB341" s="134" t="s">
        <v>1330</v>
      </c>
      <c r="AC341" s="134"/>
      <c r="AD341" s="134">
        <v>44554</v>
      </c>
      <c r="AE341" s="134"/>
      <c r="AF341" s="134">
        <f t="shared" ca="1" si="30"/>
        <v>44963</v>
      </c>
      <c r="AG341" s="126">
        <f t="shared" ca="1" si="31"/>
        <v>409</v>
      </c>
      <c r="AH341" s="126" t="str">
        <f t="shared" si="32"/>
        <v/>
      </c>
      <c r="AI341" s="134"/>
      <c r="AJ341" s="143" t="s">
        <v>1470</v>
      </c>
      <c r="AK341" s="129">
        <v>10.535</v>
      </c>
      <c r="AL341" s="129">
        <v>10.545</v>
      </c>
      <c r="AM341" s="129">
        <v>10.569999999999999</v>
      </c>
      <c r="AN341" s="129">
        <v>10.574999999999999</v>
      </c>
      <c r="AO341" s="126">
        <f t="shared" ca="1" si="33"/>
        <v>344</v>
      </c>
      <c r="AR341" s="99" t="s">
        <v>136</v>
      </c>
    </row>
    <row r="342" spans="1:44" s="99" customFormat="1" ht="21" customHeight="1" x14ac:dyDescent="0.35">
      <c r="A342" s="99">
        <v>424</v>
      </c>
      <c r="B342" s="126" t="str">
        <f t="shared" si="29"/>
        <v>RM-304L/1D-003X770</v>
      </c>
      <c r="C342" s="126" t="s">
        <v>43</v>
      </c>
      <c r="D342" s="126" t="s">
        <v>43</v>
      </c>
      <c r="E342" s="143" t="s">
        <v>1473</v>
      </c>
      <c r="F342" s="143" t="s">
        <v>1474</v>
      </c>
      <c r="G342" s="126" t="s">
        <v>230</v>
      </c>
      <c r="H342" s="126" t="s">
        <v>139</v>
      </c>
      <c r="I342" s="127">
        <v>2.8</v>
      </c>
      <c r="J342" s="127"/>
      <c r="K342" s="127"/>
      <c r="L342" s="127"/>
      <c r="M342" s="144">
        <v>770</v>
      </c>
      <c r="N342" s="129">
        <v>10.4</v>
      </c>
      <c r="O342" s="129"/>
      <c r="P342" s="129"/>
      <c r="Q342" s="130"/>
      <c r="R342" s="131"/>
      <c r="S342" s="131"/>
      <c r="T342" s="132"/>
      <c r="U342" s="132"/>
      <c r="V342" s="132"/>
      <c r="W342" s="132"/>
      <c r="X342" s="132"/>
      <c r="Y342" s="133" t="s">
        <v>1366</v>
      </c>
      <c r="Z342" s="126" t="s">
        <v>64</v>
      </c>
      <c r="AA342" s="134" t="s">
        <v>154</v>
      </c>
      <c r="AB342" s="134" t="s">
        <v>1330</v>
      </c>
      <c r="AC342" s="134"/>
      <c r="AD342" s="134">
        <v>44554</v>
      </c>
      <c r="AE342" s="134"/>
      <c r="AF342" s="134">
        <f t="shared" ca="1" si="30"/>
        <v>44963</v>
      </c>
      <c r="AG342" s="126">
        <f t="shared" ca="1" si="31"/>
        <v>409</v>
      </c>
      <c r="AH342" s="126" t="str">
        <f t="shared" si="32"/>
        <v/>
      </c>
      <c r="AI342" s="134"/>
      <c r="AJ342" s="143" t="s">
        <v>1475</v>
      </c>
      <c r="AK342" s="129">
        <v>10.4</v>
      </c>
      <c r="AL342" s="129">
        <v>10.41</v>
      </c>
      <c r="AM342" s="129">
        <v>10.434999999999999</v>
      </c>
      <c r="AN342" s="129">
        <v>10.44</v>
      </c>
      <c r="AO342" s="126" t="str">
        <f t="shared" si="33"/>
        <v/>
      </c>
      <c r="AR342" s="99" t="s">
        <v>136</v>
      </c>
    </row>
    <row r="343" spans="1:44" s="99" customFormat="1" ht="21" customHeight="1" x14ac:dyDescent="0.35">
      <c r="A343" s="99">
        <v>424</v>
      </c>
      <c r="B343" s="126" t="str">
        <f t="shared" si="29"/>
        <v>RM-304L/1D-003X771</v>
      </c>
      <c r="C343" s="126" t="s">
        <v>43</v>
      </c>
      <c r="D343" s="126" t="s">
        <v>43</v>
      </c>
      <c r="E343" s="143" t="s">
        <v>1476</v>
      </c>
      <c r="F343" s="143" t="s">
        <v>1477</v>
      </c>
      <c r="G343" s="126" t="s">
        <v>230</v>
      </c>
      <c r="H343" s="126" t="s">
        <v>139</v>
      </c>
      <c r="I343" s="127">
        <v>2.79</v>
      </c>
      <c r="J343" s="127"/>
      <c r="K343" s="127"/>
      <c r="L343" s="127"/>
      <c r="M343" s="144">
        <v>771</v>
      </c>
      <c r="N343" s="129">
        <v>10.425000000000001</v>
      </c>
      <c r="O343" s="129"/>
      <c r="P343" s="129"/>
      <c r="Q343" s="130"/>
      <c r="R343" s="131"/>
      <c r="S343" s="131"/>
      <c r="T343" s="132"/>
      <c r="U343" s="132"/>
      <c r="V343" s="132"/>
      <c r="W343" s="132"/>
      <c r="X343" s="132"/>
      <c r="Y343" s="133" t="s">
        <v>1376</v>
      </c>
      <c r="Z343" s="126" t="s">
        <v>64</v>
      </c>
      <c r="AA343" s="134" t="s">
        <v>154</v>
      </c>
      <c r="AB343" s="134" t="s">
        <v>1330</v>
      </c>
      <c r="AC343" s="134"/>
      <c r="AD343" s="134">
        <v>44554</v>
      </c>
      <c r="AE343" s="134"/>
      <c r="AF343" s="134">
        <f t="shared" ca="1" si="30"/>
        <v>44963</v>
      </c>
      <c r="AG343" s="126">
        <f t="shared" ca="1" si="31"/>
        <v>409</v>
      </c>
      <c r="AH343" s="126" t="str">
        <f t="shared" si="32"/>
        <v/>
      </c>
      <c r="AI343" s="134"/>
      <c r="AJ343" s="143" t="s">
        <v>1475</v>
      </c>
      <c r="AK343" s="129">
        <v>10.425000000000001</v>
      </c>
      <c r="AL343" s="129">
        <v>10.435</v>
      </c>
      <c r="AM343" s="129">
        <v>10.459999999999999</v>
      </c>
      <c r="AN343" s="129">
        <v>10.465</v>
      </c>
      <c r="AO343" s="126" t="str">
        <f t="shared" si="33"/>
        <v/>
      </c>
      <c r="AR343" s="99" t="s">
        <v>136</v>
      </c>
    </row>
    <row r="344" spans="1:44" s="99" customFormat="1" ht="21" customHeight="1" x14ac:dyDescent="0.35">
      <c r="A344" s="99">
        <v>424</v>
      </c>
      <c r="B344" s="126" t="str">
        <f t="shared" si="29"/>
        <v>RM-304L/1D-003X768</v>
      </c>
      <c r="C344" s="126" t="s">
        <v>43</v>
      </c>
      <c r="D344" s="126" t="s">
        <v>43</v>
      </c>
      <c r="E344" s="143" t="s">
        <v>1478</v>
      </c>
      <c r="F344" s="143" t="s">
        <v>1479</v>
      </c>
      <c r="G344" s="126" t="s">
        <v>230</v>
      </c>
      <c r="H344" s="126" t="s">
        <v>139</v>
      </c>
      <c r="I344" s="127">
        <v>3.45</v>
      </c>
      <c r="J344" s="127"/>
      <c r="K344" s="127"/>
      <c r="L344" s="127"/>
      <c r="M344" s="144">
        <v>768</v>
      </c>
      <c r="N344" s="129">
        <v>12.24</v>
      </c>
      <c r="O344" s="129"/>
      <c r="P344" s="129"/>
      <c r="Q344" s="130"/>
      <c r="R344" s="131"/>
      <c r="S344" s="131"/>
      <c r="T344" s="132"/>
      <c r="U344" s="132"/>
      <c r="V344" s="132"/>
      <c r="W344" s="132"/>
      <c r="X344" s="132"/>
      <c r="Y344" s="133" t="s">
        <v>1366</v>
      </c>
      <c r="Z344" s="126" t="s">
        <v>64</v>
      </c>
      <c r="AA344" s="134" t="s">
        <v>154</v>
      </c>
      <c r="AB344" s="134" t="s">
        <v>1330</v>
      </c>
      <c r="AC344" s="134"/>
      <c r="AD344" s="134">
        <v>44554</v>
      </c>
      <c r="AE344" s="134"/>
      <c r="AF344" s="134">
        <f t="shared" ca="1" si="30"/>
        <v>44963</v>
      </c>
      <c r="AG344" s="126">
        <f t="shared" ca="1" si="31"/>
        <v>409</v>
      </c>
      <c r="AH344" s="126" t="str">
        <f t="shared" si="32"/>
        <v/>
      </c>
      <c r="AI344" s="134"/>
      <c r="AJ344" s="143" t="s">
        <v>1480</v>
      </c>
      <c r="AK344" s="129">
        <v>12.24</v>
      </c>
      <c r="AL344" s="129">
        <v>12.25</v>
      </c>
      <c r="AM344" s="129">
        <v>12.274999999999999</v>
      </c>
      <c r="AN344" s="129">
        <v>12.28</v>
      </c>
      <c r="AO344" s="126" t="str">
        <f t="shared" si="33"/>
        <v/>
      </c>
      <c r="AR344" s="99" t="s">
        <v>136</v>
      </c>
    </row>
    <row r="345" spans="1:44" s="99" customFormat="1" ht="21" customHeight="1" x14ac:dyDescent="0.35">
      <c r="A345" s="99">
        <v>424</v>
      </c>
      <c r="B345" s="126" t="str">
        <f t="shared" si="29"/>
        <v>WIP-304L/FH-001X768</v>
      </c>
      <c r="C345" s="126" t="s">
        <v>13</v>
      </c>
      <c r="D345" s="126" t="s">
        <v>13</v>
      </c>
      <c r="E345" s="143" t="s">
        <v>1481</v>
      </c>
      <c r="F345" s="143" t="s">
        <v>1482</v>
      </c>
      <c r="G345" s="126" t="s">
        <v>230</v>
      </c>
      <c r="H345" s="126" t="s">
        <v>65</v>
      </c>
      <c r="I345" s="127">
        <v>3.45</v>
      </c>
      <c r="J345" s="127">
        <v>1</v>
      </c>
      <c r="K345" s="127"/>
      <c r="L345" s="127"/>
      <c r="M345" s="144">
        <v>768</v>
      </c>
      <c r="N345" s="129">
        <v>12.23</v>
      </c>
      <c r="O345" s="129" t="s">
        <v>116</v>
      </c>
      <c r="P345" s="129"/>
      <c r="Q345" s="130" t="s">
        <v>1370</v>
      </c>
      <c r="R345" s="131"/>
      <c r="S345" s="131"/>
      <c r="T345" s="132">
        <v>44619</v>
      </c>
      <c r="U345" s="132">
        <v>44620</v>
      </c>
      <c r="V345" s="132"/>
      <c r="W345" s="132"/>
      <c r="X345" s="132"/>
      <c r="Y345" s="133" t="s">
        <v>1366</v>
      </c>
      <c r="Z345" s="126" t="s">
        <v>64</v>
      </c>
      <c r="AA345" s="134" t="s">
        <v>154</v>
      </c>
      <c r="AB345" s="134" t="s">
        <v>1330</v>
      </c>
      <c r="AC345" s="134"/>
      <c r="AD345" s="134">
        <v>44554</v>
      </c>
      <c r="AE345" s="134"/>
      <c r="AF345" s="134">
        <f t="shared" ca="1" si="30"/>
        <v>44963</v>
      </c>
      <c r="AG345" s="126">
        <f t="shared" ca="1" si="31"/>
        <v>409</v>
      </c>
      <c r="AH345" s="126" t="str">
        <f t="shared" si="32"/>
        <v/>
      </c>
      <c r="AI345" s="134"/>
      <c r="AJ345" s="143" t="s">
        <v>1480</v>
      </c>
      <c r="AK345" s="129">
        <v>12.23</v>
      </c>
      <c r="AL345" s="129">
        <v>12.24</v>
      </c>
      <c r="AM345" s="129">
        <v>12.264999999999999</v>
      </c>
      <c r="AN345" s="129">
        <v>12.27</v>
      </c>
      <c r="AO345" s="126">
        <f t="shared" ca="1" si="33"/>
        <v>343</v>
      </c>
      <c r="AR345" s="99" t="s">
        <v>136</v>
      </c>
    </row>
    <row r="346" spans="1:44" s="99" customFormat="1" ht="21" customHeight="1" x14ac:dyDescent="0.35">
      <c r="A346" s="99">
        <v>424</v>
      </c>
      <c r="B346" s="126" t="str">
        <f t="shared" si="29"/>
        <v>RM-304/1D-003X770</v>
      </c>
      <c r="C346" s="126" t="s">
        <v>43</v>
      </c>
      <c r="D346" s="126" t="s">
        <v>43</v>
      </c>
      <c r="E346" s="143" t="s">
        <v>1483</v>
      </c>
      <c r="F346" s="143" t="s">
        <v>1484</v>
      </c>
      <c r="G346" s="126">
        <v>304</v>
      </c>
      <c r="H346" s="126" t="s">
        <v>139</v>
      </c>
      <c r="I346" s="127">
        <v>2.76</v>
      </c>
      <c r="J346" s="127"/>
      <c r="K346" s="127"/>
      <c r="L346" s="127"/>
      <c r="M346" s="144">
        <v>770</v>
      </c>
      <c r="N346" s="129">
        <v>10.39</v>
      </c>
      <c r="O346" s="129"/>
      <c r="P346" s="129"/>
      <c r="Q346" s="130"/>
      <c r="R346" s="131"/>
      <c r="S346" s="131"/>
      <c r="T346" s="132"/>
      <c r="U346" s="132"/>
      <c r="V346" s="132"/>
      <c r="W346" s="132"/>
      <c r="X346" s="132"/>
      <c r="Y346" s="133" t="s">
        <v>1376</v>
      </c>
      <c r="Z346" s="126" t="s">
        <v>64</v>
      </c>
      <c r="AA346" s="134" t="s">
        <v>154</v>
      </c>
      <c r="AB346" s="134" t="s">
        <v>1330</v>
      </c>
      <c r="AC346" s="134"/>
      <c r="AD346" s="134">
        <v>44554</v>
      </c>
      <c r="AE346" s="134"/>
      <c r="AF346" s="134">
        <f t="shared" ca="1" si="30"/>
        <v>44963</v>
      </c>
      <c r="AG346" s="126">
        <f t="shared" ca="1" si="31"/>
        <v>409</v>
      </c>
      <c r="AH346" s="126" t="str">
        <f t="shared" si="32"/>
        <v/>
      </c>
      <c r="AI346" s="134"/>
      <c r="AJ346" s="143" t="s">
        <v>1485</v>
      </c>
      <c r="AK346" s="129">
        <v>10.39</v>
      </c>
      <c r="AL346" s="129">
        <v>10.4</v>
      </c>
      <c r="AM346" s="129">
        <v>10.424999999999999</v>
      </c>
      <c r="AN346" s="129">
        <v>10.43</v>
      </c>
      <c r="AO346" s="126" t="str">
        <f t="shared" si="33"/>
        <v/>
      </c>
      <c r="AR346" s="99" t="s">
        <v>136</v>
      </c>
    </row>
    <row r="347" spans="1:44" s="99" customFormat="1" ht="21" customHeight="1" x14ac:dyDescent="0.35">
      <c r="A347" s="99">
        <v>424</v>
      </c>
      <c r="B347" s="126" t="str">
        <f t="shared" si="29"/>
        <v>RM-304/1D-003X772</v>
      </c>
      <c r="C347" s="126" t="s">
        <v>43</v>
      </c>
      <c r="D347" s="126" t="s">
        <v>43</v>
      </c>
      <c r="E347" s="143" t="s">
        <v>1486</v>
      </c>
      <c r="F347" s="143" t="s">
        <v>1487</v>
      </c>
      <c r="G347" s="126">
        <v>304</v>
      </c>
      <c r="H347" s="126" t="s">
        <v>139</v>
      </c>
      <c r="I347" s="127">
        <v>2.77</v>
      </c>
      <c r="J347" s="127"/>
      <c r="K347" s="127"/>
      <c r="L347" s="127"/>
      <c r="M347" s="144">
        <v>772</v>
      </c>
      <c r="N347" s="129">
        <v>10.404999999999999</v>
      </c>
      <c r="O347" s="129"/>
      <c r="P347" s="129"/>
      <c r="Q347" s="130"/>
      <c r="R347" s="131"/>
      <c r="S347" s="131"/>
      <c r="T347" s="132"/>
      <c r="U347" s="132"/>
      <c r="V347" s="132"/>
      <c r="W347" s="132"/>
      <c r="X347" s="132"/>
      <c r="Y347" s="133" t="s">
        <v>1376</v>
      </c>
      <c r="Z347" s="126" t="s">
        <v>64</v>
      </c>
      <c r="AA347" s="134" t="s">
        <v>154</v>
      </c>
      <c r="AB347" s="134" t="s">
        <v>1330</v>
      </c>
      <c r="AC347" s="134"/>
      <c r="AD347" s="134">
        <v>44554</v>
      </c>
      <c r="AE347" s="134"/>
      <c r="AF347" s="134">
        <f t="shared" ca="1" si="30"/>
        <v>44963</v>
      </c>
      <c r="AG347" s="126">
        <f t="shared" ca="1" si="31"/>
        <v>409</v>
      </c>
      <c r="AH347" s="126" t="str">
        <f t="shared" si="32"/>
        <v/>
      </c>
      <c r="AI347" s="134"/>
      <c r="AJ347" s="143" t="s">
        <v>1485</v>
      </c>
      <c r="AK347" s="129">
        <v>10.404999999999999</v>
      </c>
      <c r="AL347" s="129">
        <v>10.414999999999999</v>
      </c>
      <c r="AM347" s="129">
        <v>10.439999999999998</v>
      </c>
      <c r="AN347" s="129">
        <v>10.444999999999999</v>
      </c>
      <c r="AO347" s="126" t="str">
        <f t="shared" si="33"/>
        <v/>
      </c>
      <c r="AR347" s="99" t="s">
        <v>136</v>
      </c>
    </row>
    <row r="348" spans="1:44" s="99" customFormat="1" ht="21" customHeight="1" x14ac:dyDescent="0.35">
      <c r="A348" s="99">
        <v>424</v>
      </c>
      <c r="B348" s="126" t="str">
        <f t="shared" si="29"/>
        <v>RM-304L/1D-003X768</v>
      </c>
      <c r="C348" s="126" t="s">
        <v>43</v>
      </c>
      <c r="D348" s="126" t="s">
        <v>43</v>
      </c>
      <c r="E348" s="143" t="s">
        <v>1488</v>
      </c>
      <c r="F348" s="143" t="s">
        <v>1489</v>
      </c>
      <c r="G348" s="126" t="s">
        <v>230</v>
      </c>
      <c r="H348" s="126" t="s">
        <v>139</v>
      </c>
      <c r="I348" s="127">
        <v>2.93</v>
      </c>
      <c r="J348" s="127"/>
      <c r="K348" s="127"/>
      <c r="L348" s="127"/>
      <c r="M348" s="144">
        <v>768</v>
      </c>
      <c r="N348" s="129">
        <v>10.435</v>
      </c>
      <c r="O348" s="129"/>
      <c r="P348" s="129"/>
      <c r="Q348" s="130"/>
      <c r="R348" s="131"/>
      <c r="S348" s="131"/>
      <c r="T348" s="132"/>
      <c r="U348" s="132"/>
      <c r="V348" s="132"/>
      <c r="W348" s="132"/>
      <c r="X348" s="132"/>
      <c r="Y348" s="133" t="s">
        <v>1376</v>
      </c>
      <c r="Z348" s="126" t="s">
        <v>64</v>
      </c>
      <c r="AA348" s="134" t="s">
        <v>154</v>
      </c>
      <c r="AB348" s="134" t="s">
        <v>1330</v>
      </c>
      <c r="AC348" s="134"/>
      <c r="AD348" s="134">
        <v>44554</v>
      </c>
      <c r="AE348" s="134"/>
      <c r="AF348" s="134">
        <f t="shared" ca="1" si="30"/>
        <v>44963</v>
      </c>
      <c r="AG348" s="126">
        <f t="shared" ca="1" si="31"/>
        <v>409</v>
      </c>
      <c r="AH348" s="126" t="str">
        <f t="shared" si="32"/>
        <v/>
      </c>
      <c r="AI348" s="134"/>
      <c r="AJ348" s="143" t="s">
        <v>1490</v>
      </c>
      <c r="AK348" s="129">
        <v>10.435</v>
      </c>
      <c r="AL348" s="129">
        <v>10.445</v>
      </c>
      <c r="AM348" s="129">
        <v>10.469999999999999</v>
      </c>
      <c r="AN348" s="129">
        <v>10.475</v>
      </c>
      <c r="AO348" s="126" t="str">
        <f t="shared" si="33"/>
        <v/>
      </c>
      <c r="AR348" s="99" t="s">
        <v>136</v>
      </c>
    </row>
    <row r="349" spans="1:44" s="99" customFormat="1" ht="21" customHeight="1" x14ac:dyDescent="0.35">
      <c r="A349" s="99">
        <v>424</v>
      </c>
      <c r="B349" s="126" t="str">
        <f t="shared" si="29"/>
        <v>RM-304L/1D-003X768</v>
      </c>
      <c r="C349" s="126" t="s">
        <v>43</v>
      </c>
      <c r="D349" s="126" t="s">
        <v>43</v>
      </c>
      <c r="E349" s="143" t="s">
        <v>1491</v>
      </c>
      <c r="F349" s="143" t="s">
        <v>1492</v>
      </c>
      <c r="G349" s="126" t="s">
        <v>230</v>
      </c>
      <c r="H349" s="126" t="s">
        <v>139</v>
      </c>
      <c r="I349" s="127">
        <v>2.93</v>
      </c>
      <c r="J349" s="127"/>
      <c r="K349" s="127"/>
      <c r="L349" s="127"/>
      <c r="M349" s="144">
        <v>768</v>
      </c>
      <c r="N349" s="129">
        <v>10.465</v>
      </c>
      <c r="O349" s="129"/>
      <c r="P349" s="129"/>
      <c r="Q349" s="130"/>
      <c r="R349" s="131"/>
      <c r="S349" s="131"/>
      <c r="T349" s="132"/>
      <c r="U349" s="132"/>
      <c r="V349" s="132"/>
      <c r="W349" s="132"/>
      <c r="X349" s="132"/>
      <c r="Y349" s="133" t="s">
        <v>1376</v>
      </c>
      <c r="Z349" s="126" t="s">
        <v>64</v>
      </c>
      <c r="AA349" s="134" t="s">
        <v>154</v>
      </c>
      <c r="AB349" s="134" t="s">
        <v>1330</v>
      </c>
      <c r="AC349" s="134"/>
      <c r="AD349" s="134">
        <v>44554</v>
      </c>
      <c r="AE349" s="134"/>
      <c r="AF349" s="134">
        <f t="shared" ca="1" si="30"/>
        <v>44963</v>
      </c>
      <c r="AG349" s="126">
        <f t="shared" ca="1" si="31"/>
        <v>409</v>
      </c>
      <c r="AH349" s="126" t="str">
        <f t="shared" si="32"/>
        <v/>
      </c>
      <c r="AI349" s="134"/>
      <c r="AJ349" s="143" t="s">
        <v>1490</v>
      </c>
      <c r="AK349" s="129">
        <v>10.465</v>
      </c>
      <c r="AL349" s="129">
        <v>10.475</v>
      </c>
      <c r="AM349" s="129">
        <v>10.499999999999998</v>
      </c>
      <c r="AN349" s="129">
        <v>10.504999999999999</v>
      </c>
      <c r="AO349" s="126" t="str">
        <f t="shared" si="33"/>
        <v/>
      </c>
      <c r="AR349" s="99" t="s">
        <v>136</v>
      </c>
    </row>
    <row r="350" spans="1:44" s="99" customFormat="1" ht="21" customHeight="1" x14ac:dyDescent="0.35">
      <c r="A350" s="99">
        <v>424</v>
      </c>
      <c r="B350" s="126" t="str">
        <f t="shared" si="29"/>
        <v>RM-304L/1D-003X768</v>
      </c>
      <c r="C350" s="126" t="s">
        <v>43</v>
      </c>
      <c r="D350" s="126" t="s">
        <v>43</v>
      </c>
      <c r="E350" s="143" t="s">
        <v>1493</v>
      </c>
      <c r="F350" s="143" t="s">
        <v>1494</v>
      </c>
      <c r="G350" s="126" t="s">
        <v>230</v>
      </c>
      <c r="H350" s="126" t="s">
        <v>139</v>
      </c>
      <c r="I350" s="127">
        <v>2.9</v>
      </c>
      <c r="J350" s="127"/>
      <c r="K350" s="127"/>
      <c r="L350" s="127"/>
      <c r="M350" s="144">
        <v>768</v>
      </c>
      <c r="N350" s="129">
        <v>10.435</v>
      </c>
      <c r="O350" s="129"/>
      <c r="P350" s="129"/>
      <c r="Q350" s="130"/>
      <c r="R350" s="131"/>
      <c r="S350" s="131"/>
      <c r="T350" s="132"/>
      <c r="U350" s="132"/>
      <c r="V350" s="132"/>
      <c r="W350" s="132"/>
      <c r="X350" s="132"/>
      <c r="Y350" s="133" t="s">
        <v>1376</v>
      </c>
      <c r="Z350" s="126" t="s">
        <v>64</v>
      </c>
      <c r="AA350" s="134" t="s">
        <v>154</v>
      </c>
      <c r="AB350" s="134" t="s">
        <v>1330</v>
      </c>
      <c r="AC350" s="134"/>
      <c r="AD350" s="134">
        <v>44554</v>
      </c>
      <c r="AE350" s="134"/>
      <c r="AF350" s="134">
        <f t="shared" ca="1" si="30"/>
        <v>44963</v>
      </c>
      <c r="AG350" s="126">
        <f t="shared" ca="1" si="31"/>
        <v>409</v>
      </c>
      <c r="AH350" s="126" t="str">
        <f t="shared" si="32"/>
        <v/>
      </c>
      <c r="AI350" s="134"/>
      <c r="AJ350" s="143" t="s">
        <v>1495</v>
      </c>
      <c r="AK350" s="129">
        <v>10.435</v>
      </c>
      <c r="AL350" s="129">
        <v>10.445</v>
      </c>
      <c r="AM350" s="129">
        <v>10.469999999999999</v>
      </c>
      <c r="AN350" s="129">
        <v>10.475</v>
      </c>
      <c r="AO350" s="126" t="str">
        <f t="shared" si="33"/>
        <v/>
      </c>
      <c r="AR350" s="99" t="s">
        <v>136</v>
      </c>
    </row>
    <row r="351" spans="1:44" s="99" customFormat="1" ht="21" customHeight="1" x14ac:dyDescent="0.35">
      <c r="A351" s="99">
        <v>424</v>
      </c>
      <c r="B351" s="126" t="str">
        <f t="shared" si="29"/>
        <v>RM-304L/1D-003X768</v>
      </c>
      <c r="C351" s="126" t="s">
        <v>43</v>
      </c>
      <c r="D351" s="126" t="s">
        <v>43</v>
      </c>
      <c r="E351" s="143" t="s">
        <v>1496</v>
      </c>
      <c r="F351" s="143" t="s">
        <v>1497</v>
      </c>
      <c r="G351" s="126" t="s">
        <v>230</v>
      </c>
      <c r="H351" s="126" t="s">
        <v>139</v>
      </c>
      <c r="I351" s="127">
        <v>2.9</v>
      </c>
      <c r="J351" s="127"/>
      <c r="K351" s="127"/>
      <c r="L351" s="127"/>
      <c r="M351" s="144">
        <v>768</v>
      </c>
      <c r="N351" s="129">
        <v>10.425000000000001</v>
      </c>
      <c r="O351" s="129"/>
      <c r="P351" s="129"/>
      <c r="Q351" s="130"/>
      <c r="R351" s="131"/>
      <c r="S351" s="131"/>
      <c r="T351" s="132"/>
      <c r="U351" s="132"/>
      <c r="V351" s="132"/>
      <c r="W351" s="132"/>
      <c r="X351" s="132"/>
      <c r="Y351" s="133" t="s">
        <v>1376</v>
      </c>
      <c r="Z351" s="126" t="s">
        <v>64</v>
      </c>
      <c r="AA351" s="134" t="s">
        <v>154</v>
      </c>
      <c r="AB351" s="134" t="s">
        <v>1330</v>
      </c>
      <c r="AC351" s="134"/>
      <c r="AD351" s="134">
        <v>44554</v>
      </c>
      <c r="AE351" s="134"/>
      <c r="AF351" s="134">
        <f t="shared" ca="1" si="30"/>
        <v>44963</v>
      </c>
      <c r="AG351" s="126">
        <f t="shared" ca="1" si="31"/>
        <v>409</v>
      </c>
      <c r="AH351" s="126" t="str">
        <f t="shared" si="32"/>
        <v/>
      </c>
      <c r="AI351" s="134"/>
      <c r="AJ351" s="143" t="s">
        <v>1495</v>
      </c>
      <c r="AK351" s="129">
        <v>10.425000000000001</v>
      </c>
      <c r="AL351" s="129">
        <v>10.435</v>
      </c>
      <c r="AM351" s="129">
        <v>10.459999999999999</v>
      </c>
      <c r="AN351" s="129">
        <v>10.465</v>
      </c>
      <c r="AO351" s="126" t="str">
        <f t="shared" si="33"/>
        <v/>
      </c>
      <c r="AR351" s="99" t="s">
        <v>136</v>
      </c>
    </row>
    <row r="352" spans="1:44" s="99" customFormat="1" ht="21" customHeight="1" x14ac:dyDescent="0.35">
      <c r="A352" s="99">
        <v>424</v>
      </c>
      <c r="B352" s="126" t="str">
        <f t="shared" si="29"/>
        <v>RM-304L/1D-003X768</v>
      </c>
      <c r="C352" s="126" t="s">
        <v>43</v>
      </c>
      <c r="D352" s="126" t="s">
        <v>43</v>
      </c>
      <c r="E352" s="143" t="s">
        <v>1498</v>
      </c>
      <c r="F352" s="143" t="s">
        <v>1499</v>
      </c>
      <c r="G352" s="126" t="s">
        <v>230</v>
      </c>
      <c r="H352" s="126" t="s">
        <v>139</v>
      </c>
      <c r="I352" s="127">
        <v>2.99</v>
      </c>
      <c r="J352" s="127"/>
      <c r="K352" s="127"/>
      <c r="L352" s="127"/>
      <c r="M352" s="144">
        <v>768</v>
      </c>
      <c r="N352" s="129">
        <v>10.435</v>
      </c>
      <c r="O352" s="129"/>
      <c r="P352" s="129"/>
      <c r="Q352" s="130"/>
      <c r="R352" s="131"/>
      <c r="S352" s="131"/>
      <c r="T352" s="132"/>
      <c r="U352" s="132"/>
      <c r="V352" s="132"/>
      <c r="W352" s="132"/>
      <c r="X352" s="132"/>
      <c r="Y352" s="133" t="s">
        <v>1376</v>
      </c>
      <c r="Z352" s="126" t="s">
        <v>64</v>
      </c>
      <c r="AA352" s="134" t="s">
        <v>154</v>
      </c>
      <c r="AB352" s="134" t="s">
        <v>1330</v>
      </c>
      <c r="AC352" s="134"/>
      <c r="AD352" s="134">
        <v>44554</v>
      </c>
      <c r="AE352" s="134"/>
      <c r="AF352" s="134">
        <f t="shared" ca="1" si="30"/>
        <v>44963</v>
      </c>
      <c r="AG352" s="126">
        <f t="shared" ca="1" si="31"/>
        <v>409</v>
      </c>
      <c r="AH352" s="126" t="str">
        <f t="shared" si="32"/>
        <v/>
      </c>
      <c r="AI352" s="134"/>
      <c r="AJ352" s="143" t="s">
        <v>1500</v>
      </c>
      <c r="AK352" s="129">
        <v>10.435</v>
      </c>
      <c r="AL352" s="129">
        <v>10.445</v>
      </c>
      <c r="AM352" s="129">
        <v>10.469999999999999</v>
      </c>
      <c r="AN352" s="129">
        <v>10.475</v>
      </c>
      <c r="AO352" s="126" t="str">
        <f t="shared" si="33"/>
        <v/>
      </c>
      <c r="AR352" s="99" t="s">
        <v>136</v>
      </c>
    </row>
    <row r="353" spans="1:44" s="99" customFormat="1" ht="21" customHeight="1" x14ac:dyDescent="0.35">
      <c r="A353" s="99">
        <v>424</v>
      </c>
      <c r="B353" s="126" t="str">
        <f t="shared" si="29"/>
        <v>RM-304L/1D-003X768</v>
      </c>
      <c r="C353" s="126" t="s">
        <v>43</v>
      </c>
      <c r="D353" s="126" t="s">
        <v>43</v>
      </c>
      <c r="E353" s="143" t="s">
        <v>1501</v>
      </c>
      <c r="F353" s="143" t="s">
        <v>1502</v>
      </c>
      <c r="G353" s="126" t="s">
        <v>230</v>
      </c>
      <c r="H353" s="126" t="s">
        <v>139</v>
      </c>
      <c r="I353" s="127">
        <v>2.99</v>
      </c>
      <c r="J353" s="127"/>
      <c r="K353" s="127"/>
      <c r="L353" s="127"/>
      <c r="M353" s="144">
        <v>768</v>
      </c>
      <c r="N353" s="129">
        <v>10.445</v>
      </c>
      <c r="O353" s="129"/>
      <c r="P353" s="129"/>
      <c r="Q353" s="130"/>
      <c r="R353" s="131"/>
      <c r="S353" s="131"/>
      <c r="T353" s="132"/>
      <c r="U353" s="132"/>
      <c r="V353" s="132"/>
      <c r="W353" s="132"/>
      <c r="X353" s="132"/>
      <c r="Y353" s="133" t="s">
        <v>1376</v>
      </c>
      <c r="Z353" s="126" t="s">
        <v>64</v>
      </c>
      <c r="AA353" s="134" t="s">
        <v>154</v>
      </c>
      <c r="AB353" s="134" t="s">
        <v>1330</v>
      </c>
      <c r="AC353" s="134"/>
      <c r="AD353" s="134">
        <v>44554</v>
      </c>
      <c r="AE353" s="134"/>
      <c r="AF353" s="134">
        <f t="shared" ca="1" si="30"/>
        <v>44963</v>
      </c>
      <c r="AG353" s="126">
        <f t="shared" ca="1" si="31"/>
        <v>409</v>
      </c>
      <c r="AH353" s="126" t="str">
        <f t="shared" si="32"/>
        <v/>
      </c>
      <c r="AI353" s="134"/>
      <c r="AJ353" s="143" t="s">
        <v>1500</v>
      </c>
      <c r="AK353" s="129">
        <v>10.445</v>
      </c>
      <c r="AL353" s="129">
        <v>10.455</v>
      </c>
      <c r="AM353" s="129">
        <v>10.479999999999999</v>
      </c>
      <c r="AN353" s="129">
        <v>10.484999999999999</v>
      </c>
      <c r="AO353" s="126" t="str">
        <f t="shared" si="33"/>
        <v/>
      </c>
      <c r="AR353" s="99" t="s">
        <v>136</v>
      </c>
    </row>
    <row r="354" spans="1:44" s="99" customFormat="1" ht="21" customHeight="1" x14ac:dyDescent="0.35">
      <c r="A354" s="99">
        <v>424</v>
      </c>
      <c r="B354" s="126" t="str">
        <f t="shared" si="29"/>
        <v>WIP-304L/FH-001X768</v>
      </c>
      <c r="C354" s="126" t="s">
        <v>13</v>
      </c>
      <c r="D354" s="126" t="s">
        <v>13</v>
      </c>
      <c r="E354" s="143" t="s">
        <v>1503</v>
      </c>
      <c r="F354" s="143" t="s">
        <v>1504</v>
      </c>
      <c r="G354" s="126" t="s">
        <v>230</v>
      </c>
      <c r="H354" s="126" t="s">
        <v>65</v>
      </c>
      <c r="I354" s="127">
        <v>3.42</v>
      </c>
      <c r="J354" s="127">
        <v>1</v>
      </c>
      <c r="K354" s="127"/>
      <c r="L354" s="127"/>
      <c r="M354" s="144">
        <v>768</v>
      </c>
      <c r="N354" s="129">
        <v>12.315</v>
      </c>
      <c r="O354" s="129" t="s">
        <v>116</v>
      </c>
      <c r="P354" s="129"/>
      <c r="Q354" s="130" t="s">
        <v>1370</v>
      </c>
      <c r="R354" s="131"/>
      <c r="S354" s="131"/>
      <c r="T354" s="132">
        <v>44620</v>
      </c>
      <c r="U354" s="132">
        <v>44620</v>
      </c>
      <c r="V354" s="132"/>
      <c r="W354" s="132"/>
      <c r="X354" s="132"/>
      <c r="Y354" s="133" t="s">
        <v>1366</v>
      </c>
      <c r="Z354" s="126" t="s">
        <v>64</v>
      </c>
      <c r="AA354" s="134" t="s">
        <v>154</v>
      </c>
      <c r="AB354" s="134" t="s">
        <v>1330</v>
      </c>
      <c r="AC354" s="134"/>
      <c r="AD354" s="134">
        <v>44554</v>
      </c>
      <c r="AE354" s="134"/>
      <c r="AF354" s="134">
        <f t="shared" ca="1" si="30"/>
        <v>44963</v>
      </c>
      <c r="AG354" s="126">
        <f t="shared" ca="1" si="31"/>
        <v>409</v>
      </c>
      <c r="AH354" s="126" t="str">
        <f t="shared" si="32"/>
        <v/>
      </c>
      <c r="AI354" s="134"/>
      <c r="AJ354" s="143" t="s">
        <v>1505</v>
      </c>
      <c r="AK354" s="129">
        <v>12.31</v>
      </c>
      <c r="AL354" s="129">
        <v>12.32</v>
      </c>
      <c r="AM354" s="129">
        <v>12.344999999999999</v>
      </c>
      <c r="AN354" s="129">
        <v>12.35</v>
      </c>
      <c r="AO354" s="126">
        <f t="shared" ca="1" si="33"/>
        <v>343</v>
      </c>
      <c r="AR354" s="99" t="s">
        <v>136</v>
      </c>
    </row>
    <row r="355" spans="1:44" s="99" customFormat="1" ht="21" customHeight="1" x14ac:dyDescent="0.35">
      <c r="A355" s="99">
        <v>424</v>
      </c>
      <c r="B355" s="126" t="str">
        <f t="shared" si="29"/>
        <v>WIP-304L/FH-001X767</v>
      </c>
      <c r="C355" s="126" t="s">
        <v>13</v>
      </c>
      <c r="D355" s="126" t="s">
        <v>13</v>
      </c>
      <c r="E355" s="143" t="s">
        <v>1506</v>
      </c>
      <c r="F355" s="143" t="s">
        <v>1507</v>
      </c>
      <c r="G355" s="126" t="s">
        <v>230</v>
      </c>
      <c r="H355" s="126" t="s">
        <v>65</v>
      </c>
      <c r="I355" s="127">
        <v>3.43</v>
      </c>
      <c r="J355" s="127">
        <v>1</v>
      </c>
      <c r="K355" s="127"/>
      <c r="L355" s="127"/>
      <c r="M355" s="144">
        <v>767</v>
      </c>
      <c r="N355" s="129">
        <v>12.295</v>
      </c>
      <c r="O355" s="129" t="s">
        <v>116</v>
      </c>
      <c r="P355" s="129"/>
      <c r="Q355" s="130" t="s">
        <v>1370</v>
      </c>
      <c r="R355" s="131"/>
      <c r="S355" s="131"/>
      <c r="T355" s="132">
        <v>44619</v>
      </c>
      <c r="U355" s="132">
        <v>44619</v>
      </c>
      <c r="V355" s="132"/>
      <c r="W355" s="132"/>
      <c r="X355" s="132"/>
      <c r="Y355" s="133" t="s">
        <v>1366</v>
      </c>
      <c r="Z355" s="126" t="s">
        <v>64</v>
      </c>
      <c r="AA355" s="134" t="s">
        <v>154</v>
      </c>
      <c r="AB355" s="134" t="s">
        <v>1330</v>
      </c>
      <c r="AC355" s="134"/>
      <c r="AD355" s="134">
        <v>44554</v>
      </c>
      <c r="AE355" s="134"/>
      <c r="AF355" s="134">
        <f t="shared" ca="1" si="30"/>
        <v>44963</v>
      </c>
      <c r="AG355" s="126">
        <f t="shared" ca="1" si="31"/>
        <v>409</v>
      </c>
      <c r="AH355" s="126" t="str">
        <f t="shared" si="32"/>
        <v/>
      </c>
      <c r="AI355" s="134"/>
      <c r="AJ355" s="143" t="s">
        <v>1505</v>
      </c>
      <c r="AK355" s="129">
        <v>12.285</v>
      </c>
      <c r="AL355" s="129">
        <v>12.295</v>
      </c>
      <c r="AM355" s="129">
        <v>12.319999999999999</v>
      </c>
      <c r="AN355" s="129">
        <v>12.324999999999999</v>
      </c>
      <c r="AO355" s="126">
        <f t="shared" ca="1" si="33"/>
        <v>344</v>
      </c>
      <c r="AR355" s="99" t="s">
        <v>136</v>
      </c>
    </row>
    <row r="356" spans="1:44" s="99" customFormat="1" ht="21" customHeight="1" x14ac:dyDescent="0.35">
      <c r="A356" s="99">
        <v>424</v>
      </c>
      <c r="B356" s="126" t="str">
        <f t="shared" si="29"/>
        <v>RM-304L/1D-004X767</v>
      </c>
      <c r="C356" s="126" t="s">
        <v>43</v>
      </c>
      <c r="D356" s="126" t="s">
        <v>43</v>
      </c>
      <c r="E356" s="143" t="s">
        <v>1508</v>
      </c>
      <c r="F356" s="143" t="s">
        <v>1509</v>
      </c>
      <c r="G356" s="126" t="s">
        <v>230</v>
      </c>
      <c r="H356" s="126" t="s">
        <v>139</v>
      </c>
      <c r="I356" s="127">
        <v>3.81</v>
      </c>
      <c r="J356" s="127"/>
      <c r="K356" s="127"/>
      <c r="L356" s="127"/>
      <c r="M356" s="144">
        <v>767</v>
      </c>
      <c r="N356" s="129">
        <v>11.414999999999999</v>
      </c>
      <c r="O356" s="129"/>
      <c r="P356" s="129"/>
      <c r="Q356" s="130"/>
      <c r="R356" s="131"/>
      <c r="S356" s="131"/>
      <c r="T356" s="132"/>
      <c r="U356" s="132"/>
      <c r="V356" s="132"/>
      <c r="W356" s="132"/>
      <c r="X356" s="132"/>
      <c r="Y356" s="133" t="s">
        <v>1376</v>
      </c>
      <c r="Z356" s="126" t="s">
        <v>64</v>
      </c>
      <c r="AA356" s="134" t="s">
        <v>154</v>
      </c>
      <c r="AB356" s="134" t="s">
        <v>1330</v>
      </c>
      <c r="AC356" s="134"/>
      <c r="AD356" s="134">
        <v>44554</v>
      </c>
      <c r="AE356" s="134"/>
      <c r="AF356" s="134">
        <f t="shared" ca="1" si="30"/>
        <v>44963</v>
      </c>
      <c r="AG356" s="126">
        <f t="shared" ca="1" si="31"/>
        <v>409</v>
      </c>
      <c r="AH356" s="126" t="str">
        <f t="shared" si="32"/>
        <v/>
      </c>
      <c r="AI356" s="134"/>
      <c r="AJ356" s="143" t="s">
        <v>1510</v>
      </c>
      <c r="AK356" s="129">
        <v>11.414999999999999</v>
      </c>
      <c r="AL356" s="129">
        <v>11.425000000000001</v>
      </c>
      <c r="AM356" s="129">
        <v>11.45</v>
      </c>
      <c r="AN356" s="129">
        <v>11.455</v>
      </c>
      <c r="AO356" s="126" t="str">
        <f t="shared" si="33"/>
        <v/>
      </c>
      <c r="AR356" s="99" t="s">
        <v>136</v>
      </c>
    </row>
    <row r="357" spans="1:44" s="99" customFormat="1" ht="21" customHeight="1" x14ac:dyDescent="0.35">
      <c r="A357" s="99">
        <v>424</v>
      </c>
      <c r="B357" s="126" t="str">
        <f t="shared" si="29"/>
        <v>WIP-304L/2B-001X768</v>
      </c>
      <c r="C357" s="126" t="s">
        <v>14</v>
      </c>
      <c r="D357" s="126" t="s">
        <v>358</v>
      </c>
      <c r="E357" s="143" t="s">
        <v>1511</v>
      </c>
      <c r="F357" s="143" t="s">
        <v>1512</v>
      </c>
      <c r="G357" s="126" t="s">
        <v>230</v>
      </c>
      <c r="H357" s="126" t="s">
        <v>116</v>
      </c>
      <c r="I357" s="127">
        <v>3.77</v>
      </c>
      <c r="J357" s="127">
        <v>1.1000000000000001</v>
      </c>
      <c r="K357" s="127">
        <v>1.0900000000000001</v>
      </c>
      <c r="L357" s="127">
        <v>1.1000000000000001</v>
      </c>
      <c r="M357" s="144">
        <v>768</v>
      </c>
      <c r="N357" s="129">
        <v>12.065</v>
      </c>
      <c r="O357" s="129" t="s">
        <v>116</v>
      </c>
      <c r="P357" s="129"/>
      <c r="Q357" s="130" t="s">
        <v>1165</v>
      </c>
      <c r="R357" s="131"/>
      <c r="S357" s="131"/>
      <c r="T357" s="132">
        <v>44618</v>
      </c>
      <c r="U357" s="132">
        <v>44618</v>
      </c>
      <c r="V357" s="132">
        <v>44620</v>
      </c>
      <c r="W357" s="132"/>
      <c r="X357" s="132"/>
      <c r="Y357" s="133" t="s">
        <v>1395</v>
      </c>
      <c r="Z357" s="126" t="s">
        <v>64</v>
      </c>
      <c r="AA357" s="134" t="s">
        <v>154</v>
      </c>
      <c r="AB357" s="134" t="s">
        <v>1330</v>
      </c>
      <c r="AC357" s="134"/>
      <c r="AD357" s="134">
        <v>44554</v>
      </c>
      <c r="AE357" s="134"/>
      <c r="AF357" s="134">
        <f t="shared" ca="1" si="30"/>
        <v>44963</v>
      </c>
      <c r="AG357" s="126">
        <f t="shared" ca="1" si="31"/>
        <v>409</v>
      </c>
      <c r="AH357" s="126">
        <f t="shared" ca="1" si="32"/>
        <v>343</v>
      </c>
      <c r="AI357" s="134"/>
      <c r="AJ357" s="143" t="s">
        <v>1513</v>
      </c>
      <c r="AK357" s="129">
        <v>11.955</v>
      </c>
      <c r="AL357" s="129">
        <v>11.965</v>
      </c>
      <c r="AM357" s="129">
        <v>11.989999999999998</v>
      </c>
      <c r="AN357" s="129">
        <v>11.994999999999999</v>
      </c>
      <c r="AO357" s="126">
        <f t="shared" ca="1" si="33"/>
        <v>345</v>
      </c>
      <c r="AR357" s="99" t="s">
        <v>136</v>
      </c>
    </row>
    <row r="358" spans="1:44" s="99" customFormat="1" ht="21" customHeight="1" x14ac:dyDescent="0.35">
      <c r="A358" s="99">
        <v>424</v>
      </c>
      <c r="B358" s="126" t="str">
        <f t="shared" si="29"/>
        <v>RM-304/1D-003X767</v>
      </c>
      <c r="C358" s="126" t="s">
        <v>43</v>
      </c>
      <c r="D358" s="126" t="s">
        <v>43</v>
      </c>
      <c r="E358" s="143" t="s">
        <v>1514</v>
      </c>
      <c r="F358" s="143" t="s">
        <v>1515</v>
      </c>
      <c r="G358" s="126">
        <v>304</v>
      </c>
      <c r="H358" s="126" t="s">
        <v>139</v>
      </c>
      <c r="I358" s="127">
        <v>3.45</v>
      </c>
      <c r="J358" s="127"/>
      <c r="K358" s="127"/>
      <c r="L358" s="127"/>
      <c r="M358" s="144">
        <v>767</v>
      </c>
      <c r="N358" s="129">
        <v>10.355</v>
      </c>
      <c r="O358" s="129"/>
      <c r="P358" s="129"/>
      <c r="Q358" s="130"/>
      <c r="R358" s="131"/>
      <c r="S358" s="131"/>
      <c r="T358" s="132"/>
      <c r="U358" s="132"/>
      <c r="V358" s="132"/>
      <c r="W358" s="132"/>
      <c r="X358" s="132"/>
      <c r="Y358" s="133" t="s">
        <v>1376</v>
      </c>
      <c r="Z358" s="126" t="s">
        <v>64</v>
      </c>
      <c r="AA358" s="134" t="s">
        <v>154</v>
      </c>
      <c r="AB358" s="134" t="s">
        <v>1516</v>
      </c>
      <c r="AC358" s="134"/>
      <c r="AD358" s="134">
        <v>44554</v>
      </c>
      <c r="AE358" s="134"/>
      <c r="AF358" s="134">
        <f t="shared" ca="1" si="30"/>
        <v>44963</v>
      </c>
      <c r="AG358" s="126">
        <f t="shared" ca="1" si="31"/>
        <v>409</v>
      </c>
      <c r="AH358" s="126" t="str">
        <f t="shared" si="32"/>
        <v/>
      </c>
      <c r="AI358" s="134"/>
      <c r="AJ358" s="143" t="s">
        <v>1517</v>
      </c>
      <c r="AK358" s="129">
        <v>10.355</v>
      </c>
      <c r="AL358" s="129">
        <v>10.365</v>
      </c>
      <c r="AM358" s="129">
        <v>10.389999999999999</v>
      </c>
      <c r="AN358" s="129">
        <v>10.395</v>
      </c>
      <c r="AO358" s="126" t="str">
        <f t="shared" si="33"/>
        <v/>
      </c>
      <c r="AR358" s="99" t="s">
        <v>136</v>
      </c>
    </row>
    <row r="359" spans="1:44" s="99" customFormat="1" ht="21" customHeight="1" x14ac:dyDescent="0.35">
      <c r="A359" s="99">
        <v>424</v>
      </c>
      <c r="B359" s="126" t="str">
        <f t="shared" si="29"/>
        <v>RM-304/1D-003X766</v>
      </c>
      <c r="C359" s="126" t="s">
        <v>43</v>
      </c>
      <c r="D359" s="126" t="s">
        <v>43</v>
      </c>
      <c r="E359" s="143" t="s">
        <v>1518</v>
      </c>
      <c r="F359" s="143" t="s">
        <v>1519</v>
      </c>
      <c r="G359" s="126">
        <v>304</v>
      </c>
      <c r="H359" s="126" t="s">
        <v>139</v>
      </c>
      <c r="I359" s="127">
        <v>3.44</v>
      </c>
      <c r="J359" s="127"/>
      <c r="K359" s="127"/>
      <c r="L359" s="127"/>
      <c r="M359" s="144">
        <v>766</v>
      </c>
      <c r="N359" s="129">
        <v>10.33</v>
      </c>
      <c r="O359" s="129"/>
      <c r="P359" s="129"/>
      <c r="Q359" s="130"/>
      <c r="R359" s="131"/>
      <c r="S359" s="131"/>
      <c r="T359" s="132"/>
      <c r="U359" s="132"/>
      <c r="V359" s="132"/>
      <c r="W359" s="132"/>
      <c r="X359" s="132"/>
      <c r="Y359" s="133" t="s">
        <v>1376</v>
      </c>
      <c r="Z359" s="126" t="s">
        <v>64</v>
      </c>
      <c r="AA359" s="134" t="s">
        <v>154</v>
      </c>
      <c r="AB359" s="134" t="s">
        <v>1516</v>
      </c>
      <c r="AC359" s="134"/>
      <c r="AD359" s="134">
        <v>44554</v>
      </c>
      <c r="AE359" s="134"/>
      <c r="AF359" s="134">
        <f t="shared" ca="1" si="30"/>
        <v>44963</v>
      </c>
      <c r="AG359" s="126">
        <f t="shared" ca="1" si="31"/>
        <v>409</v>
      </c>
      <c r="AH359" s="126" t="str">
        <f t="shared" si="32"/>
        <v/>
      </c>
      <c r="AI359" s="134"/>
      <c r="AJ359" s="143" t="s">
        <v>1517</v>
      </c>
      <c r="AK359" s="129">
        <v>10.33</v>
      </c>
      <c r="AL359" s="129">
        <v>10.34</v>
      </c>
      <c r="AM359" s="129">
        <v>10.364999999999998</v>
      </c>
      <c r="AN359" s="129">
        <v>10.37</v>
      </c>
      <c r="AO359" s="126" t="str">
        <f t="shared" si="33"/>
        <v/>
      </c>
      <c r="AR359" s="99" t="s">
        <v>136</v>
      </c>
    </row>
    <row r="360" spans="1:44" s="99" customFormat="1" ht="21" customHeight="1" x14ac:dyDescent="0.35">
      <c r="A360" s="99">
        <v>424</v>
      </c>
      <c r="B360" s="126" t="str">
        <f t="shared" si="29"/>
        <v>RM-304L/1D-003X768</v>
      </c>
      <c r="C360" s="126" t="s">
        <v>43</v>
      </c>
      <c r="D360" s="126" t="s">
        <v>43</v>
      </c>
      <c r="E360" s="143" t="s">
        <v>1520</v>
      </c>
      <c r="F360" s="143" t="s">
        <v>1521</v>
      </c>
      <c r="G360" s="126" t="s">
        <v>230</v>
      </c>
      <c r="H360" s="126" t="s">
        <v>139</v>
      </c>
      <c r="I360" s="127">
        <v>3.45</v>
      </c>
      <c r="J360" s="127"/>
      <c r="K360" s="127"/>
      <c r="L360" s="127"/>
      <c r="M360" s="144">
        <v>768</v>
      </c>
      <c r="N360" s="129">
        <v>10.605</v>
      </c>
      <c r="O360" s="129"/>
      <c r="P360" s="129"/>
      <c r="Q360" s="130"/>
      <c r="R360" s="131"/>
      <c r="S360" s="131"/>
      <c r="T360" s="132"/>
      <c r="U360" s="132"/>
      <c r="V360" s="132"/>
      <c r="W360" s="132"/>
      <c r="X360" s="132"/>
      <c r="Y360" s="133" t="s">
        <v>1376</v>
      </c>
      <c r="Z360" s="126" t="s">
        <v>64</v>
      </c>
      <c r="AA360" s="134" t="s">
        <v>154</v>
      </c>
      <c r="AB360" s="134" t="s">
        <v>1516</v>
      </c>
      <c r="AC360" s="134"/>
      <c r="AD360" s="134">
        <v>44554</v>
      </c>
      <c r="AE360" s="134"/>
      <c r="AF360" s="134">
        <f t="shared" ca="1" si="30"/>
        <v>44963</v>
      </c>
      <c r="AG360" s="126">
        <f t="shared" ca="1" si="31"/>
        <v>409</v>
      </c>
      <c r="AH360" s="126" t="str">
        <f t="shared" si="32"/>
        <v/>
      </c>
      <c r="AI360" s="134"/>
      <c r="AJ360" s="143" t="s">
        <v>1522</v>
      </c>
      <c r="AK360" s="129">
        <v>10.605</v>
      </c>
      <c r="AL360" s="129">
        <v>10.615</v>
      </c>
      <c r="AM360" s="129">
        <v>10.639999999999999</v>
      </c>
      <c r="AN360" s="129">
        <v>10.645</v>
      </c>
      <c r="AO360" s="126" t="str">
        <f t="shared" si="33"/>
        <v/>
      </c>
      <c r="AR360" s="99" t="s">
        <v>136</v>
      </c>
    </row>
    <row r="361" spans="1:44" s="99" customFormat="1" ht="21" customHeight="1" x14ac:dyDescent="0.35">
      <c r="A361" s="99">
        <v>424</v>
      </c>
      <c r="B361" s="126" t="str">
        <f t="shared" si="29"/>
        <v>RM-304L/1D-003X766</v>
      </c>
      <c r="C361" s="126" t="s">
        <v>43</v>
      </c>
      <c r="D361" s="126" t="s">
        <v>43</v>
      </c>
      <c r="E361" s="143" t="s">
        <v>1523</v>
      </c>
      <c r="F361" s="143" t="s">
        <v>1524</v>
      </c>
      <c r="G361" s="126" t="s">
        <v>230</v>
      </c>
      <c r="H361" s="126" t="s">
        <v>139</v>
      </c>
      <c r="I361" s="127">
        <v>3.44</v>
      </c>
      <c r="J361" s="127"/>
      <c r="K361" s="127"/>
      <c r="L361" s="127"/>
      <c r="M361" s="144">
        <v>766</v>
      </c>
      <c r="N361" s="129">
        <v>10.555</v>
      </c>
      <c r="O361" s="129"/>
      <c r="P361" s="129"/>
      <c r="Q361" s="130"/>
      <c r="R361" s="131"/>
      <c r="S361" s="131"/>
      <c r="T361" s="132"/>
      <c r="U361" s="132"/>
      <c r="V361" s="132"/>
      <c r="W361" s="132"/>
      <c r="X361" s="132"/>
      <c r="Y361" s="133" t="s">
        <v>1366</v>
      </c>
      <c r="Z361" s="126" t="s">
        <v>64</v>
      </c>
      <c r="AA361" s="134" t="s">
        <v>154</v>
      </c>
      <c r="AB361" s="134" t="s">
        <v>1516</v>
      </c>
      <c r="AC361" s="134"/>
      <c r="AD361" s="134">
        <v>44554</v>
      </c>
      <c r="AE361" s="134"/>
      <c r="AF361" s="134">
        <f t="shared" ca="1" si="30"/>
        <v>44963</v>
      </c>
      <c r="AG361" s="126">
        <f t="shared" ca="1" si="31"/>
        <v>409</v>
      </c>
      <c r="AH361" s="126" t="str">
        <f t="shared" si="32"/>
        <v/>
      </c>
      <c r="AI361" s="134"/>
      <c r="AJ361" s="143" t="s">
        <v>1522</v>
      </c>
      <c r="AK361" s="129">
        <v>10.555</v>
      </c>
      <c r="AL361" s="129">
        <v>10.565</v>
      </c>
      <c r="AM361" s="129">
        <v>10.589999999999998</v>
      </c>
      <c r="AN361" s="129">
        <v>10.594999999999999</v>
      </c>
      <c r="AO361" s="126" t="str">
        <f t="shared" si="33"/>
        <v/>
      </c>
      <c r="AR361" s="99" t="s">
        <v>136</v>
      </c>
    </row>
    <row r="362" spans="1:44" s="99" customFormat="1" ht="21" customHeight="1" x14ac:dyDescent="0.35">
      <c r="A362" s="99">
        <v>424</v>
      </c>
      <c r="B362" s="126" t="str">
        <f t="shared" si="29"/>
        <v>RM-304L/1D-003X768</v>
      </c>
      <c r="C362" s="126" t="s">
        <v>43</v>
      </c>
      <c r="D362" s="126" t="s">
        <v>43</v>
      </c>
      <c r="E362" s="143" t="s">
        <v>1525</v>
      </c>
      <c r="F362" s="143" t="s">
        <v>1526</v>
      </c>
      <c r="G362" s="126" t="s">
        <v>230</v>
      </c>
      <c r="H362" s="126" t="s">
        <v>139</v>
      </c>
      <c r="I362" s="127">
        <v>2.99</v>
      </c>
      <c r="J362" s="127"/>
      <c r="K362" s="127"/>
      <c r="L362" s="127"/>
      <c r="M362" s="144">
        <v>768</v>
      </c>
      <c r="N362" s="129">
        <v>12.145</v>
      </c>
      <c r="O362" s="129"/>
      <c r="P362" s="129"/>
      <c r="Q362" s="130"/>
      <c r="R362" s="131"/>
      <c r="S362" s="131"/>
      <c r="T362" s="132"/>
      <c r="U362" s="132"/>
      <c r="V362" s="132"/>
      <c r="W362" s="132"/>
      <c r="X362" s="132"/>
      <c r="Y362" s="133" t="s">
        <v>1376</v>
      </c>
      <c r="Z362" s="126" t="s">
        <v>64</v>
      </c>
      <c r="AA362" s="134" t="s">
        <v>154</v>
      </c>
      <c r="AB362" s="134" t="s">
        <v>1516</v>
      </c>
      <c r="AC362" s="134"/>
      <c r="AD362" s="134">
        <v>44554</v>
      </c>
      <c r="AE362" s="134"/>
      <c r="AF362" s="134">
        <f t="shared" ca="1" si="30"/>
        <v>44963</v>
      </c>
      <c r="AG362" s="126">
        <f t="shared" ca="1" si="31"/>
        <v>409</v>
      </c>
      <c r="AH362" s="126" t="str">
        <f t="shared" si="32"/>
        <v/>
      </c>
      <c r="AI362" s="134"/>
      <c r="AJ362" s="143" t="s">
        <v>1527</v>
      </c>
      <c r="AK362" s="129">
        <v>12.145</v>
      </c>
      <c r="AL362" s="129">
        <v>12.154999999999999</v>
      </c>
      <c r="AM362" s="129">
        <v>12.179999999999998</v>
      </c>
      <c r="AN362" s="129">
        <v>12.184999999999999</v>
      </c>
      <c r="AO362" s="126" t="str">
        <f t="shared" si="33"/>
        <v/>
      </c>
      <c r="AR362" s="99" t="s">
        <v>136</v>
      </c>
    </row>
    <row r="363" spans="1:44" s="99" customFormat="1" ht="21" customHeight="1" x14ac:dyDescent="0.35">
      <c r="A363" s="99">
        <v>424</v>
      </c>
      <c r="B363" s="126" t="str">
        <f t="shared" si="29"/>
        <v>RM-304L/1D-003X767</v>
      </c>
      <c r="C363" s="126" t="s">
        <v>43</v>
      </c>
      <c r="D363" s="126" t="s">
        <v>43</v>
      </c>
      <c r="E363" s="143" t="s">
        <v>1528</v>
      </c>
      <c r="F363" s="143" t="s">
        <v>1529</v>
      </c>
      <c r="G363" s="126" t="s">
        <v>230</v>
      </c>
      <c r="H363" s="126" t="s">
        <v>139</v>
      </c>
      <c r="I363" s="127">
        <v>2.99</v>
      </c>
      <c r="J363" s="127"/>
      <c r="K363" s="127"/>
      <c r="L363" s="127"/>
      <c r="M363" s="144">
        <v>767</v>
      </c>
      <c r="N363" s="129">
        <v>12.125</v>
      </c>
      <c r="O363" s="129"/>
      <c r="P363" s="129"/>
      <c r="Q363" s="130"/>
      <c r="R363" s="131"/>
      <c r="S363" s="131"/>
      <c r="T363" s="132"/>
      <c r="U363" s="132"/>
      <c r="V363" s="132"/>
      <c r="W363" s="132"/>
      <c r="X363" s="132"/>
      <c r="Y363" s="133" t="s">
        <v>1376</v>
      </c>
      <c r="Z363" s="126" t="s">
        <v>64</v>
      </c>
      <c r="AA363" s="134" t="s">
        <v>154</v>
      </c>
      <c r="AB363" s="134" t="s">
        <v>1516</v>
      </c>
      <c r="AC363" s="134"/>
      <c r="AD363" s="134">
        <v>44554</v>
      </c>
      <c r="AE363" s="134"/>
      <c r="AF363" s="134">
        <f t="shared" ca="1" si="30"/>
        <v>44963</v>
      </c>
      <c r="AG363" s="126">
        <f t="shared" ca="1" si="31"/>
        <v>409</v>
      </c>
      <c r="AH363" s="126" t="str">
        <f t="shared" si="32"/>
        <v/>
      </c>
      <c r="AI363" s="134"/>
      <c r="AJ363" s="143" t="s">
        <v>1527</v>
      </c>
      <c r="AK363" s="129">
        <v>12.125</v>
      </c>
      <c r="AL363" s="129">
        <v>12.135</v>
      </c>
      <c r="AM363" s="129">
        <v>12.159999999999998</v>
      </c>
      <c r="AN363" s="129">
        <v>12.164999999999999</v>
      </c>
      <c r="AO363" s="126" t="str">
        <f t="shared" si="33"/>
        <v/>
      </c>
      <c r="AR363" s="99" t="s">
        <v>136</v>
      </c>
    </row>
    <row r="364" spans="1:44" s="99" customFormat="1" ht="21" customHeight="1" x14ac:dyDescent="0.35">
      <c r="A364" s="99">
        <v>424</v>
      </c>
      <c r="B364" s="126" t="str">
        <f t="shared" si="29"/>
        <v>RM-304L/1D-003X767</v>
      </c>
      <c r="C364" s="126" t="s">
        <v>43</v>
      </c>
      <c r="D364" s="126" t="s">
        <v>43</v>
      </c>
      <c r="E364" s="143" t="s">
        <v>1530</v>
      </c>
      <c r="F364" s="143" t="s">
        <v>1531</v>
      </c>
      <c r="G364" s="126" t="s">
        <v>230</v>
      </c>
      <c r="H364" s="126" t="s">
        <v>139</v>
      </c>
      <c r="I364" s="127">
        <v>2.91</v>
      </c>
      <c r="J364" s="127"/>
      <c r="K364" s="127"/>
      <c r="L364" s="127"/>
      <c r="M364" s="144">
        <v>767</v>
      </c>
      <c r="N364" s="129">
        <v>10.205</v>
      </c>
      <c r="O364" s="129"/>
      <c r="P364" s="129"/>
      <c r="Q364" s="130"/>
      <c r="R364" s="131"/>
      <c r="S364" s="131"/>
      <c r="T364" s="132"/>
      <c r="U364" s="132"/>
      <c r="V364" s="132"/>
      <c r="W364" s="132"/>
      <c r="X364" s="132"/>
      <c r="Y364" s="133" t="s">
        <v>1376</v>
      </c>
      <c r="Z364" s="126" t="s">
        <v>64</v>
      </c>
      <c r="AA364" s="134" t="s">
        <v>154</v>
      </c>
      <c r="AB364" s="134" t="s">
        <v>1516</v>
      </c>
      <c r="AC364" s="134"/>
      <c r="AD364" s="134">
        <v>44554</v>
      </c>
      <c r="AE364" s="134"/>
      <c r="AF364" s="134">
        <f t="shared" ca="1" si="30"/>
        <v>44963</v>
      </c>
      <c r="AG364" s="126">
        <f t="shared" ca="1" si="31"/>
        <v>409</v>
      </c>
      <c r="AH364" s="126" t="str">
        <f t="shared" si="32"/>
        <v/>
      </c>
      <c r="AI364" s="134"/>
      <c r="AJ364" s="143" t="s">
        <v>1532</v>
      </c>
      <c r="AK364" s="129">
        <v>10.205</v>
      </c>
      <c r="AL364" s="129">
        <v>10.215</v>
      </c>
      <c r="AM364" s="129">
        <v>10.239999999999998</v>
      </c>
      <c r="AN364" s="129">
        <v>10.244999999999999</v>
      </c>
      <c r="AO364" s="126" t="str">
        <f t="shared" si="33"/>
        <v/>
      </c>
      <c r="AR364" s="99" t="s">
        <v>136</v>
      </c>
    </row>
    <row r="365" spans="1:44" s="99" customFormat="1" ht="21" customHeight="1" x14ac:dyDescent="0.35">
      <c r="A365" s="99">
        <v>424</v>
      </c>
      <c r="B365" s="126" t="str">
        <f t="shared" si="29"/>
        <v>RM-304L/1D-003X765</v>
      </c>
      <c r="C365" s="126" t="s">
        <v>43</v>
      </c>
      <c r="D365" s="126" t="s">
        <v>43</v>
      </c>
      <c r="E365" s="143" t="s">
        <v>1533</v>
      </c>
      <c r="F365" s="143" t="s">
        <v>1534</v>
      </c>
      <c r="G365" s="126" t="s">
        <v>230</v>
      </c>
      <c r="H365" s="126" t="s">
        <v>139</v>
      </c>
      <c r="I365" s="127">
        <v>2.92</v>
      </c>
      <c r="J365" s="127"/>
      <c r="K365" s="127"/>
      <c r="L365" s="127"/>
      <c r="M365" s="144">
        <v>765</v>
      </c>
      <c r="N365" s="129">
        <v>10.16</v>
      </c>
      <c r="O365" s="129"/>
      <c r="P365" s="129"/>
      <c r="Q365" s="130"/>
      <c r="R365" s="131"/>
      <c r="S365" s="131"/>
      <c r="T365" s="132"/>
      <c r="U365" s="132"/>
      <c r="V365" s="132"/>
      <c r="W365" s="132"/>
      <c r="X365" s="132"/>
      <c r="Y365" s="133" t="s">
        <v>1376</v>
      </c>
      <c r="Z365" s="126" t="s">
        <v>64</v>
      </c>
      <c r="AA365" s="134" t="s">
        <v>154</v>
      </c>
      <c r="AB365" s="134" t="s">
        <v>1516</v>
      </c>
      <c r="AC365" s="134"/>
      <c r="AD365" s="134">
        <v>44554</v>
      </c>
      <c r="AE365" s="134"/>
      <c r="AF365" s="134">
        <f t="shared" ca="1" si="30"/>
        <v>44963</v>
      </c>
      <c r="AG365" s="126">
        <f t="shared" ca="1" si="31"/>
        <v>409</v>
      </c>
      <c r="AH365" s="126" t="str">
        <f t="shared" si="32"/>
        <v/>
      </c>
      <c r="AI365" s="134"/>
      <c r="AJ365" s="143" t="s">
        <v>1532</v>
      </c>
      <c r="AK365" s="129">
        <v>10.16</v>
      </c>
      <c r="AL365" s="129">
        <v>10.17</v>
      </c>
      <c r="AM365" s="129">
        <v>10.194999999999999</v>
      </c>
      <c r="AN365" s="129">
        <v>10.199999999999999</v>
      </c>
      <c r="AO365" s="126" t="str">
        <f t="shared" si="33"/>
        <v/>
      </c>
      <c r="AR365" s="99" t="s">
        <v>136</v>
      </c>
    </row>
    <row r="366" spans="1:44" s="99" customFormat="1" ht="21" customHeight="1" x14ac:dyDescent="0.35">
      <c r="A366" s="99">
        <v>424</v>
      </c>
      <c r="B366" s="126" t="str">
        <f t="shared" si="29"/>
        <v>WIP-304L/2B-001X766</v>
      </c>
      <c r="C366" s="126" t="s">
        <v>14</v>
      </c>
      <c r="D366" s="126" t="s">
        <v>358</v>
      </c>
      <c r="E366" s="143" t="s">
        <v>1535</v>
      </c>
      <c r="F366" s="143" t="s">
        <v>1536</v>
      </c>
      <c r="G366" s="126" t="s">
        <v>230</v>
      </c>
      <c r="H366" s="126" t="s">
        <v>116</v>
      </c>
      <c r="I366" s="127">
        <v>3.37</v>
      </c>
      <c r="J366" s="127">
        <v>1.1499999999999999</v>
      </c>
      <c r="K366" s="127">
        <v>1.1499999999999999</v>
      </c>
      <c r="L366" s="127">
        <v>1.1599999999999999</v>
      </c>
      <c r="M366" s="144">
        <v>766</v>
      </c>
      <c r="N366" s="129">
        <v>10.27</v>
      </c>
      <c r="O366" s="129" t="s">
        <v>116</v>
      </c>
      <c r="P366" s="129"/>
      <c r="Q366" s="130" t="s">
        <v>446</v>
      </c>
      <c r="R366" s="131"/>
      <c r="S366" s="131"/>
      <c r="T366" s="132">
        <v>44609</v>
      </c>
      <c r="U366" s="132">
        <v>44611</v>
      </c>
      <c r="V366" s="132">
        <v>44614</v>
      </c>
      <c r="W366" s="132"/>
      <c r="X366" s="132"/>
      <c r="Y366" s="133" t="s">
        <v>1395</v>
      </c>
      <c r="Z366" s="126" t="s">
        <v>64</v>
      </c>
      <c r="AA366" s="134" t="s">
        <v>154</v>
      </c>
      <c r="AB366" s="134" t="s">
        <v>1516</v>
      </c>
      <c r="AC366" s="134"/>
      <c r="AD366" s="134">
        <v>44554</v>
      </c>
      <c r="AE366" s="134"/>
      <c r="AF366" s="134">
        <f t="shared" ca="1" si="30"/>
        <v>44963</v>
      </c>
      <c r="AG366" s="126">
        <f t="shared" ca="1" si="31"/>
        <v>409</v>
      </c>
      <c r="AH366" s="126">
        <f t="shared" ca="1" si="32"/>
        <v>349</v>
      </c>
      <c r="AI366" s="134"/>
      <c r="AJ366" s="143" t="s">
        <v>1537</v>
      </c>
      <c r="AK366" s="129">
        <v>10.29</v>
      </c>
      <c r="AL366" s="129">
        <v>10.3</v>
      </c>
      <c r="AM366" s="129">
        <v>10.324999999999999</v>
      </c>
      <c r="AN366" s="129">
        <v>10.33</v>
      </c>
      <c r="AO366" s="126">
        <f t="shared" ca="1" si="33"/>
        <v>352</v>
      </c>
      <c r="AR366" s="99" t="s">
        <v>136</v>
      </c>
    </row>
    <row r="367" spans="1:44" s="99" customFormat="1" ht="21" customHeight="1" x14ac:dyDescent="0.35">
      <c r="A367" s="99">
        <v>424</v>
      </c>
      <c r="B367" s="126" t="str">
        <f t="shared" si="29"/>
        <v>RM-304L/1D-003X767</v>
      </c>
      <c r="C367" s="126" t="s">
        <v>43</v>
      </c>
      <c r="D367" s="126" t="s">
        <v>43</v>
      </c>
      <c r="E367" s="143" t="s">
        <v>1538</v>
      </c>
      <c r="F367" s="143" t="s">
        <v>1539</v>
      </c>
      <c r="G367" s="126" t="s">
        <v>230</v>
      </c>
      <c r="H367" s="126" t="s">
        <v>139</v>
      </c>
      <c r="I367" s="127">
        <v>2.81</v>
      </c>
      <c r="J367" s="127"/>
      <c r="K367" s="127"/>
      <c r="L367" s="127"/>
      <c r="M367" s="144">
        <v>767</v>
      </c>
      <c r="N367" s="129">
        <v>10.265000000000001</v>
      </c>
      <c r="O367" s="129"/>
      <c r="P367" s="129"/>
      <c r="Q367" s="130"/>
      <c r="R367" s="131"/>
      <c r="S367" s="131"/>
      <c r="T367" s="132"/>
      <c r="U367" s="132"/>
      <c r="V367" s="132"/>
      <c r="W367" s="132"/>
      <c r="X367" s="132"/>
      <c r="Y367" s="133" t="s">
        <v>1376</v>
      </c>
      <c r="Z367" s="126" t="s">
        <v>64</v>
      </c>
      <c r="AA367" s="134" t="s">
        <v>154</v>
      </c>
      <c r="AB367" s="134" t="s">
        <v>1516</v>
      </c>
      <c r="AC367" s="134"/>
      <c r="AD367" s="134">
        <v>44554</v>
      </c>
      <c r="AE367" s="134"/>
      <c r="AF367" s="134">
        <f t="shared" ca="1" si="30"/>
        <v>44963</v>
      </c>
      <c r="AG367" s="126">
        <f t="shared" ca="1" si="31"/>
        <v>409</v>
      </c>
      <c r="AH367" s="126" t="str">
        <f t="shared" si="32"/>
        <v/>
      </c>
      <c r="AI367" s="134"/>
      <c r="AJ367" s="143" t="s">
        <v>1540</v>
      </c>
      <c r="AK367" s="129">
        <v>10.265000000000001</v>
      </c>
      <c r="AL367" s="129">
        <v>10.275</v>
      </c>
      <c r="AM367" s="129">
        <v>10.299999999999999</v>
      </c>
      <c r="AN367" s="129">
        <v>10.305</v>
      </c>
      <c r="AO367" s="126" t="str">
        <f t="shared" si="33"/>
        <v/>
      </c>
      <c r="AR367" s="99" t="s">
        <v>136</v>
      </c>
    </row>
    <row r="368" spans="1:44" s="99" customFormat="1" ht="21" customHeight="1" x14ac:dyDescent="0.35">
      <c r="A368" s="99">
        <v>424</v>
      </c>
      <c r="B368" s="126" t="str">
        <f t="shared" si="29"/>
        <v>RM-304L/1D-003X768</v>
      </c>
      <c r="C368" s="126" t="s">
        <v>43</v>
      </c>
      <c r="D368" s="126" t="s">
        <v>43</v>
      </c>
      <c r="E368" s="143" t="s">
        <v>1541</v>
      </c>
      <c r="F368" s="143" t="s">
        <v>1542</v>
      </c>
      <c r="G368" s="126" t="s">
        <v>230</v>
      </c>
      <c r="H368" s="126" t="s">
        <v>139</v>
      </c>
      <c r="I368" s="127">
        <v>2.8</v>
      </c>
      <c r="J368" s="127"/>
      <c r="K368" s="127"/>
      <c r="L368" s="127"/>
      <c r="M368" s="144">
        <v>768</v>
      </c>
      <c r="N368" s="129">
        <v>10.315</v>
      </c>
      <c r="O368" s="129"/>
      <c r="P368" s="129"/>
      <c r="Q368" s="130"/>
      <c r="R368" s="131"/>
      <c r="S368" s="131"/>
      <c r="T368" s="132"/>
      <c r="U368" s="132"/>
      <c r="V368" s="132"/>
      <c r="W368" s="132"/>
      <c r="X368" s="132"/>
      <c r="Y368" s="133" t="s">
        <v>1376</v>
      </c>
      <c r="Z368" s="126" t="s">
        <v>64</v>
      </c>
      <c r="AA368" s="134" t="s">
        <v>154</v>
      </c>
      <c r="AB368" s="134" t="s">
        <v>1516</v>
      </c>
      <c r="AC368" s="134"/>
      <c r="AD368" s="134">
        <v>44554</v>
      </c>
      <c r="AE368" s="134"/>
      <c r="AF368" s="134">
        <f t="shared" ca="1" si="30"/>
        <v>44963</v>
      </c>
      <c r="AG368" s="126">
        <f t="shared" ca="1" si="31"/>
        <v>409</v>
      </c>
      <c r="AH368" s="126" t="str">
        <f t="shared" si="32"/>
        <v/>
      </c>
      <c r="AI368" s="134"/>
      <c r="AJ368" s="143" t="s">
        <v>1540</v>
      </c>
      <c r="AK368" s="129">
        <v>10.315</v>
      </c>
      <c r="AL368" s="129">
        <v>10.324999999999999</v>
      </c>
      <c r="AM368" s="129">
        <v>10.349999999999998</v>
      </c>
      <c r="AN368" s="129">
        <v>10.354999999999999</v>
      </c>
      <c r="AO368" s="126" t="str">
        <f t="shared" si="33"/>
        <v/>
      </c>
      <c r="AR368" s="99" t="s">
        <v>136</v>
      </c>
    </row>
    <row r="369" spans="1:44" s="99" customFormat="1" ht="21" customHeight="1" x14ac:dyDescent="0.35">
      <c r="A369" s="99">
        <v>424</v>
      </c>
      <c r="B369" s="126" t="str">
        <f t="shared" si="29"/>
        <v>RM-304L/1D-003X767</v>
      </c>
      <c r="C369" s="126" t="s">
        <v>43</v>
      </c>
      <c r="D369" s="126" t="s">
        <v>43</v>
      </c>
      <c r="E369" s="143" t="s">
        <v>1543</v>
      </c>
      <c r="F369" s="143" t="s">
        <v>1544</v>
      </c>
      <c r="G369" s="126" t="s">
        <v>230</v>
      </c>
      <c r="H369" s="126" t="s">
        <v>139</v>
      </c>
      <c r="I369" s="127">
        <v>2.81</v>
      </c>
      <c r="J369" s="127"/>
      <c r="K369" s="127"/>
      <c r="L369" s="127"/>
      <c r="M369" s="144">
        <v>767</v>
      </c>
      <c r="N369" s="129">
        <v>12.085000000000001</v>
      </c>
      <c r="O369" s="129"/>
      <c r="P369" s="129"/>
      <c r="Q369" s="130"/>
      <c r="R369" s="131"/>
      <c r="S369" s="131"/>
      <c r="T369" s="132"/>
      <c r="U369" s="132"/>
      <c r="V369" s="132"/>
      <c r="W369" s="132"/>
      <c r="X369" s="132"/>
      <c r="Y369" s="133" t="s">
        <v>1376</v>
      </c>
      <c r="Z369" s="126" t="s">
        <v>64</v>
      </c>
      <c r="AA369" s="134" t="s">
        <v>154</v>
      </c>
      <c r="AB369" s="134" t="s">
        <v>1516</v>
      </c>
      <c r="AC369" s="134"/>
      <c r="AD369" s="134">
        <v>44554</v>
      </c>
      <c r="AE369" s="134"/>
      <c r="AF369" s="134">
        <f t="shared" ca="1" si="30"/>
        <v>44963</v>
      </c>
      <c r="AG369" s="126">
        <f t="shared" ca="1" si="31"/>
        <v>409</v>
      </c>
      <c r="AH369" s="126" t="str">
        <f t="shared" si="32"/>
        <v/>
      </c>
      <c r="AI369" s="134"/>
      <c r="AJ369" s="143" t="s">
        <v>1545</v>
      </c>
      <c r="AK369" s="129">
        <v>12.085000000000001</v>
      </c>
      <c r="AL369" s="129">
        <v>12.095000000000001</v>
      </c>
      <c r="AM369" s="129">
        <v>12.12</v>
      </c>
      <c r="AN369" s="129">
        <v>12.125</v>
      </c>
      <c r="AO369" s="126" t="str">
        <f t="shared" si="33"/>
        <v/>
      </c>
      <c r="AR369" s="99" t="s">
        <v>136</v>
      </c>
    </row>
    <row r="370" spans="1:44" s="99" customFormat="1" ht="21" customHeight="1" x14ac:dyDescent="0.35">
      <c r="A370" s="99">
        <v>424</v>
      </c>
      <c r="B370" s="126" t="str">
        <f t="shared" si="29"/>
        <v>RM-304L/1D-003X768</v>
      </c>
      <c r="C370" s="126" t="s">
        <v>43</v>
      </c>
      <c r="D370" s="126" t="s">
        <v>43</v>
      </c>
      <c r="E370" s="143" t="s">
        <v>1546</v>
      </c>
      <c r="F370" s="143" t="s">
        <v>1547</v>
      </c>
      <c r="G370" s="126" t="s">
        <v>230</v>
      </c>
      <c r="H370" s="126" t="s">
        <v>139</v>
      </c>
      <c r="I370" s="127">
        <v>2.81</v>
      </c>
      <c r="J370" s="127"/>
      <c r="K370" s="127"/>
      <c r="L370" s="127"/>
      <c r="M370" s="144">
        <v>768</v>
      </c>
      <c r="N370" s="129">
        <v>12.135</v>
      </c>
      <c r="O370" s="129"/>
      <c r="P370" s="129"/>
      <c r="Q370" s="130"/>
      <c r="R370" s="131"/>
      <c r="S370" s="131"/>
      <c r="T370" s="132"/>
      <c r="U370" s="132"/>
      <c r="V370" s="132"/>
      <c r="W370" s="132"/>
      <c r="X370" s="132"/>
      <c r="Y370" s="133" t="s">
        <v>1376</v>
      </c>
      <c r="Z370" s="126" t="s">
        <v>64</v>
      </c>
      <c r="AA370" s="134" t="s">
        <v>154</v>
      </c>
      <c r="AB370" s="134" t="s">
        <v>1516</v>
      </c>
      <c r="AC370" s="134"/>
      <c r="AD370" s="134">
        <v>44554</v>
      </c>
      <c r="AE370" s="134"/>
      <c r="AF370" s="134">
        <f t="shared" ca="1" si="30"/>
        <v>44963</v>
      </c>
      <c r="AG370" s="126">
        <f t="shared" ca="1" si="31"/>
        <v>409</v>
      </c>
      <c r="AH370" s="126" t="str">
        <f t="shared" si="32"/>
        <v/>
      </c>
      <c r="AI370" s="134"/>
      <c r="AJ370" s="143" t="s">
        <v>1545</v>
      </c>
      <c r="AK370" s="129">
        <v>12.135</v>
      </c>
      <c r="AL370" s="129">
        <v>12.145</v>
      </c>
      <c r="AM370" s="129">
        <v>12.169999999999998</v>
      </c>
      <c r="AN370" s="129">
        <v>12.174999999999999</v>
      </c>
      <c r="AO370" s="126" t="str">
        <f t="shared" si="33"/>
        <v/>
      </c>
      <c r="AR370" s="99" t="s">
        <v>136</v>
      </c>
    </row>
    <row r="371" spans="1:44" s="99" customFormat="1" ht="21" customHeight="1" x14ac:dyDescent="0.35">
      <c r="A371" s="99">
        <v>424</v>
      </c>
      <c r="B371" s="126" t="str">
        <f t="shared" si="29"/>
        <v>RM-304L/1D-004X774</v>
      </c>
      <c r="C371" s="126" t="s">
        <v>43</v>
      </c>
      <c r="D371" s="126" t="s">
        <v>43</v>
      </c>
      <c r="E371" s="143" t="s">
        <v>1548</v>
      </c>
      <c r="F371" s="143" t="s">
        <v>1549</v>
      </c>
      <c r="G371" s="126" t="s">
        <v>230</v>
      </c>
      <c r="H371" s="126" t="s">
        <v>139</v>
      </c>
      <c r="I371" s="127">
        <v>3.8</v>
      </c>
      <c r="J371" s="127"/>
      <c r="K371" s="127"/>
      <c r="L371" s="127"/>
      <c r="M371" s="144">
        <v>774</v>
      </c>
      <c r="N371" s="129">
        <v>10.255000000000001</v>
      </c>
      <c r="O371" s="129"/>
      <c r="P371" s="129"/>
      <c r="Q371" s="130"/>
      <c r="R371" s="131"/>
      <c r="S371" s="131"/>
      <c r="T371" s="132"/>
      <c r="U371" s="132"/>
      <c r="V371" s="132"/>
      <c r="W371" s="132"/>
      <c r="X371" s="132"/>
      <c r="Y371" s="133" t="s">
        <v>1366</v>
      </c>
      <c r="Z371" s="126" t="s">
        <v>64</v>
      </c>
      <c r="AA371" s="134" t="s">
        <v>154</v>
      </c>
      <c r="AB371" s="134" t="s">
        <v>1516</v>
      </c>
      <c r="AC371" s="134"/>
      <c r="AD371" s="134">
        <v>44554</v>
      </c>
      <c r="AE371" s="134"/>
      <c r="AF371" s="134">
        <f t="shared" ca="1" si="30"/>
        <v>44963</v>
      </c>
      <c r="AG371" s="126">
        <f t="shared" ca="1" si="31"/>
        <v>409</v>
      </c>
      <c r="AH371" s="126" t="str">
        <f t="shared" si="32"/>
        <v/>
      </c>
      <c r="AI371" s="134"/>
      <c r="AJ371" s="143" t="s">
        <v>1550</v>
      </c>
      <c r="AK371" s="129">
        <v>10.255000000000001</v>
      </c>
      <c r="AL371" s="129">
        <v>10.265000000000001</v>
      </c>
      <c r="AM371" s="129">
        <v>10.29</v>
      </c>
      <c r="AN371" s="129">
        <v>10.295</v>
      </c>
      <c r="AO371" s="126" t="str">
        <f t="shared" si="33"/>
        <v/>
      </c>
      <c r="AR371" s="99" t="s">
        <v>136</v>
      </c>
    </row>
    <row r="372" spans="1:44" s="99" customFormat="1" ht="21" customHeight="1" x14ac:dyDescent="0.35">
      <c r="A372" s="99">
        <v>424</v>
      </c>
      <c r="B372" s="126" t="str">
        <f t="shared" si="29"/>
        <v>WIP-304L/FH-002X773</v>
      </c>
      <c r="C372" s="126" t="s">
        <v>13</v>
      </c>
      <c r="D372" s="126" t="s">
        <v>13</v>
      </c>
      <c r="E372" s="143" t="s">
        <v>1551</v>
      </c>
      <c r="F372" s="143" t="s">
        <v>1552</v>
      </c>
      <c r="G372" s="126" t="s">
        <v>230</v>
      </c>
      <c r="H372" s="126" t="s">
        <v>65</v>
      </c>
      <c r="I372" s="127">
        <v>3.8</v>
      </c>
      <c r="J372" s="127">
        <v>2</v>
      </c>
      <c r="K372" s="127"/>
      <c r="L372" s="127"/>
      <c r="M372" s="144">
        <v>773</v>
      </c>
      <c r="N372" s="129">
        <v>10.255000000000001</v>
      </c>
      <c r="O372" s="129" t="s">
        <v>116</v>
      </c>
      <c r="P372" s="129"/>
      <c r="Q372" s="130" t="s">
        <v>1365</v>
      </c>
      <c r="R372" s="131"/>
      <c r="S372" s="131"/>
      <c r="T372" s="132">
        <v>44619</v>
      </c>
      <c r="U372" s="132">
        <v>44620</v>
      </c>
      <c r="V372" s="132"/>
      <c r="W372" s="132"/>
      <c r="X372" s="132"/>
      <c r="Y372" s="133" t="s">
        <v>1366</v>
      </c>
      <c r="Z372" s="126" t="s">
        <v>64</v>
      </c>
      <c r="AA372" s="134" t="s">
        <v>154</v>
      </c>
      <c r="AB372" s="134" t="s">
        <v>1516</v>
      </c>
      <c r="AC372" s="134"/>
      <c r="AD372" s="134">
        <v>44554</v>
      </c>
      <c r="AE372" s="134"/>
      <c r="AF372" s="134">
        <f t="shared" ca="1" si="30"/>
        <v>44963</v>
      </c>
      <c r="AG372" s="126">
        <f t="shared" ca="1" si="31"/>
        <v>409</v>
      </c>
      <c r="AH372" s="126" t="str">
        <f t="shared" si="32"/>
        <v/>
      </c>
      <c r="AI372" s="134"/>
      <c r="AJ372" s="143" t="s">
        <v>1550</v>
      </c>
      <c r="AK372" s="129">
        <v>10.234999999999999</v>
      </c>
      <c r="AL372" s="129">
        <v>10.244999999999999</v>
      </c>
      <c r="AM372" s="129">
        <v>10.269999999999998</v>
      </c>
      <c r="AN372" s="129">
        <v>10.274999999999999</v>
      </c>
      <c r="AO372" s="126">
        <f t="shared" ca="1" si="33"/>
        <v>343</v>
      </c>
      <c r="AR372" s="99" t="s">
        <v>136</v>
      </c>
    </row>
    <row r="373" spans="1:44" s="99" customFormat="1" ht="21" customHeight="1" x14ac:dyDescent="0.35">
      <c r="A373" s="99">
        <v>424</v>
      </c>
      <c r="B373" s="126" t="str">
        <f t="shared" si="29"/>
        <v>RM-304L/1D-004X774</v>
      </c>
      <c r="C373" s="126" t="s">
        <v>11</v>
      </c>
      <c r="D373" s="126" t="s">
        <v>11</v>
      </c>
      <c r="E373" s="143" t="s">
        <v>1553</v>
      </c>
      <c r="F373" s="143" t="s">
        <v>1554</v>
      </c>
      <c r="G373" s="126" t="s">
        <v>230</v>
      </c>
      <c r="H373" s="126" t="s">
        <v>139</v>
      </c>
      <c r="I373" s="127">
        <v>3.8</v>
      </c>
      <c r="J373" s="127"/>
      <c r="K373" s="127"/>
      <c r="L373" s="127"/>
      <c r="M373" s="144">
        <v>774</v>
      </c>
      <c r="N373" s="129">
        <v>10.35</v>
      </c>
      <c r="O373" s="129"/>
      <c r="P373" s="129"/>
      <c r="Q373" s="130"/>
      <c r="R373" s="131"/>
      <c r="S373" s="131"/>
      <c r="T373" s="132">
        <v>44620</v>
      </c>
      <c r="U373" s="132"/>
      <c r="V373" s="132"/>
      <c r="W373" s="132"/>
      <c r="X373" s="132"/>
      <c r="Y373" s="133" t="s">
        <v>1366</v>
      </c>
      <c r="Z373" s="126" t="s">
        <v>64</v>
      </c>
      <c r="AA373" s="134" t="s">
        <v>154</v>
      </c>
      <c r="AB373" s="134" t="s">
        <v>1516</v>
      </c>
      <c r="AC373" s="134"/>
      <c r="AD373" s="134">
        <v>44554</v>
      </c>
      <c r="AE373" s="134"/>
      <c r="AF373" s="134">
        <f t="shared" ca="1" si="30"/>
        <v>44963</v>
      </c>
      <c r="AG373" s="126">
        <f t="shared" ca="1" si="31"/>
        <v>409</v>
      </c>
      <c r="AH373" s="126" t="str">
        <f t="shared" si="32"/>
        <v/>
      </c>
      <c r="AI373" s="134"/>
      <c r="AJ373" s="143" t="s">
        <v>1555</v>
      </c>
      <c r="AK373" s="129">
        <v>10.35</v>
      </c>
      <c r="AL373" s="129">
        <v>10.36</v>
      </c>
      <c r="AM373" s="129">
        <v>10.384999999999998</v>
      </c>
      <c r="AN373" s="129">
        <v>10.389999999999999</v>
      </c>
      <c r="AO373" s="126" t="str">
        <f t="shared" si="33"/>
        <v/>
      </c>
      <c r="AR373" s="99" t="s">
        <v>136</v>
      </c>
    </row>
    <row r="374" spans="1:44" s="99" customFormat="1" ht="21" customHeight="1" x14ac:dyDescent="0.35">
      <c r="A374" s="99">
        <v>424</v>
      </c>
      <c r="B374" s="126" t="str">
        <f t="shared" si="29"/>
        <v>RM-304L/1D-004X774</v>
      </c>
      <c r="C374" s="126" t="s">
        <v>43</v>
      </c>
      <c r="D374" s="126" t="s">
        <v>43</v>
      </c>
      <c r="E374" s="143" t="s">
        <v>1556</v>
      </c>
      <c r="F374" s="143" t="s">
        <v>1557</v>
      </c>
      <c r="G374" s="126" t="s">
        <v>230</v>
      </c>
      <c r="H374" s="126" t="s">
        <v>139</v>
      </c>
      <c r="I374" s="127">
        <v>3.8</v>
      </c>
      <c r="J374" s="127"/>
      <c r="K374" s="127"/>
      <c r="L374" s="127"/>
      <c r="M374" s="144">
        <v>774</v>
      </c>
      <c r="N374" s="129">
        <v>10.345000000000001</v>
      </c>
      <c r="O374" s="129"/>
      <c r="P374" s="129"/>
      <c r="Q374" s="130"/>
      <c r="R374" s="131"/>
      <c r="S374" s="131"/>
      <c r="T374" s="132"/>
      <c r="U374" s="132"/>
      <c r="V374" s="132"/>
      <c r="W374" s="132"/>
      <c r="X374" s="132"/>
      <c r="Y374" s="133" t="s">
        <v>1366</v>
      </c>
      <c r="Z374" s="126" t="s">
        <v>64</v>
      </c>
      <c r="AA374" s="134" t="s">
        <v>154</v>
      </c>
      <c r="AB374" s="134" t="s">
        <v>1516</v>
      </c>
      <c r="AC374" s="134"/>
      <c r="AD374" s="134">
        <v>44554</v>
      </c>
      <c r="AE374" s="134"/>
      <c r="AF374" s="134">
        <f t="shared" ca="1" si="30"/>
        <v>44963</v>
      </c>
      <c r="AG374" s="126">
        <f t="shared" ca="1" si="31"/>
        <v>409</v>
      </c>
      <c r="AH374" s="126" t="str">
        <f t="shared" si="32"/>
        <v/>
      </c>
      <c r="AI374" s="134"/>
      <c r="AJ374" s="143" t="s">
        <v>1555</v>
      </c>
      <c r="AK374" s="129">
        <v>10.345000000000001</v>
      </c>
      <c r="AL374" s="129">
        <v>10.355</v>
      </c>
      <c r="AM374" s="129">
        <v>10.379999999999999</v>
      </c>
      <c r="AN374" s="129">
        <v>10.385</v>
      </c>
      <c r="AO374" s="126" t="str">
        <f t="shared" si="33"/>
        <v/>
      </c>
      <c r="AR374" s="99" t="s">
        <v>136</v>
      </c>
    </row>
    <row r="375" spans="1:44" s="99" customFormat="1" ht="21" customHeight="1" x14ac:dyDescent="0.35">
      <c r="A375" s="99">
        <v>424</v>
      </c>
      <c r="B375" s="126" t="str">
        <f t="shared" si="29"/>
        <v>RM-304L/1D-003X777</v>
      </c>
      <c r="C375" s="126" t="s">
        <v>43</v>
      </c>
      <c r="D375" s="126" t="s">
        <v>43</v>
      </c>
      <c r="E375" s="143" t="s">
        <v>1558</v>
      </c>
      <c r="F375" s="143" t="s">
        <v>1559</v>
      </c>
      <c r="G375" s="126" t="s">
        <v>230</v>
      </c>
      <c r="H375" s="126" t="s">
        <v>139</v>
      </c>
      <c r="I375" s="127">
        <v>3.49</v>
      </c>
      <c r="J375" s="127"/>
      <c r="K375" s="127"/>
      <c r="L375" s="127"/>
      <c r="M375" s="144">
        <v>777</v>
      </c>
      <c r="N375" s="129">
        <v>10.44</v>
      </c>
      <c r="O375" s="129"/>
      <c r="P375" s="129"/>
      <c r="Q375" s="130"/>
      <c r="R375" s="131"/>
      <c r="S375" s="131"/>
      <c r="T375" s="132"/>
      <c r="U375" s="132"/>
      <c r="V375" s="132"/>
      <c r="W375" s="132"/>
      <c r="X375" s="132"/>
      <c r="Y375" s="133" t="s">
        <v>1376</v>
      </c>
      <c r="Z375" s="126" t="s">
        <v>64</v>
      </c>
      <c r="AA375" s="134" t="s">
        <v>154</v>
      </c>
      <c r="AB375" s="134" t="s">
        <v>1516</v>
      </c>
      <c r="AC375" s="134"/>
      <c r="AD375" s="134">
        <v>44554</v>
      </c>
      <c r="AE375" s="134"/>
      <c r="AF375" s="134">
        <f t="shared" ca="1" si="30"/>
        <v>44963</v>
      </c>
      <c r="AG375" s="126">
        <f t="shared" ca="1" si="31"/>
        <v>409</v>
      </c>
      <c r="AH375" s="126" t="str">
        <f t="shared" si="32"/>
        <v/>
      </c>
      <c r="AI375" s="134"/>
      <c r="AJ375" s="143" t="s">
        <v>1560</v>
      </c>
      <c r="AK375" s="129">
        <v>10.44</v>
      </c>
      <c r="AL375" s="129">
        <v>10.45</v>
      </c>
      <c r="AM375" s="129">
        <v>10.474999999999998</v>
      </c>
      <c r="AN375" s="129">
        <v>10.479999999999999</v>
      </c>
      <c r="AO375" s="126" t="str">
        <f t="shared" si="33"/>
        <v/>
      </c>
      <c r="AR375" s="99" t="s">
        <v>136</v>
      </c>
    </row>
    <row r="376" spans="1:44" s="99" customFormat="1" ht="21" customHeight="1" x14ac:dyDescent="0.35">
      <c r="A376" s="99">
        <v>424</v>
      </c>
      <c r="B376" s="126" t="str">
        <f t="shared" si="29"/>
        <v>RM-304L/1D-003X777</v>
      </c>
      <c r="C376" s="126" t="s">
        <v>43</v>
      </c>
      <c r="D376" s="126" t="s">
        <v>43</v>
      </c>
      <c r="E376" s="143" t="s">
        <v>1561</v>
      </c>
      <c r="F376" s="143" t="s">
        <v>1562</v>
      </c>
      <c r="G376" s="126" t="s">
        <v>230</v>
      </c>
      <c r="H376" s="126" t="s">
        <v>139</v>
      </c>
      <c r="I376" s="127">
        <v>3.49</v>
      </c>
      <c r="J376" s="127"/>
      <c r="K376" s="127"/>
      <c r="L376" s="127"/>
      <c r="M376" s="144">
        <v>777</v>
      </c>
      <c r="N376" s="129">
        <v>10.414999999999999</v>
      </c>
      <c r="O376" s="129"/>
      <c r="P376" s="129"/>
      <c r="Q376" s="130"/>
      <c r="R376" s="131"/>
      <c r="S376" s="131"/>
      <c r="T376" s="132"/>
      <c r="U376" s="132"/>
      <c r="V376" s="132"/>
      <c r="W376" s="132"/>
      <c r="X376" s="132"/>
      <c r="Y376" s="133" t="s">
        <v>1376</v>
      </c>
      <c r="Z376" s="126" t="s">
        <v>64</v>
      </c>
      <c r="AA376" s="134" t="s">
        <v>154</v>
      </c>
      <c r="AB376" s="134" t="s">
        <v>1516</v>
      </c>
      <c r="AC376" s="134"/>
      <c r="AD376" s="134">
        <v>44554</v>
      </c>
      <c r="AE376" s="134"/>
      <c r="AF376" s="134">
        <f t="shared" ca="1" si="30"/>
        <v>44963</v>
      </c>
      <c r="AG376" s="126">
        <f t="shared" ca="1" si="31"/>
        <v>409</v>
      </c>
      <c r="AH376" s="126" t="str">
        <f t="shared" si="32"/>
        <v/>
      </c>
      <c r="AI376" s="134"/>
      <c r="AJ376" s="143" t="s">
        <v>1560</v>
      </c>
      <c r="AK376" s="129">
        <v>10.414999999999999</v>
      </c>
      <c r="AL376" s="129">
        <v>10.425000000000001</v>
      </c>
      <c r="AM376" s="129">
        <v>10.45</v>
      </c>
      <c r="AN376" s="129">
        <v>10.455</v>
      </c>
      <c r="AO376" s="126" t="str">
        <f t="shared" si="33"/>
        <v/>
      </c>
      <c r="AR376" s="99" t="s">
        <v>136</v>
      </c>
    </row>
    <row r="377" spans="1:44" s="99" customFormat="1" ht="21" customHeight="1" x14ac:dyDescent="0.35">
      <c r="A377" s="99">
        <v>424</v>
      </c>
      <c r="B377" s="126" t="str">
        <f t="shared" si="29"/>
        <v>RM-304L/1D-004X777</v>
      </c>
      <c r="C377" s="126" t="s">
        <v>43</v>
      </c>
      <c r="D377" s="126" t="s">
        <v>43</v>
      </c>
      <c r="E377" s="143" t="s">
        <v>1563</v>
      </c>
      <c r="F377" s="143" t="s">
        <v>1564</v>
      </c>
      <c r="G377" s="126" t="s">
        <v>230</v>
      </c>
      <c r="H377" s="126" t="s">
        <v>139</v>
      </c>
      <c r="I377" s="127">
        <v>3.79</v>
      </c>
      <c r="J377" s="127"/>
      <c r="K377" s="127"/>
      <c r="L377" s="127"/>
      <c r="M377" s="144">
        <v>777</v>
      </c>
      <c r="N377" s="129">
        <v>10.42</v>
      </c>
      <c r="O377" s="129"/>
      <c r="P377" s="129"/>
      <c r="Q377" s="130"/>
      <c r="R377" s="131"/>
      <c r="S377" s="131"/>
      <c r="T377" s="132"/>
      <c r="U377" s="132"/>
      <c r="V377" s="132"/>
      <c r="W377" s="132"/>
      <c r="X377" s="132"/>
      <c r="Y377" s="133" t="s">
        <v>1376</v>
      </c>
      <c r="Z377" s="126" t="s">
        <v>64</v>
      </c>
      <c r="AA377" s="134" t="s">
        <v>154</v>
      </c>
      <c r="AB377" s="134" t="s">
        <v>1516</v>
      </c>
      <c r="AC377" s="134"/>
      <c r="AD377" s="134">
        <v>44554</v>
      </c>
      <c r="AE377" s="134"/>
      <c r="AF377" s="134">
        <f t="shared" ca="1" si="30"/>
        <v>44963</v>
      </c>
      <c r="AG377" s="126">
        <f t="shared" ca="1" si="31"/>
        <v>409</v>
      </c>
      <c r="AH377" s="126" t="str">
        <f t="shared" si="32"/>
        <v/>
      </c>
      <c r="AI377" s="134"/>
      <c r="AJ377" s="143" t="s">
        <v>1565</v>
      </c>
      <c r="AK377" s="129">
        <v>10.42</v>
      </c>
      <c r="AL377" s="129">
        <v>10.43</v>
      </c>
      <c r="AM377" s="129">
        <v>10.454999999999998</v>
      </c>
      <c r="AN377" s="129">
        <v>10.459999999999999</v>
      </c>
      <c r="AO377" s="126" t="str">
        <f t="shared" si="33"/>
        <v/>
      </c>
      <c r="AR377" s="99" t="s">
        <v>136</v>
      </c>
    </row>
    <row r="378" spans="1:44" s="99" customFormat="1" ht="21" customHeight="1" x14ac:dyDescent="0.35">
      <c r="A378" s="99">
        <v>424</v>
      </c>
      <c r="B378" s="126" t="str">
        <f t="shared" ref="B378:B441" si="34">IF(C378="HOLD RM","HOLD RM",IF(C378="BAL","WIP",IF(C378="HOLD SLT","HOLD SLT",IF(C378="MILL","RM",IF(C378="RE SLT","WIP",IF(C378="RM","RM",IF(C378="RM BAL","RM",IF(C378="RM SLT","RM",IF(C378="RR","WIP",IF(C378="SKP","WIP",IF(C378="SLT","WIP",IF(C378="CTL","WIP",IF(C378="RM SLT RUST","RM SLT RUST",0)))))))))))))&amp;"-"&amp;G378&amp;"/"&amp;IF(H378="2B","2B",IF(H378="NO.1","1D",IF(H378="FH","FH",0)))&amp;"-"&amp;IF(J378="",(TEXT(I378,"0.00")),TEXT(J378,"0.00"))&amp;"X"&amp;M378</f>
        <v>RM-304L/1D-004X776</v>
      </c>
      <c r="C378" s="126" t="s">
        <v>43</v>
      </c>
      <c r="D378" s="126" t="s">
        <v>43</v>
      </c>
      <c r="E378" s="143" t="s">
        <v>1566</v>
      </c>
      <c r="F378" s="143" t="s">
        <v>1567</v>
      </c>
      <c r="G378" s="126" t="s">
        <v>230</v>
      </c>
      <c r="H378" s="126" t="s">
        <v>139</v>
      </c>
      <c r="I378" s="127">
        <v>3.79</v>
      </c>
      <c r="J378" s="127"/>
      <c r="K378" s="127"/>
      <c r="L378" s="127"/>
      <c r="M378" s="144">
        <v>776</v>
      </c>
      <c r="N378" s="129">
        <v>10.425000000000001</v>
      </c>
      <c r="O378" s="129"/>
      <c r="P378" s="129"/>
      <c r="Q378" s="130"/>
      <c r="R378" s="131"/>
      <c r="S378" s="131"/>
      <c r="T378" s="132"/>
      <c r="U378" s="132"/>
      <c r="V378" s="132"/>
      <c r="W378" s="132"/>
      <c r="X378" s="132"/>
      <c r="Y378" s="133" t="s">
        <v>1366</v>
      </c>
      <c r="Z378" s="126" t="s">
        <v>64</v>
      </c>
      <c r="AA378" s="134" t="s">
        <v>154</v>
      </c>
      <c r="AB378" s="134" t="s">
        <v>1516</v>
      </c>
      <c r="AC378" s="134"/>
      <c r="AD378" s="134">
        <v>44554</v>
      </c>
      <c r="AE378" s="134"/>
      <c r="AF378" s="134">
        <f t="shared" ca="1" si="30"/>
        <v>44963</v>
      </c>
      <c r="AG378" s="126">
        <f t="shared" ca="1" si="31"/>
        <v>409</v>
      </c>
      <c r="AH378" s="126" t="str">
        <f t="shared" si="32"/>
        <v/>
      </c>
      <c r="AI378" s="134"/>
      <c r="AJ378" s="143" t="s">
        <v>1565</v>
      </c>
      <c r="AK378" s="129">
        <v>10.425000000000001</v>
      </c>
      <c r="AL378" s="129">
        <v>10.435</v>
      </c>
      <c r="AM378" s="129">
        <v>10.459999999999999</v>
      </c>
      <c r="AN378" s="129">
        <v>10.465</v>
      </c>
      <c r="AO378" s="126" t="str">
        <f t="shared" si="33"/>
        <v/>
      </c>
      <c r="AR378" s="99" t="s">
        <v>136</v>
      </c>
    </row>
    <row r="379" spans="1:44" s="99" customFormat="1" ht="21" customHeight="1" x14ac:dyDescent="0.35">
      <c r="A379" s="99">
        <v>424</v>
      </c>
      <c r="B379" s="126" t="str">
        <f t="shared" si="34"/>
        <v>RM-304L/1D-004X774</v>
      </c>
      <c r="C379" s="126" t="s">
        <v>43</v>
      </c>
      <c r="D379" s="126" t="s">
        <v>43</v>
      </c>
      <c r="E379" s="143" t="s">
        <v>1568</v>
      </c>
      <c r="F379" s="143" t="s">
        <v>1569</v>
      </c>
      <c r="G379" s="126" t="s">
        <v>230</v>
      </c>
      <c r="H379" s="126" t="s">
        <v>139</v>
      </c>
      <c r="I379" s="127">
        <v>3.79</v>
      </c>
      <c r="J379" s="127"/>
      <c r="K379" s="127"/>
      <c r="L379" s="127"/>
      <c r="M379" s="144">
        <v>774</v>
      </c>
      <c r="N379" s="129">
        <v>10.385</v>
      </c>
      <c r="O379" s="129"/>
      <c r="P379" s="129"/>
      <c r="Q379" s="130"/>
      <c r="R379" s="131"/>
      <c r="S379" s="131"/>
      <c r="T379" s="132"/>
      <c r="U379" s="132"/>
      <c r="V379" s="132"/>
      <c r="W379" s="132"/>
      <c r="X379" s="132"/>
      <c r="Y379" s="133" t="s">
        <v>1376</v>
      </c>
      <c r="Z379" s="126" t="s">
        <v>64</v>
      </c>
      <c r="AA379" s="134" t="s">
        <v>154</v>
      </c>
      <c r="AB379" s="134" t="s">
        <v>1516</v>
      </c>
      <c r="AC379" s="134"/>
      <c r="AD379" s="134">
        <v>44554</v>
      </c>
      <c r="AE379" s="134"/>
      <c r="AF379" s="134">
        <f t="shared" ca="1" si="30"/>
        <v>44963</v>
      </c>
      <c r="AG379" s="126">
        <f t="shared" ca="1" si="31"/>
        <v>409</v>
      </c>
      <c r="AH379" s="126" t="str">
        <f t="shared" si="32"/>
        <v/>
      </c>
      <c r="AI379" s="134"/>
      <c r="AJ379" s="143" t="s">
        <v>1570</v>
      </c>
      <c r="AK379" s="129">
        <v>10.385</v>
      </c>
      <c r="AL379" s="129">
        <v>10.395</v>
      </c>
      <c r="AM379" s="129">
        <v>10.419999999999998</v>
      </c>
      <c r="AN379" s="129">
        <v>10.424999999999999</v>
      </c>
      <c r="AO379" s="126" t="str">
        <f t="shared" si="33"/>
        <v/>
      </c>
      <c r="AR379" s="99" t="s">
        <v>136</v>
      </c>
    </row>
    <row r="380" spans="1:44" s="99" customFormat="1" ht="21" customHeight="1" x14ac:dyDescent="0.35">
      <c r="A380" s="99">
        <v>424</v>
      </c>
      <c r="B380" s="126" t="str">
        <f t="shared" si="34"/>
        <v>RM-304L/1D-004X774</v>
      </c>
      <c r="C380" s="126" t="s">
        <v>43</v>
      </c>
      <c r="D380" s="126" t="s">
        <v>43</v>
      </c>
      <c r="E380" s="143" t="s">
        <v>1571</v>
      </c>
      <c r="F380" s="143" t="s">
        <v>1572</v>
      </c>
      <c r="G380" s="126" t="s">
        <v>230</v>
      </c>
      <c r="H380" s="126" t="s">
        <v>139</v>
      </c>
      <c r="I380" s="127">
        <v>3.79</v>
      </c>
      <c r="J380" s="127"/>
      <c r="K380" s="127"/>
      <c r="L380" s="127"/>
      <c r="M380" s="144">
        <v>774</v>
      </c>
      <c r="N380" s="129">
        <v>10.425000000000001</v>
      </c>
      <c r="O380" s="129"/>
      <c r="P380" s="129"/>
      <c r="Q380" s="130"/>
      <c r="R380" s="131"/>
      <c r="S380" s="131"/>
      <c r="T380" s="132"/>
      <c r="U380" s="132"/>
      <c r="V380" s="132"/>
      <c r="W380" s="132"/>
      <c r="X380" s="132"/>
      <c r="Y380" s="133" t="s">
        <v>1376</v>
      </c>
      <c r="Z380" s="126" t="s">
        <v>64</v>
      </c>
      <c r="AA380" s="134" t="s">
        <v>154</v>
      </c>
      <c r="AB380" s="134" t="s">
        <v>1516</v>
      </c>
      <c r="AC380" s="134"/>
      <c r="AD380" s="134">
        <v>44554</v>
      </c>
      <c r="AE380" s="134"/>
      <c r="AF380" s="134">
        <f t="shared" ca="1" si="30"/>
        <v>44963</v>
      </c>
      <c r="AG380" s="126">
        <f t="shared" ca="1" si="31"/>
        <v>409</v>
      </c>
      <c r="AH380" s="126" t="str">
        <f t="shared" si="32"/>
        <v/>
      </c>
      <c r="AI380" s="134"/>
      <c r="AJ380" s="143" t="s">
        <v>1570</v>
      </c>
      <c r="AK380" s="129">
        <v>10.425000000000001</v>
      </c>
      <c r="AL380" s="129">
        <v>10.435</v>
      </c>
      <c r="AM380" s="129">
        <v>10.459999999999999</v>
      </c>
      <c r="AN380" s="129">
        <v>10.465</v>
      </c>
      <c r="AO380" s="126" t="str">
        <f t="shared" si="33"/>
        <v/>
      </c>
      <c r="AR380" s="99" t="s">
        <v>136</v>
      </c>
    </row>
    <row r="381" spans="1:44" s="99" customFormat="1" ht="21" customHeight="1" x14ac:dyDescent="0.35">
      <c r="A381" s="99">
        <v>424</v>
      </c>
      <c r="B381" s="126" t="str">
        <f t="shared" si="34"/>
        <v>RM-304L/1D-004X768</v>
      </c>
      <c r="C381" s="126" t="s">
        <v>43</v>
      </c>
      <c r="D381" s="126" t="s">
        <v>43</v>
      </c>
      <c r="E381" s="143" t="s">
        <v>1573</v>
      </c>
      <c r="F381" s="143" t="s">
        <v>1574</v>
      </c>
      <c r="G381" s="126" t="s">
        <v>230</v>
      </c>
      <c r="H381" s="126" t="s">
        <v>139</v>
      </c>
      <c r="I381" s="127">
        <v>3.79</v>
      </c>
      <c r="J381" s="127"/>
      <c r="K381" s="127"/>
      <c r="L381" s="127"/>
      <c r="M381" s="144">
        <v>768</v>
      </c>
      <c r="N381" s="129">
        <v>12.045</v>
      </c>
      <c r="O381" s="129"/>
      <c r="P381" s="129"/>
      <c r="Q381" s="130"/>
      <c r="R381" s="131"/>
      <c r="S381" s="131"/>
      <c r="T381" s="132"/>
      <c r="U381" s="132"/>
      <c r="V381" s="132"/>
      <c r="W381" s="132"/>
      <c r="X381" s="132"/>
      <c r="Y381" s="133" t="s">
        <v>1376</v>
      </c>
      <c r="Z381" s="126" t="s">
        <v>64</v>
      </c>
      <c r="AA381" s="134" t="s">
        <v>154</v>
      </c>
      <c r="AB381" s="134" t="s">
        <v>1516</v>
      </c>
      <c r="AC381" s="134"/>
      <c r="AD381" s="134">
        <v>44554</v>
      </c>
      <c r="AE381" s="134"/>
      <c r="AF381" s="134">
        <f t="shared" ca="1" si="30"/>
        <v>44963</v>
      </c>
      <c r="AG381" s="126">
        <f t="shared" ca="1" si="31"/>
        <v>409</v>
      </c>
      <c r="AH381" s="126" t="str">
        <f t="shared" si="32"/>
        <v/>
      </c>
      <c r="AI381" s="134"/>
      <c r="AJ381" s="143" t="s">
        <v>1575</v>
      </c>
      <c r="AK381" s="129">
        <v>12.045</v>
      </c>
      <c r="AL381" s="129">
        <v>12.055</v>
      </c>
      <c r="AM381" s="129">
        <v>12.079999999999998</v>
      </c>
      <c r="AN381" s="129">
        <v>12.084999999999999</v>
      </c>
      <c r="AO381" s="126" t="str">
        <f t="shared" si="33"/>
        <v/>
      </c>
      <c r="AR381" s="99" t="s">
        <v>136</v>
      </c>
    </row>
    <row r="382" spans="1:44" s="99" customFormat="1" ht="21" customHeight="1" x14ac:dyDescent="0.35">
      <c r="A382" s="99">
        <v>424</v>
      </c>
      <c r="B382" s="126" t="str">
        <f t="shared" si="34"/>
        <v>RM-304L/1D-003X769</v>
      </c>
      <c r="C382" s="126" t="s">
        <v>43</v>
      </c>
      <c r="D382" s="126" t="s">
        <v>43</v>
      </c>
      <c r="E382" s="143" t="s">
        <v>1576</v>
      </c>
      <c r="F382" s="143" t="s">
        <v>1577</v>
      </c>
      <c r="G382" s="126" t="s">
        <v>230</v>
      </c>
      <c r="H382" s="126" t="s">
        <v>139</v>
      </c>
      <c r="I382" s="127">
        <v>3.48</v>
      </c>
      <c r="J382" s="127"/>
      <c r="K382" s="127"/>
      <c r="L382" s="127"/>
      <c r="M382" s="144">
        <v>769</v>
      </c>
      <c r="N382" s="129">
        <v>11.97</v>
      </c>
      <c r="O382" s="129"/>
      <c r="P382" s="129"/>
      <c r="Q382" s="130"/>
      <c r="R382" s="131"/>
      <c r="S382" s="131"/>
      <c r="T382" s="132"/>
      <c r="U382" s="132"/>
      <c r="V382" s="132"/>
      <c r="W382" s="132"/>
      <c r="X382" s="132"/>
      <c r="Y382" s="133" t="s">
        <v>1376</v>
      </c>
      <c r="Z382" s="126" t="s">
        <v>64</v>
      </c>
      <c r="AA382" s="134" t="s">
        <v>154</v>
      </c>
      <c r="AB382" s="134" t="s">
        <v>1516</v>
      </c>
      <c r="AC382" s="134"/>
      <c r="AD382" s="134">
        <v>44554</v>
      </c>
      <c r="AE382" s="134"/>
      <c r="AF382" s="134">
        <f t="shared" ca="1" si="30"/>
        <v>44963</v>
      </c>
      <c r="AG382" s="126">
        <f t="shared" ca="1" si="31"/>
        <v>409</v>
      </c>
      <c r="AH382" s="126" t="str">
        <f t="shared" si="32"/>
        <v/>
      </c>
      <c r="AI382" s="134"/>
      <c r="AJ382" s="143" t="s">
        <v>1578</v>
      </c>
      <c r="AK382" s="129">
        <v>11.97</v>
      </c>
      <c r="AL382" s="129">
        <v>11.98</v>
      </c>
      <c r="AM382" s="129">
        <v>12.004999999999999</v>
      </c>
      <c r="AN382" s="129">
        <v>12.01</v>
      </c>
      <c r="AO382" s="126" t="str">
        <f t="shared" si="33"/>
        <v/>
      </c>
      <c r="AR382" s="99" t="s">
        <v>136</v>
      </c>
    </row>
    <row r="383" spans="1:44" s="99" customFormat="1" ht="21" customHeight="1" x14ac:dyDescent="0.35">
      <c r="A383" s="99">
        <v>424</v>
      </c>
      <c r="B383" s="126" t="str">
        <f t="shared" si="34"/>
        <v>RM-304L/1D-003X768</v>
      </c>
      <c r="C383" s="126" t="s">
        <v>43</v>
      </c>
      <c r="D383" s="126" t="s">
        <v>43</v>
      </c>
      <c r="E383" s="143" t="s">
        <v>1579</v>
      </c>
      <c r="F383" s="143" t="s">
        <v>1580</v>
      </c>
      <c r="G383" s="126" t="s">
        <v>230</v>
      </c>
      <c r="H383" s="126" t="s">
        <v>139</v>
      </c>
      <c r="I383" s="127">
        <v>3.47</v>
      </c>
      <c r="J383" s="127"/>
      <c r="K383" s="127"/>
      <c r="L383" s="127"/>
      <c r="M383" s="144">
        <v>768</v>
      </c>
      <c r="N383" s="129">
        <v>11.95</v>
      </c>
      <c r="O383" s="129"/>
      <c r="P383" s="129"/>
      <c r="Q383" s="130"/>
      <c r="R383" s="131"/>
      <c r="S383" s="131"/>
      <c r="T383" s="132"/>
      <c r="U383" s="132"/>
      <c r="V383" s="132"/>
      <c r="W383" s="132"/>
      <c r="X383" s="132"/>
      <c r="Y383" s="133" t="s">
        <v>1376</v>
      </c>
      <c r="Z383" s="126" t="s">
        <v>64</v>
      </c>
      <c r="AA383" s="134" t="s">
        <v>154</v>
      </c>
      <c r="AB383" s="134" t="s">
        <v>1516</v>
      </c>
      <c r="AC383" s="134"/>
      <c r="AD383" s="134">
        <v>44554</v>
      </c>
      <c r="AE383" s="134"/>
      <c r="AF383" s="134">
        <f t="shared" ca="1" si="30"/>
        <v>44963</v>
      </c>
      <c r="AG383" s="126">
        <f t="shared" ca="1" si="31"/>
        <v>409</v>
      </c>
      <c r="AH383" s="126" t="str">
        <f t="shared" si="32"/>
        <v/>
      </c>
      <c r="AI383" s="134"/>
      <c r="AJ383" s="143" t="s">
        <v>1578</v>
      </c>
      <c r="AK383" s="129">
        <v>11.95</v>
      </c>
      <c r="AL383" s="129">
        <v>11.96</v>
      </c>
      <c r="AM383" s="129">
        <v>11.984999999999999</v>
      </c>
      <c r="AN383" s="129">
        <v>11.99</v>
      </c>
      <c r="AO383" s="126" t="str">
        <f t="shared" si="33"/>
        <v/>
      </c>
      <c r="AR383" s="99" t="s">
        <v>136</v>
      </c>
    </row>
    <row r="384" spans="1:44" s="99" customFormat="1" ht="21" customHeight="1" x14ac:dyDescent="0.35">
      <c r="A384" s="99">
        <v>424</v>
      </c>
      <c r="B384" s="126" t="str">
        <f t="shared" si="34"/>
        <v>RM-304L/1D-004X766</v>
      </c>
      <c r="C384" s="126" t="s">
        <v>43</v>
      </c>
      <c r="D384" s="126" t="s">
        <v>43</v>
      </c>
      <c r="E384" s="143" t="s">
        <v>1581</v>
      </c>
      <c r="F384" s="143" t="s">
        <v>1582</v>
      </c>
      <c r="G384" s="126" t="s">
        <v>230</v>
      </c>
      <c r="H384" s="126" t="s">
        <v>139</v>
      </c>
      <c r="I384" s="127">
        <v>3.79</v>
      </c>
      <c r="J384" s="127"/>
      <c r="K384" s="127"/>
      <c r="L384" s="127"/>
      <c r="M384" s="144">
        <v>766</v>
      </c>
      <c r="N384" s="129">
        <v>9.6950000000000003</v>
      </c>
      <c r="O384" s="129"/>
      <c r="P384" s="129"/>
      <c r="Q384" s="130"/>
      <c r="R384" s="131"/>
      <c r="S384" s="131"/>
      <c r="T384" s="132"/>
      <c r="U384" s="132"/>
      <c r="V384" s="132"/>
      <c r="W384" s="132"/>
      <c r="X384" s="132"/>
      <c r="Y384" s="133" t="s">
        <v>1376</v>
      </c>
      <c r="Z384" s="126" t="s">
        <v>64</v>
      </c>
      <c r="AA384" s="134" t="s">
        <v>154</v>
      </c>
      <c r="AB384" s="134" t="s">
        <v>1516</v>
      </c>
      <c r="AC384" s="134"/>
      <c r="AD384" s="134">
        <v>44554</v>
      </c>
      <c r="AE384" s="134"/>
      <c r="AF384" s="134">
        <f t="shared" ca="1" si="30"/>
        <v>44963</v>
      </c>
      <c r="AG384" s="126">
        <f t="shared" ca="1" si="31"/>
        <v>409</v>
      </c>
      <c r="AH384" s="126" t="str">
        <f t="shared" si="32"/>
        <v/>
      </c>
      <c r="AI384" s="134"/>
      <c r="AJ384" s="143" t="s">
        <v>1583</v>
      </c>
      <c r="AK384" s="129">
        <v>9.6950000000000003</v>
      </c>
      <c r="AL384" s="129">
        <v>9.7050000000000001</v>
      </c>
      <c r="AM384" s="129">
        <v>9.7299999999999986</v>
      </c>
      <c r="AN384" s="129">
        <v>9.7349999999999994</v>
      </c>
      <c r="AO384" s="126" t="str">
        <f t="shared" si="33"/>
        <v/>
      </c>
      <c r="AR384" s="99" t="s">
        <v>136</v>
      </c>
    </row>
    <row r="385" spans="1:44" s="99" customFormat="1" ht="21" customHeight="1" x14ac:dyDescent="0.35">
      <c r="A385" s="99">
        <v>424</v>
      </c>
      <c r="B385" s="126" t="str">
        <f t="shared" si="34"/>
        <v>RM-304L/1D-004X766</v>
      </c>
      <c r="C385" s="126" t="s">
        <v>43</v>
      </c>
      <c r="D385" s="126" t="s">
        <v>43</v>
      </c>
      <c r="E385" s="143" t="s">
        <v>1584</v>
      </c>
      <c r="F385" s="143" t="s">
        <v>1585</v>
      </c>
      <c r="G385" s="126" t="s">
        <v>230</v>
      </c>
      <c r="H385" s="126" t="s">
        <v>139</v>
      </c>
      <c r="I385" s="127">
        <v>3.79</v>
      </c>
      <c r="J385" s="127"/>
      <c r="K385" s="127"/>
      <c r="L385" s="127"/>
      <c r="M385" s="144">
        <v>766</v>
      </c>
      <c r="N385" s="129">
        <v>9.69</v>
      </c>
      <c r="O385" s="129"/>
      <c r="P385" s="129"/>
      <c r="Q385" s="130"/>
      <c r="R385" s="131"/>
      <c r="S385" s="131"/>
      <c r="T385" s="132"/>
      <c r="U385" s="132"/>
      <c r="V385" s="132"/>
      <c r="W385" s="132"/>
      <c r="X385" s="132"/>
      <c r="Y385" s="133" t="s">
        <v>1376</v>
      </c>
      <c r="Z385" s="126" t="s">
        <v>64</v>
      </c>
      <c r="AA385" s="134" t="s">
        <v>154</v>
      </c>
      <c r="AB385" s="134" t="s">
        <v>1516</v>
      </c>
      <c r="AC385" s="134"/>
      <c r="AD385" s="134">
        <v>44554</v>
      </c>
      <c r="AE385" s="134"/>
      <c r="AF385" s="134">
        <f t="shared" ca="1" si="30"/>
        <v>44963</v>
      </c>
      <c r="AG385" s="126">
        <f t="shared" ca="1" si="31"/>
        <v>409</v>
      </c>
      <c r="AH385" s="126" t="str">
        <f t="shared" si="32"/>
        <v/>
      </c>
      <c r="AI385" s="134"/>
      <c r="AJ385" s="143" t="s">
        <v>1583</v>
      </c>
      <c r="AK385" s="129">
        <v>9.69</v>
      </c>
      <c r="AL385" s="129">
        <v>9.6999999999999993</v>
      </c>
      <c r="AM385" s="129">
        <v>9.7249999999999979</v>
      </c>
      <c r="AN385" s="129">
        <v>9.7299999999999986</v>
      </c>
      <c r="AO385" s="126" t="str">
        <f t="shared" si="33"/>
        <v/>
      </c>
      <c r="AR385" s="99" t="s">
        <v>136</v>
      </c>
    </row>
    <row r="386" spans="1:44" s="99" customFormat="1" ht="21" customHeight="1" x14ac:dyDescent="0.35">
      <c r="A386" s="99">
        <v>424</v>
      </c>
      <c r="B386" s="126" t="str">
        <f t="shared" si="34"/>
        <v>RM-304L/1D-004X767</v>
      </c>
      <c r="C386" s="126" t="s">
        <v>43</v>
      </c>
      <c r="D386" s="126" t="s">
        <v>43</v>
      </c>
      <c r="E386" s="143" t="s">
        <v>1586</v>
      </c>
      <c r="F386" s="143" t="s">
        <v>1587</v>
      </c>
      <c r="G386" s="126" t="s">
        <v>230</v>
      </c>
      <c r="H386" s="126" t="s">
        <v>139</v>
      </c>
      <c r="I386" s="127">
        <v>3.77</v>
      </c>
      <c r="J386" s="127"/>
      <c r="K386" s="127"/>
      <c r="L386" s="127"/>
      <c r="M386" s="144">
        <v>767</v>
      </c>
      <c r="N386" s="129">
        <v>11.715</v>
      </c>
      <c r="O386" s="129"/>
      <c r="P386" s="129"/>
      <c r="Q386" s="130"/>
      <c r="R386" s="131"/>
      <c r="S386" s="131"/>
      <c r="T386" s="132"/>
      <c r="U386" s="132"/>
      <c r="V386" s="132"/>
      <c r="W386" s="132"/>
      <c r="X386" s="132"/>
      <c r="Y386" s="133" t="s">
        <v>1376</v>
      </c>
      <c r="Z386" s="126" t="s">
        <v>64</v>
      </c>
      <c r="AA386" s="134" t="s">
        <v>154</v>
      </c>
      <c r="AB386" s="134" t="s">
        <v>1516</v>
      </c>
      <c r="AC386" s="134"/>
      <c r="AD386" s="134">
        <v>44554</v>
      </c>
      <c r="AE386" s="134"/>
      <c r="AF386" s="134">
        <f t="shared" ca="1" si="30"/>
        <v>44963</v>
      </c>
      <c r="AG386" s="126">
        <f t="shared" ca="1" si="31"/>
        <v>409</v>
      </c>
      <c r="AH386" s="126" t="str">
        <f t="shared" si="32"/>
        <v/>
      </c>
      <c r="AI386" s="134"/>
      <c r="AJ386" s="143" t="s">
        <v>1588</v>
      </c>
      <c r="AK386" s="129">
        <v>11.715</v>
      </c>
      <c r="AL386" s="129">
        <v>11.725</v>
      </c>
      <c r="AM386" s="129">
        <v>11.749999999999998</v>
      </c>
      <c r="AN386" s="129">
        <v>11.754999999999999</v>
      </c>
      <c r="AO386" s="126" t="str">
        <f t="shared" si="33"/>
        <v/>
      </c>
      <c r="AR386" s="99" t="s">
        <v>136</v>
      </c>
    </row>
    <row r="387" spans="1:44" s="99" customFormat="1" ht="21" customHeight="1" x14ac:dyDescent="0.35">
      <c r="A387" s="99">
        <v>424</v>
      </c>
      <c r="B387" s="126" t="str">
        <f t="shared" si="34"/>
        <v>RM-304L/1D-004X767</v>
      </c>
      <c r="C387" s="126" t="s">
        <v>43</v>
      </c>
      <c r="D387" s="126" t="s">
        <v>43</v>
      </c>
      <c r="E387" s="143" t="s">
        <v>1589</v>
      </c>
      <c r="F387" s="143" t="s">
        <v>1590</v>
      </c>
      <c r="G387" s="126" t="s">
        <v>230</v>
      </c>
      <c r="H387" s="126" t="s">
        <v>139</v>
      </c>
      <c r="I387" s="127">
        <v>3.78</v>
      </c>
      <c r="J387" s="127"/>
      <c r="K387" s="127"/>
      <c r="L387" s="127"/>
      <c r="M387" s="144">
        <v>767</v>
      </c>
      <c r="N387" s="129">
        <v>11.97</v>
      </c>
      <c r="O387" s="129"/>
      <c r="P387" s="129"/>
      <c r="Q387" s="130"/>
      <c r="R387" s="131"/>
      <c r="S387" s="131"/>
      <c r="T387" s="132"/>
      <c r="U387" s="132"/>
      <c r="V387" s="132"/>
      <c r="W387" s="132"/>
      <c r="X387" s="132"/>
      <c r="Y387" s="133" t="s">
        <v>1376</v>
      </c>
      <c r="Z387" s="126" t="s">
        <v>64</v>
      </c>
      <c r="AA387" s="134" t="s">
        <v>154</v>
      </c>
      <c r="AB387" s="134" t="s">
        <v>1516</v>
      </c>
      <c r="AC387" s="134"/>
      <c r="AD387" s="134">
        <v>44554</v>
      </c>
      <c r="AE387" s="134"/>
      <c r="AF387" s="134">
        <f t="shared" ca="1" si="30"/>
        <v>44963</v>
      </c>
      <c r="AG387" s="126">
        <f t="shared" ca="1" si="31"/>
        <v>409</v>
      </c>
      <c r="AH387" s="126" t="str">
        <f t="shared" si="32"/>
        <v/>
      </c>
      <c r="AI387" s="134"/>
      <c r="AJ387" s="143" t="s">
        <v>1591</v>
      </c>
      <c r="AK387" s="129">
        <v>11.97</v>
      </c>
      <c r="AL387" s="129">
        <v>11.98</v>
      </c>
      <c r="AM387" s="129">
        <v>12.004999999999999</v>
      </c>
      <c r="AN387" s="129">
        <v>12.01</v>
      </c>
      <c r="AO387" s="126" t="str">
        <f t="shared" si="33"/>
        <v/>
      </c>
      <c r="AR387" s="99" t="s">
        <v>136</v>
      </c>
    </row>
    <row r="388" spans="1:44" s="99" customFormat="1" ht="21" customHeight="1" x14ac:dyDescent="0.35">
      <c r="A388" s="99">
        <v>424</v>
      </c>
      <c r="B388" s="126" t="str">
        <f t="shared" si="34"/>
        <v>RM-304L/1D-004X766</v>
      </c>
      <c r="C388" s="126" t="s">
        <v>43</v>
      </c>
      <c r="D388" s="126" t="s">
        <v>43</v>
      </c>
      <c r="E388" s="143" t="s">
        <v>1592</v>
      </c>
      <c r="F388" s="143" t="s">
        <v>1593</v>
      </c>
      <c r="G388" s="126" t="s">
        <v>230</v>
      </c>
      <c r="H388" s="126" t="s">
        <v>139</v>
      </c>
      <c r="I388" s="127">
        <v>3.78</v>
      </c>
      <c r="J388" s="127"/>
      <c r="K388" s="127"/>
      <c r="L388" s="127"/>
      <c r="M388" s="144">
        <v>766</v>
      </c>
      <c r="N388" s="129">
        <v>11.98</v>
      </c>
      <c r="O388" s="129"/>
      <c r="P388" s="129"/>
      <c r="Q388" s="130"/>
      <c r="R388" s="131"/>
      <c r="S388" s="131"/>
      <c r="T388" s="132"/>
      <c r="U388" s="132"/>
      <c r="V388" s="132"/>
      <c r="W388" s="132"/>
      <c r="X388" s="132"/>
      <c r="Y388" s="133" t="s">
        <v>1376</v>
      </c>
      <c r="Z388" s="126" t="s">
        <v>64</v>
      </c>
      <c r="AA388" s="134" t="s">
        <v>154</v>
      </c>
      <c r="AB388" s="134" t="s">
        <v>1516</v>
      </c>
      <c r="AC388" s="134"/>
      <c r="AD388" s="134">
        <v>44554</v>
      </c>
      <c r="AE388" s="134"/>
      <c r="AF388" s="134">
        <f t="shared" ca="1" si="30"/>
        <v>44963</v>
      </c>
      <c r="AG388" s="126">
        <f t="shared" ca="1" si="31"/>
        <v>409</v>
      </c>
      <c r="AH388" s="126" t="str">
        <f t="shared" si="32"/>
        <v/>
      </c>
      <c r="AI388" s="134"/>
      <c r="AJ388" s="143" t="s">
        <v>1591</v>
      </c>
      <c r="AK388" s="129">
        <v>11.98</v>
      </c>
      <c r="AL388" s="129">
        <v>11.99</v>
      </c>
      <c r="AM388" s="129">
        <v>12.014999999999999</v>
      </c>
      <c r="AN388" s="129">
        <v>12.02</v>
      </c>
      <c r="AO388" s="126" t="str">
        <f t="shared" si="33"/>
        <v/>
      </c>
      <c r="AR388" s="99" t="s">
        <v>136</v>
      </c>
    </row>
    <row r="389" spans="1:44" s="99" customFormat="1" ht="21" customHeight="1" x14ac:dyDescent="0.35">
      <c r="A389" s="99">
        <v>424</v>
      </c>
      <c r="B389" s="126" t="str">
        <f t="shared" si="34"/>
        <v>RM-304/1D-004X768</v>
      </c>
      <c r="C389" s="126" t="s">
        <v>43</v>
      </c>
      <c r="D389" s="126" t="s">
        <v>43</v>
      </c>
      <c r="E389" s="143" t="s">
        <v>1594</v>
      </c>
      <c r="F389" s="143" t="s">
        <v>1595</v>
      </c>
      <c r="G389" s="126">
        <v>304</v>
      </c>
      <c r="H389" s="126" t="s">
        <v>139</v>
      </c>
      <c r="I389" s="127">
        <v>3.97</v>
      </c>
      <c r="J389" s="127"/>
      <c r="K389" s="127"/>
      <c r="L389" s="127"/>
      <c r="M389" s="144">
        <v>768</v>
      </c>
      <c r="N389" s="129">
        <v>9.5350000000000001</v>
      </c>
      <c r="O389" s="129"/>
      <c r="P389" s="129"/>
      <c r="Q389" s="130"/>
      <c r="R389" s="131"/>
      <c r="S389" s="131"/>
      <c r="T389" s="132"/>
      <c r="U389" s="132"/>
      <c r="V389" s="132"/>
      <c r="W389" s="132"/>
      <c r="X389" s="132"/>
      <c r="Y389" s="133" t="s">
        <v>1376</v>
      </c>
      <c r="Z389" s="126" t="s">
        <v>64</v>
      </c>
      <c r="AA389" s="134" t="s">
        <v>154</v>
      </c>
      <c r="AB389" s="134" t="s">
        <v>1516</v>
      </c>
      <c r="AC389" s="134"/>
      <c r="AD389" s="134">
        <v>44554</v>
      </c>
      <c r="AE389" s="134"/>
      <c r="AF389" s="134">
        <f t="shared" ref="AF389:AF452" ca="1" si="35">TODAY()</f>
        <v>44963</v>
      </c>
      <c r="AG389" s="126">
        <f t="shared" ref="AG389:AG452" ca="1" si="36">IF(AD389&lt;&gt;0,AF389-AD389,0)</f>
        <v>409</v>
      </c>
      <c r="AH389" s="126" t="str">
        <f t="shared" ref="AH389:AH452" si="37">IF(ISNUMBER(V389)=TRUE,AF389-V389,IF(V389="","",(AF389)-(MID(RIGHT(V389,10),4,2)&amp;"/"&amp;LEFT((RIGHT(V389,10)),2)&amp;"/"&amp;RIGHT(V389,4))))</f>
        <v/>
      </c>
      <c r="AI389" s="134"/>
      <c r="AJ389" s="143" t="s">
        <v>1596</v>
      </c>
      <c r="AK389" s="129">
        <v>9.5350000000000001</v>
      </c>
      <c r="AL389" s="129">
        <v>9.5449999999999999</v>
      </c>
      <c r="AM389" s="129">
        <v>9.5699999999999985</v>
      </c>
      <c r="AN389" s="129">
        <v>9.5749999999999993</v>
      </c>
      <c r="AO389" s="126" t="str">
        <f t="shared" ref="AO389:AO452" si="38">IF(ISNUMBER(U389)=TRUE,AF389-U389,IF(U389="","",(AF389)-(MID(RIGHT(U389,10),4,2)&amp;"/"&amp;LEFT((RIGHT(U389,10)),2)&amp;"/"&amp;RIGHT(U389,4))))</f>
        <v/>
      </c>
      <c r="AR389" s="99" t="s">
        <v>136</v>
      </c>
    </row>
    <row r="390" spans="1:44" s="99" customFormat="1" ht="21" customHeight="1" x14ac:dyDescent="0.35">
      <c r="A390" s="99">
        <v>424</v>
      </c>
      <c r="B390" s="126" t="str">
        <f t="shared" si="34"/>
        <v>RM-304/1D-004X768</v>
      </c>
      <c r="C390" s="126" t="s">
        <v>43</v>
      </c>
      <c r="D390" s="126" t="s">
        <v>43</v>
      </c>
      <c r="E390" s="143" t="s">
        <v>1597</v>
      </c>
      <c r="F390" s="143" t="s">
        <v>1598</v>
      </c>
      <c r="G390" s="126">
        <v>304</v>
      </c>
      <c r="H390" s="126" t="s">
        <v>139</v>
      </c>
      <c r="I390" s="127">
        <v>3.98</v>
      </c>
      <c r="J390" s="127"/>
      <c r="K390" s="127"/>
      <c r="L390" s="127"/>
      <c r="M390" s="144">
        <v>768</v>
      </c>
      <c r="N390" s="129">
        <v>9.5350000000000001</v>
      </c>
      <c r="O390" s="129"/>
      <c r="P390" s="129"/>
      <c r="Q390" s="130"/>
      <c r="R390" s="131"/>
      <c r="S390" s="131"/>
      <c r="T390" s="132"/>
      <c r="U390" s="132"/>
      <c r="V390" s="132"/>
      <c r="W390" s="132"/>
      <c r="X390" s="132"/>
      <c r="Y390" s="133" t="s">
        <v>1376</v>
      </c>
      <c r="Z390" s="126" t="s">
        <v>64</v>
      </c>
      <c r="AA390" s="134" t="s">
        <v>154</v>
      </c>
      <c r="AB390" s="134" t="s">
        <v>1516</v>
      </c>
      <c r="AC390" s="134"/>
      <c r="AD390" s="134">
        <v>44554</v>
      </c>
      <c r="AE390" s="134"/>
      <c r="AF390" s="134">
        <f t="shared" ca="1" si="35"/>
        <v>44963</v>
      </c>
      <c r="AG390" s="126">
        <f t="shared" ca="1" si="36"/>
        <v>409</v>
      </c>
      <c r="AH390" s="126" t="str">
        <f t="shared" si="37"/>
        <v/>
      </c>
      <c r="AI390" s="134"/>
      <c r="AJ390" s="143" t="s">
        <v>1596</v>
      </c>
      <c r="AK390" s="129">
        <v>9.5350000000000001</v>
      </c>
      <c r="AL390" s="129">
        <v>9.5449999999999999</v>
      </c>
      <c r="AM390" s="129">
        <v>9.5699999999999985</v>
      </c>
      <c r="AN390" s="129">
        <v>9.5749999999999993</v>
      </c>
      <c r="AO390" s="126" t="str">
        <f t="shared" si="38"/>
        <v/>
      </c>
      <c r="AR390" s="99" t="s">
        <v>136</v>
      </c>
    </row>
    <row r="391" spans="1:44" s="99" customFormat="1" ht="21" customHeight="1" x14ac:dyDescent="0.35">
      <c r="A391" s="99">
        <v>424</v>
      </c>
      <c r="B391" s="126" t="str">
        <f t="shared" si="34"/>
        <v>RM-304L/1D-004X764</v>
      </c>
      <c r="C391" s="126" t="s">
        <v>43</v>
      </c>
      <c r="D391" s="126" t="s">
        <v>43</v>
      </c>
      <c r="E391" s="143" t="s">
        <v>1599</v>
      </c>
      <c r="F391" s="143" t="s">
        <v>1600</v>
      </c>
      <c r="G391" s="126" t="s">
        <v>230</v>
      </c>
      <c r="H391" s="126" t="s">
        <v>139</v>
      </c>
      <c r="I391" s="127">
        <v>3.8</v>
      </c>
      <c r="J391" s="127"/>
      <c r="K391" s="127"/>
      <c r="L391" s="127"/>
      <c r="M391" s="144">
        <v>764</v>
      </c>
      <c r="N391" s="129">
        <v>11.95</v>
      </c>
      <c r="O391" s="129"/>
      <c r="P391" s="129"/>
      <c r="Q391" s="130"/>
      <c r="R391" s="131"/>
      <c r="S391" s="131"/>
      <c r="T391" s="132"/>
      <c r="U391" s="132"/>
      <c r="V391" s="132"/>
      <c r="W391" s="132"/>
      <c r="X391" s="132"/>
      <c r="Y391" s="133" t="s">
        <v>1376</v>
      </c>
      <c r="Z391" s="126" t="s">
        <v>64</v>
      </c>
      <c r="AA391" s="134" t="s">
        <v>154</v>
      </c>
      <c r="AB391" s="134" t="s">
        <v>1516</v>
      </c>
      <c r="AC391" s="134"/>
      <c r="AD391" s="134">
        <v>44554</v>
      </c>
      <c r="AE391" s="134"/>
      <c r="AF391" s="134">
        <f t="shared" ca="1" si="35"/>
        <v>44963</v>
      </c>
      <c r="AG391" s="126">
        <f t="shared" ca="1" si="36"/>
        <v>409</v>
      </c>
      <c r="AH391" s="126" t="str">
        <f t="shared" si="37"/>
        <v/>
      </c>
      <c r="AI391" s="134"/>
      <c r="AJ391" s="143" t="s">
        <v>1601</v>
      </c>
      <c r="AK391" s="129">
        <v>11.95</v>
      </c>
      <c r="AL391" s="129">
        <v>11.96</v>
      </c>
      <c r="AM391" s="129">
        <v>11.984999999999999</v>
      </c>
      <c r="AN391" s="129">
        <v>11.99</v>
      </c>
      <c r="AO391" s="126" t="str">
        <f t="shared" si="38"/>
        <v/>
      </c>
      <c r="AR391" s="99" t="s">
        <v>136</v>
      </c>
    </row>
    <row r="392" spans="1:44" s="99" customFormat="1" ht="21" customHeight="1" x14ac:dyDescent="0.35">
      <c r="A392" s="99">
        <v>424</v>
      </c>
      <c r="B392" s="126" t="str">
        <f t="shared" si="34"/>
        <v>RM-304L/1D-004X764</v>
      </c>
      <c r="C392" s="126" t="s">
        <v>43</v>
      </c>
      <c r="D392" s="126" t="s">
        <v>43</v>
      </c>
      <c r="E392" s="143" t="s">
        <v>1602</v>
      </c>
      <c r="F392" s="143" t="s">
        <v>1603</v>
      </c>
      <c r="G392" s="126" t="s">
        <v>230</v>
      </c>
      <c r="H392" s="126" t="s">
        <v>139</v>
      </c>
      <c r="I392" s="127">
        <v>3.79</v>
      </c>
      <c r="J392" s="127"/>
      <c r="K392" s="127"/>
      <c r="L392" s="127"/>
      <c r="M392" s="144">
        <v>764</v>
      </c>
      <c r="N392" s="129">
        <v>11.945</v>
      </c>
      <c r="O392" s="129"/>
      <c r="P392" s="129"/>
      <c r="Q392" s="130"/>
      <c r="R392" s="131"/>
      <c r="S392" s="131"/>
      <c r="T392" s="132"/>
      <c r="U392" s="132"/>
      <c r="V392" s="132"/>
      <c r="W392" s="132"/>
      <c r="X392" s="132"/>
      <c r="Y392" s="133" t="s">
        <v>1376</v>
      </c>
      <c r="Z392" s="126" t="s">
        <v>64</v>
      </c>
      <c r="AA392" s="134" t="s">
        <v>154</v>
      </c>
      <c r="AB392" s="134" t="s">
        <v>1516</v>
      </c>
      <c r="AC392" s="134"/>
      <c r="AD392" s="134">
        <v>44554</v>
      </c>
      <c r="AE392" s="134"/>
      <c r="AF392" s="134">
        <f t="shared" ca="1" si="35"/>
        <v>44963</v>
      </c>
      <c r="AG392" s="126">
        <f t="shared" ca="1" si="36"/>
        <v>409</v>
      </c>
      <c r="AH392" s="126" t="str">
        <f t="shared" si="37"/>
        <v/>
      </c>
      <c r="AI392" s="134"/>
      <c r="AJ392" s="143" t="s">
        <v>1601</v>
      </c>
      <c r="AK392" s="129">
        <v>11.945</v>
      </c>
      <c r="AL392" s="129">
        <v>11.955</v>
      </c>
      <c r="AM392" s="129">
        <v>11.979999999999999</v>
      </c>
      <c r="AN392" s="129">
        <v>11.984999999999999</v>
      </c>
      <c r="AO392" s="126" t="str">
        <f t="shared" si="38"/>
        <v/>
      </c>
      <c r="AR392" s="99" t="s">
        <v>136</v>
      </c>
    </row>
    <row r="393" spans="1:44" s="99" customFormat="1" ht="21" customHeight="1" x14ac:dyDescent="0.35">
      <c r="A393" s="99">
        <v>424</v>
      </c>
      <c r="B393" s="126" t="str">
        <f t="shared" si="34"/>
        <v>RM-304/1D-003X767</v>
      </c>
      <c r="C393" s="126" t="s">
        <v>43</v>
      </c>
      <c r="D393" s="126" t="s">
        <v>43</v>
      </c>
      <c r="E393" s="143" t="s">
        <v>1604</v>
      </c>
      <c r="F393" s="143" t="s">
        <v>1605</v>
      </c>
      <c r="G393" s="126">
        <v>304</v>
      </c>
      <c r="H393" s="126" t="s">
        <v>139</v>
      </c>
      <c r="I393" s="127">
        <v>3.19</v>
      </c>
      <c r="J393" s="127"/>
      <c r="K393" s="127"/>
      <c r="L393" s="127"/>
      <c r="M393" s="144">
        <v>767</v>
      </c>
      <c r="N393" s="129">
        <v>10.385</v>
      </c>
      <c r="O393" s="129"/>
      <c r="P393" s="129"/>
      <c r="Q393" s="130"/>
      <c r="R393" s="131"/>
      <c r="S393" s="131"/>
      <c r="T393" s="132"/>
      <c r="U393" s="132"/>
      <c r="V393" s="132"/>
      <c r="W393" s="132"/>
      <c r="X393" s="132"/>
      <c r="Y393" s="133" t="s">
        <v>1376</v>
      </c>
      <c r="Z393" s="126" t="s">
        <v>64</v>
      </c>
      <c r="AA393" s="134" t="s">
        <v>154</v>
      </c>
      <c r="AB393" s="134" t="s">
        <v>1516</v>
      </c>
      <c r="AC393" s="134"/>
      <c r="AD393" s="134">
        <v>44554</v>
      </c>
      <c r="AE393" s="134"/>
      <c r="AF393" s="134">
        <f t="shared" ca="1" si="35"/>
        <v>44963</v>
      </c>
      <c r="AG393" s="126">
        <f t="shared" ca="1" si="36"/>
        <v>409</v>
      </c>
      <c r="AH393" s="126" t="str">
        <f t="shared" si="37"/>
        <v/>
      </c>
      <c r="AI393" s="134"/>
      <c r="AJ393" s="143" t="s">
        <v>1606</v>
      </c>
      <c r="AK393" s="129">
        <v>10.385</v>
      </c>
      <c r="AL393" s="129">
        <v>10.395</v>
      </c>
      <c r="AM393" s="129">
        <v>10.419999999999998</v>
      </c>
      <c r="AN393" s="129">
        <v>10.424999999999999</v>
      </c>
      <c r="AO393" s="126" t="str">
        <f t="shared" si="38"/>
        <v/>
      </c>
      <c r="AR393" s="99" t="s">
        <v>136</v>
      </c>
    </row>
    <row r="394" spans="1:44" s="99" customFormat="1" ht="21" customHeight="1" x14ac:dyDescent="0.35">
      <c r="A394" s="99">
        <v>424</v>
      </c>
      <c r="B394" s="126" t="str">
        <f t="shared" si="34"/>
        <v>RM-304/1D-003X768</v>
      </c>
      <c r="C394" s="126" t="s">
        <v>43</v>
      </c>
      <c r="D394" s="126" t="s">
        <v>43</v>
      </c>
      <c r="E394" s="143" t="s">
        <v>1607</v>
      </c>
      <c r="F394" s="143" t="s">
        <v>1608</v>
      </c>
      <c r="G394" s="126">
        <v>304</v>
      </c>
      <c r="H394" s="126" t="s">
        <v>139</v>
      </c>
      <c r="I394" s="127">
        <v>3.19</v>
      </c>
      <c r="J394" s="127"/>
      <c r="K394" s="127"/>
      <c r="L394" s="127"/>
      <c r="M394" s="144">
        <v>768</v>
      </c>
      <c r="N394" s="129">
        <v>10.4</v>
      </c>
      <c r="O394" s="129"/>
      <c r="P394" s="129"/>
      <c r="Q394" s="130"/>
      <c r="R394" s="131"/>
      <c r="S394" s="131"/>
      <c r="T394" s="132"/>
      <c r="U394" s="132"/>
      <c r="V394" s="132"/>
      <c r="W394" s="132"/>
      <c r="X394" s="132"/>
      <c r="Y394" s="133" t="s">
        <v>1376</v>
      </c>
      <c r="Z394" s="126" t="s">
        <v>64</v>
      </c>
      <c r="AA394" s="134" t="s">
        <v>154</v>
      </c>
      <c r="AB394" s="134" t="s">
        <v>1516</v>
      </c>
      <c r="AC394" s="134"/>
      <c r="AD394" s="134">
        <v>44554</v>
      </c>
      <c r="AE394" s="134"/>
      <c r="AF394" s="134">
        <f t="shared" ca="1" si="35"/>
        <v>44963</v>
      </c>
      <c r="AG394" s="126">
        <f t="shared" ca="1" si="36"/>
        <v>409</v>
      </c>
      <c r="AH394" s="126" t="str">
        <f t="shared" si="37"/>
        <v/>
      </c>
      <c r="AI394" s="134"/>
      <c r="AJ394" s="143" t="s">
        <v>1606</v>
      </c>
      <c r="AK394" s="129">
        <v>10.4</v>
      </c>
      <c r="AL394" s="129">
        <v>10.41</v>
      </c>
      <c r="AM394" s="129">
        <v>10.434999999999999</v>
      </c>
      <c r="AN394" s="129">
        <v>10.44</v>
      </c>
      <c r="AO394" s="126" t="str">
        <f t="shared" si="38"/>
        <v/>
      </c>
      <c r="AR394" s="99" t="s">
        <v>136</v>
      </c>
    </row>
    <row r="395" spans="1:44" s="99" customFormat="1" ht="21" customHeight="1" x14ac:dyDescent="0.35">
      <c r="A395" s="99">
        <v>424</v>
      </c>
      <c r="B395" s="126" t="str">
        <f t="shared" si="34"/>
        <v>RM-304L/1D-003X767</v>
      </c>
      <c r="C395" s="126" t="s">
        <v>43</v>
      </c>
      <c r="D395" s="126" t="s">
        <v>43</v>
      </c>
      <c r="E395" s="143" t="s">
        <v>1609</v>
      </c>
      <c r="F395" s="143" t="s">
        <v>1610</v>
      </c>
      <c r="G395" s="126" t="s">
        <v>230</v>
      </c>
      <c r="H395" s="126" t="s">
        <v>139</v>
      </c>
      <c r="I395" s="127">
        <v>3.49</v>
      </c>
      <c r="J395" s="127"/>
      <c r="K395" s="127"/>
      <c r="L395" s="127"/>
      <c r="M395" s="144">
        <v>767</v>
      </c>
      <c r="N395" s="129">
        <v>10.185</v>
      </c>
      <c r="O395" s="129"/>
      <c r="P395" s="129"/>
      <c r="Q395" s="130"/>
      <c r="R395" s="131"/>
      <c r="S395" s="131"/>
      <c r="T395" s="132"/>
      <c r="U395" s="132"/>
      <c r="V395" s="132"/>
      <c r="W395" s="132"/>
      <c r="X395" s="132"/>
      <c r="Y395" s="133" t="s">
        <v>1376</v>
      </c>
      <c r="Z395" s="126" t="s">
        <v>64</v>
      </c>
      <c r="AA395" s="134" t="s">
        <v>154</v>
      </c>
      <c r="AB395" s="134" t="s">
        <v>1516</v>
      </c>
      <c r="AC395" s="134"/>
      <c r="AD395" s="134">
        <v>44554</v>
      </c>
      <c r="AE395" s="134"/>
      <c r="AF395" s="134">
        <f t="shared" ca="1" si="35"/>
        <v>44963</v>
      </c>
      <c r="AG395" s="126">
        <f t="shared" ca="1" si="36"/>
        <v>409</v>
      </c>
      <c r="AH395" s="126" t="str">
        <f t="shared" si="37"/>
        <v/>
      </c>
      <c r="AI395" s="134"/>
      <c r="AJ395" s="143" t="s">
        <v>1611</v>
      </c>
      <c r="AK395" s="129">
        <v>10.185</v>
      </c>
      <c r="AL395" s="129">
        <v>10.195</v>
      </c>
      <c r="AM395" s="129">
        <v>10.219999999999999</v>
      </c>
      <c r="AN395" s="129">
        <v>10.225</v>
      </c>
      <c r="AO395" s="126" t="str">
        <f t="shared" si="38"/>
        <v/>
      </c>
      <c r="AR395" s="99" t="s">
        <v>136</v>
      </c>
    </row>
    <row r="396" spans="1:44" s="99" customFormat="1" ht="21" customHeight="1" x14ac:dyDescent="0.35">
      <c r="A396" s="99">
        <v>424</v>
      </c>
      <c r="B396" s="126" t="str">
        <f t="shared" si="34"/>
        <v>RM-304L/1D-003X768</v>
      </c>
      <c r="C396" s="126" t="s">
        <v>43</v>
      </c>
      <c r="D396" s="126" t="s">
        <v>43</v>
      </c>
      <c r="E396" s="143" t="s">
        <v>1612</v>
      </c>
      <c r="F396" s="143" t="s">
        <v>1613</v>
      </c>
      <c r="G396" s="126" t="s">
        <v>230</v>
      </c>
      <c r="H396" s="126" t="s">
        <v>139</v>
      </c>
      <c r="I396" s="127">
        <v>3.49</v>
      </c>
      <c r="J396" s="127"/>
      <c r="K396" s="127"/>
      <c r="L396" s="127"/>
      <c r="M396" s="144">
        <v>768</v>
      </c>
      <c r="N396" s="129">
        <v>10.23</v>
      </c>
      <c r="O396" s="129"/>
      <c r="P396" s="129"/>
      <c r="Q396" s="130"/>
      <c r="R396" s="131"/>
      <c r="S396" s="131"/>
      <c r="T396" s="132"/>
      <c r="U396" s="132"/>
      <c r="V396" s="132"/>
      <c r="W396" s="132"/>
      <c r="X396" s="132"/>
      <c r="Y396" s="133" t="s">
        <v>1376</v>
      </c>
      <c r="Z396" s="126" t="s">
        <v>64</v>
      </c>
      <c r="AA396" s="134" t="s">
        <v>154</v>
      </c>
      <c r="AB396" s="134" t="s">
        <v>1516</v>
      </c>
      <c r="AC396" s="134"/>
      <c r="AD396" s="134">
        <v>44554</v>
      </c>
      <c r="AE396" s="134"/>
      <c r="AF396" s="134">
        <f t="shared" ca="1" si="35"/>
        <v>44963</v>
      </c>
      <c r="AG396" s="126">
        <f t="shared" ca="1" si="36"/>
        <v>409</v>
      </c>
      <c r="AH396" s="126" t="str">
        <f t="shared" si="37"/>
        <v/>
      </c>
      <c r="AI396" s="134"/>
      <c r="AJ396" s="143" t="s">
        <v>1611</v>
      </c>
      <c r="AK396" s="129">
        <v>10.23</v>
      </c>
      <c r="AL396" s="129">
        <v>10.24</v>
      </c>
      <c r="AM396" s="129">
        <v>10.264999999999999</v>
      </c>
      <c r="AN396" s="129">
        <v>10.27</v>
      </c>
      <c r="AO396" s="126" t="str">
        <f t="shared" si="38"/>
        <v/>
      </c>
      <c r="AR396" s="99" t="s">
        <v>136</v>
      </c>
    </row>
    <row r="397" spans="1:44" s="99" customFormat="1" ht="21" customHeight="1" x14ac:dyDescent="0.35">
      <c r="A397" s="99">
        <v>424</v>
      </c>
      <c r="B397" s="126" t="str">
        <f t="shared" si="34"/>
        <v>RM-304L/1D-004X768</v>
      </c>
      <c r="C397" s="126" t="s">
        <v>43</v>
      </c>
      <c r="D397" s="126" t="s">
        <v>43</v>
      </c>
      <c r="E397" s="143" t="s">
        <v>1614</v>
      </c>
      <c r="F397" s="143" t="s">
        <v>1615</v>
      </c>
      <c r="G397" s="126" t="s">
        <v>230</v>
      </c>
      <c r="H397" s="126" t="s">
        <v>139</v>
      </c>
      <c r="I397" s="127">
        <v>3.99</v>
      </c>
      <c r="J397" s="127"/>
      <c r="K397" s="127"/>
      <c r="L397" s="127"/>
      <c r="M397" s="144">
        <v>768</v>
      </c>
      <c r="N397" s="129">
        <v>10.29</v>
      </c>
      <c r="O397" s="129"/>
      <c r="P397" s="129"/>
      <c r="Q397" s="130"/>
      <c r="R397" s="131"/>
      <c r="S397" s="131"/>
      <c r="T397" s="132"/>
      <c r="U397" s="132"/>
      <c r="V397" s="132"/>
      <c r="W397" s="132"/>
      <c r="X397" s="132"/>
      <c r="Y397" s="133" t="s">
        <v>1376</v>
      </c>
      <c r="Z397" s="126" t="s">
        <v>64</v>
      </c>
      <c r="AA397" s="134" t="s">
        <v>154</v>
      </c>
      <c r="AB397" s="134" t="s">
        <v>1516</v>
      </c>
      <c r="AC397" s="134"/>
      <c r="AD397" s="134">
        <v>44554</v>
      </c>
      <c r="AE397" s="134"/>
      <c r="AF397" s="134">
        <f t="shared" ca="1" si="35"/>
        <v>44963</v>
      </c>
      <c r="AG397" s="126">
        <f t="shared" ca="1" si="36"/>
        <v>409</v>
      </c>
      <c r="AH397" s="126" t="str">
        <f t="shared" si="37"/>
        <v/>
      </c>
      <c r="AI397" s="134"/>
      <c r="AJ397" s="143" t="s">
        <v>1616</v>
      </c>
      <c r="AK397" s="129">
        <v>10.29</v>
      </c>
      <c r="AL397" s="129">
        <v>10.3</v>
      </c>
      <c r="AM397" s="129">
        <v>10.324999999999999</v>
      </c>
      <c r="AN397" s="129">
        <v>10.33</v>
      </c>
      <c r="AO397" s="126" t="str">
        <f t="shared" si="38"/>
        <v/>
      </c>
      <c r="AR397" s="99" t="s">
        <v>136</v>
      </c>
    </row>
    <row r="398" spans="1:44" s="99" customFormat="1" ht="21" customHeight="1" x14ac:dyDescent="0.35">
      <c r="A398" s="99">
        <v>424</v>
      </c>
      <c r="B398" s="126" t="str">
        <f t="shared" si="34"/>
        <v>RM-304L/1D-004X768</v>
      </c>
      <c r="C398" s="126" t="s">
        <v>43</v>
      </c>
      <c r="D398" s="126" t="s">
        <v>43</v>
      </c>
      <c r="E398" s="143" t="s">
        <v>1617</v>
      </c>
      <c r="F398" s="143" t="s">
        <v>1618</v>
      </c>
      <c r="G398" s="126" t="s">
        <v>230</v>
      </c>
      <c r="H398" s="126" t="s">
        <v>139</v>
      </c>
      <c r="I398" s="127">
        <v>3.99</v>
      </c>
      <c r="J398" s="127"/>
      <c r="K398" s="127"/>
      <c r="L398" s="127"/>
      <c r="M398" s="144">
        <v>768</v>
      </c>
      <c r="N398" s="129">
        <v>10.29</v>
      </c>
      <c r="O398" s="129"/>
      <c r="P398" s="129"/>
      <c r="Q398" s="130"/>
      <c r="R398" s="131"/>
      <c r="S398" s="131"/>
      <c r="T398" s="132"/>
      <c r="U398" s="132"/>
      <c r="V398" s="132"/>
      <c r="W398" s="132"/>
      <c r="X398" s="132"/>
      <c r="Y398" s="133" t="s">
        <v>1376</v>
      </c>
      <c r="Z398" s="126" t="s">
        <v>64</v>
      </c>
      <c r="AA398" s="134" t="s">
        <v>154</v>
      </c>
      <c r="AB398" s="134" t="s">
        <v>1516</v>
      </c>
      <c r="AC398" s="134"/>
      <c r="AD398" s="134">
        <v>44554</v>
      </c>
      <c r="AE398" s="134"/>
      <c r="AF398" s="134">
        <f t="shared" ca="1" si="35"/>
        <v>44963</v>
      </c>
      <c r="AG398" s="126">
        <f t="shared" ca="1" si="36"/>
        <v>409</v>
      </c>
      <c r="AH398" s="126" t="str">
        <f t="shared" si="37"/>
        <v/>
      </c>
      <c r="AI398" s="134"/>
      <c r="AJ398" s="143" t="s">
        <v>1616</v>
      </c>
      <c r="AK398" s="129">
        <v>10.29</v>
      </c>
      <c r="AL398" s="129">
        <v>10.3</v>
      </c>
      <c r="AM398" s="129">
        <v>10.324999999999999</v>
      </c>
      <c r="AN398" s="129">
        <v>10.33</v>
      </c>
      <c r="AO398" s="126" t="str">
        <f t="shared" si="38"/>
        <v/>
      </c>
      <c r="AR398" s="99" t="s">
        <v>136</v>
      </c>
    </row>
    <row r="399" spans="1:44" s="99" customFormat="1" ht="21" customHeight="1" x14ac:dyDescent="0.35">
      <c r="A399" s="99">
        <v>424</v>
      </c>
      <c r="B399" s="126" t="str">
        <f t="shared" si="34"/>
        <v>RM-304L/1D-004X768</v>
      </c>
      <c r="C399" s="126" t="s">
        <v>43</v>
      </c>
      <c r="D399" s="126" t="s">
        <v>43</v>
      </c>
      <c r="E399" s="143" t="s">
        <v>1619</v>
      </c>
      <c r="F399" s="143" t="s">
        <v>1620</v>
      </c>
      <c r="G399" s="126" t="s">
        <v>230</v>
      </c>
      <c r="H399" s="126" t="s">
        <v>139</v>
      </c>
      <c r="I399" s="127">
        <v>3.8</v>
      </c>
      <c r="J399" s="127"/>
      <c r="K399" s="127"/>
      <c r="L399" s="127"/>
      <c r="M399" s="144">
        <v>768</v>
      </c>
      <c r="N399" s="129">
        <v>10.26</v>
      </c>
      <c r="O399" s="129"/>
      <c r="P399" s="129"/>
      <c r="Q399" s="130"/>
      <c r="R399" s="131"/>
      <c r="S399" s="131"/>
      <c r="T399" s="132"/>
      <c r="U399" s="132"/>
      <c r="V399" s="132"/>
      <c r="W399" s="132"/>
      <c r="X399" s="132"/>
      <c r="Y399" s="133" t="s">
        <v>1376</v>
      </c>
      <c r="Z399" s="126" t="s">
        <v>64</v>
      </c>
      <c r="AA399" s="134" t="s">
        <v>154</v>
      </c>
      <c r="AB399" s="134" t="s">
        <v>1516</v>
      </c>
      <c r="AC399" s="134"/>
      <c r="AD399" s="134">
        <v>44554</v>
      </c>
      <c r="AE399" s="134"/>
      <c r="AF399" s="134">
        <f t="shared" ca="1" si="35"/>
        <v>44963</v>
      </c>
      <c r="AG399" s="126">
        <f t="shared" ca="1" si="36"/>
        <v>409</v>
      </c>
      <c r="AH399" s="126" t="str">
        <f t="shared" si="37"/>
        <v/>
      </c>
      <c r="AI399" s="134"/>
      <c r="AJ399" s="143" t="s">
        <v>1621</v>
      </c>
      <c r="AK399" s="129">
        <v>10.26</v>
      </c>
      <c r="AL399" s="129">
        <v>10.27</v>
      </c>
      <c r="AM399" s="129">
        <v>10.294999999999998</v>
      </c>
      <c r="AN399" s="129">
        <v>10.299999999999999</v>
      </c>
      <c r="AO399" s="126" t="str">
        <f t="shared" si="38"/>
        <v/>
      </c>
      <c r="AR399" s="99" t="s">
        <v>136</v>
      </c>
    </row>
    <row r="400" spans="1:44" s="99" customFormat="1" ht="21" customHeight="1" x14ac:dyDescent="0.35">
      <c r="A400" s="99">
        <v>424</v>
      </c>
      <c r="B400" s="126" t="str">
        <f t="shared" si="34"/>
        <v>RM-304L/1D-004X768</v>
      </c>
      <c r="C400" s="126" t="s">
        <v>43</v>
      </c>
      <c r="D400" s="126" t="s">
        <v>43</v>
      </c>
      <c r="E400" s="143" t="s">
        <v>1622</v>
      </c>
      <c r="F400" s="143" t="s">
        <v>1623</v>
      </c>
      <c r="G400" s="126" t="s">
        <v>230</v>
      </c>
      <c r="H400" s="126" t="s">
        <v>139</v>
      </c>
      <c r="I400" s="127">
        <v>3.79</v>
      </c>
      <c r="J400" s="127"/>
      <c r="K400" s="127"/>
      <c r="L400" s="127"/>
      <c r="M400" s="144">
        <v>768</v>
      </c>
      <c r="N400" s="129">
        <v>10.29</v>
      </c>
      <c r="O400" s="129"/>
      <c r="P400" s="129"/>
      <c r="Q400" s="130"/>
      <c r="R400" s="131"/>
      <c r="S400" s="131"/>
      <c r="T400" s="132"/>
      <c r="U400" s="132"/>
      <c r="V400" s="132"/>
      <c r="W400" s="132"/>
      <c r="X400" s="132"/>
      <c r="Y400" s="133" t="s">
        <v>1376</v>
      </c>
      <c r="Z400" s="126" t="s">
        <v>64</v>
      </c>
      <c r="AA400" s="134" t="s">
        <v>154</v>
      </c>
      <c r="AB400" s="134" t="s">
        <v>1516</v>
      </c>
      <c r="AC400" s="134"/>
      <c r="AD400" s="134">
        <v>44554</v>
      </c>
      <c r="AE400" s="134"/>
      <c r="AF400" s="134">
        <f t="shared" ca="1" si="35"/>
        <v>44963</v>
      </c>
      <c r="AG400" s="126">
        <f t="shared" ca="1" si="36"/>
        <v>409</v>
      </c>
      <c r="AH400" s="126" t="str">
        <f t="shared" si="37"/>
        <v/>
      </c>
      <c r="AI400" s="134"/>
      <c r="AJ400" s="143" t="s">
        <v>1621</v>
      </c>
      <c r="AK400" s="129">
        <v>10.29</v>
      </c>
      <c r="AL400" s="129">
        <v>10.3</v>
      </c>
      <c r="AM400" s="129">
        <v>10.324999999999999</v>
      </c>
      <c r="AN400" s="129">
        <v>10.33</v>
      </c>
      <c r="AO400" s="126" t="str">
        <f t="shared" si="38"/>
        <v/>
      </c>
      <c r="AR400" s="99" t="s">
        <v>136</v>
      </c>
    </row>
    <row r="401" spans="1:44" s="99" customFormat="1" ht="21" customHeight="1" x14ac:dyDescent="0.35">
      <c r="A401" s="99">
        <v>424</v>
      </c>
      <c r="B401" s="126" t="str">
        <f t="shared" si="34"/>
        <v>RM-304L/1D-004X763</v>
      </c>
      <c r="C401" s="126" t="s">
        <v>43</v>
      </c>
      <c r="D401" s="126" t="s">
        <v>43</v>
      </c>
      <c r="E401" s="143" t="s">
        <v>1624</v>
      </c>
      <c r="F401" s="143" t="s">
        <v>1625</v>
      </c>
      <c r="G401" s="126" t="s">
        <v>230</v>
      </c>
      <c r="H401" s="126" t="s">
        <v>139</v>
      </c>
      <c r="I401" s="127">
        <v>3.79</v>
      </c>
      <c r="J401" s="127"/>
      <c r="K401" s="127"/>
      <c r="L401" s="127"/>
      <c r="M401" s="144">
        <v>763</v>
      </c>
      <c r="N401" s="129">
        <v>11.9</v>
      </c>
      <c r="O401" s="129"/>
      <c r="P401" s="129"/>
      <c r="Q401" s="130"/>
      <c r="R401" s="131"/>
      <c r="S401" s="131"/>
      <c r="T401" s="132"/>
      <c r="U401" s="132"/>
      <c r="V401" s="132"/>
      <c r="W401" s="132"/>
      <c r="X401" s="132"/>
      <c r="Y401" s="133" t="s">
        <v>1376</v>
      </c>
      <c r="Z401" s="126" t="s">
        <v>64</v>
      </c>
      <c r="AA401" s="134" t="s">
        <v>154</v>
      </c>
      <c r="AB401" s="134" t="s">
        <v>1516</v>
      </c>
      <c r="AC401" s="134"/>
      <c r="AD401" s="134">
        <v>44554</v>
      </c>
      <c r="AE401" s="134"/>
      <c r="AF401" s="134">
        <f t="shared" ca="1" si="35"/>
        <v>44963</v>
      </c>
      <c r="AG401" s="126">
        <f t="shared" ca="1" si="36"/>
        <v>409</v>
      </c>
      <c r="AH401" s="126" t="str">
        <f t="shared" si="37"/>
        <v/>
      </c>
      <c r="AI401" s="134"/>
      <c r="AJ401" s="143" t="s">
        <v>1626</v>
      </c>
      <c r="AK401" s="129">
        <v>11.9</v>
      </c>
      <c r="AL401" s="129">
        <v>11.91</v>
      </c>
      <c r="AM401" s="129">
        <v>11.934999999999999</v>
      </c>
      <c r="AN401" s="129">
        <v>11.94</v>
      </c>
      <c r="AO401" s="126" t="str">
        <f t="shared" si="38"/>
        <v/>
      </c>
      <c r="AR401" s="99" t="s">
        <v>136</v>
      </c>
    </row>
    <row r="402" spans="1:44" s="99" customFormat="1" ht="21" customHeight="1" x14ac:dyDescent="0.35">
      <c r="A402" s="99">
        <v>424</v>
      </c>
      <c r="B402" s="126" t="str">
        <f t="shared" si="34"/>
        <v>RM-304L/1D-004X767</v>
      </c>
      <c r="C402" s="126" t="s">
        <v>43</v>
      </c>
      <c r="D402" s="126" t="s">
        <v>43</v>
      </c>
      <c r="E402" s="143" t="s">
        <v>1627</v>
      </c>
      <c r="F402" s="143" t="s">
        <v>1628</v>
      </c>
      <c r="G402" s="126" t="s">
        <v>230</v>
      </c>
      <c r="H402" s="126" t="s">
        <v>139</v>
      </c>
      <c r="I402" s="127">
        <v>3.79</v>
      </c>
      <c r="J402" s="127"/>
      <c r="K402" s="127"/>
      <c r="L402" s="127"/>
      <c r="M402" s="144">
        <v>767</v>
      </c>
      <c r="N402" s="129">
        <v>11.975</v>
      </c>
      <c r="O402" s="129"/>
      <c r="P402" s="129"/>
      <c r="Q402" s="130"/>
      <c r="R402" s="131"/>
      <c r="S402" s="131"/>
      <c r="T402" s="132"/>
      <c r="U402" s="132"/>
      <c r="V402" s="132"/>
      <c r="W402" s="132"/>
      <c r="X402" s="132"/>
      <c r="Y402" s="133" t="s">
        <v>1376</v>
      </c>
      <c r="Z402" s="126" t="s">
        <v>64</v>
      </c>
      <c r="AA402" s="134" t="s">
        <v>154</v>
      </c>
      <c r="AB402" s="134" t="s">
        <v>1516</v>
      </c>
      <c r="AC402" s="134"/>
      <c r="AD402" s="134">
        <v>44554</v>
      </c>
      <c r="AE402" s="134"/>
      <c r="AF402" s="134">
        <f t="shared" ca="1" si="35"/>
        <v>44963</v>
      </c>
      <c r="AG402" s="126">
        <f t="shared" ca="1" si="36"/>
        <v>409</v>
      </c>
      <c r="AH402" s="126" t="str">
        <f t="shared" si="37"/>
        <v/>
      </c>
      <c r="AI402" s="134"/>
      <c r="AJ402" s="143" t="s">
        <v>1626</v>
      </c>
      <c r="AK402" s="129">
        <v>11.975</v>
      </c>
      <c r="AL402" s="129">
        <v>11.984999999999999</v>
      </c>
      <c r="AM402" s="129">
        <v>12.009999999999998</v>
      </c>
      <c r="AN402" s="129">
        <v>12.014999999999999</v>
      </c>
      <c r="AO402" s="126" t="str">
        <f t="shared" si="38"/>
        <v/>
      </c>
      <c r="AR402" s="99" t="s">
        <v>136</v>
      </c>
    </row>
    <row r="403" spans="1:44" s="99" customFormat="1" ht="21" customHeight="1" x14ac:dyDescent="0.35">
      <c r="A403" s="99">
        <v>424</v>
      </c>
      <c r="B403" s="126" t="str">
        <f t="shared" si="34"/>
        <v>RM-304L/1D-003X767</v>
      </c>
      <c r="C403" s="126" t="s">
        <v>43</v>
      </c>
      <c r="D403" s="126" t="s">
        <v>43</v>
      </c>
      <c r="E403" s="143" t="s">
        <v>1629</v>
      </c>
      <c r="F403" s="143" t="s">
        <v>1630</v>
      </c>
      <c r="G403" s="126" t="s">
        <v>230</v>
      </c>
      <c r="H403" s="126" t="s">
        <v>139</v>
      </c>
      <c r="I403" s="127">
        <v>3.49</v>
      </c>
      <c r="J403" s="127"/>
      <c r="K403" s="127"/>
      <c r="L403" s="127"/>
      <c r="M403" s="144">
        <v>767</v>
      </c>
      <c r="N403" s="129">
        <v>10.24</v>
      </c>
      <c r="O403" s="129"/>
      <c r="P403" s="129"/>
      <c r="Q403" s="130"/>
      <c r="R403" s="131"/>
      <c r="S403" s="131"/>
      <c r="T403" s="132"/>
      <c r="U403" s="132"/>
      <c r="V403" s="132"/>
      <c r="W403" s="132"/>
      <c r="X403" s="132"/>
      <c r="Y403" s="133" t="s">
        <v>1376</v>
      </c>
      <c r="Z403" s="126" t="s">
        <v>64</v>
      </c>
      <c r="AA403" s="134" t="s">
        <v>154</v>
      </c>
      <c r="AB403" s="134" t="s">
        <v>1516</v>
      </c>
      <c r="AC403" s="134"/>
      <c r="AD403" s="134">
        <v>44554</v>
      </c>
      <c r="AE403" s="134"/>
      <c r="AF403" s="134">
        <f t="shared" ca="1" si="35"/>
        <v>44963</v>
      </c>
      <c r="AG403" s="126">
        <f t="shared" ca="1" si="36"/>
        <v>409</v>
      </c>
      <c r="AH403" s="126" t="str">
        <f t="shared" si="37"/>
        <v/>
      </c>
      <c r="AI403" s="134"/>
      <c r="AJ403" s="143" t="s">
        <v>1631</v>
      </c>
      <c r="AK403" s="129">
        <v>10.24</v>
      </c>
      <c r="AL403" s="129">
        <v>10.25</v>
      </c>
      <c r="AM403" s="129">
        <v>10.274999999999999</v>
      </c>
      <c r="AN403" s="129">
        <v>10.28</v>
      </c>
      <c r="AO403" s="126" t="str">
        <f t="shared" si="38"/>
        <v/>
      </c>
      <c r="AR403" s="99" t="s">
        <v>136</v>
      </c>
    </row>
    <row r="404" spans="1:44" s="99" customFormat="1" ht="21" customHeight="1" x14ac:dyDescent="0.35">
      <c r="A404" s="99">
        <v>424</v>
      </c>
      <c r="B404" s="126" t="str">
        <f t="shared" si="34"/>
        <v>RM-304L/1D-003X768</v>
      </c>
      <c r="C404" s="126" t="s">
        <v>43</v>
      </c>
      <c r="D404" s="126" t="s">
        <v>43</v>
      </c>
      <c r="E404" s="143" t="s">
        <v>1632</v>
      </c>
      <c r="F404" s="143" t="s">
        <v>1633</v>
      </c>
      <c r="G404" s="126" t="s">
        <v>230</v>
      </c>
      <c r="H404" s="126" t="s">
        <v>139</v>
      </c>
      <c r="I404" s="127">
        <v>3.49</v>
      </c>
      <c r="J404" s="127"/>
      <c r="K404" s="127"/>
      <c r="L404" s="127"/>
      <c r="M404" s="144">
        <v>768</v>
      </c>
      <c r="N404" s="129">
        <v>10.255000000000001</v>
      </c>
      <c r="O404" s="129"/>
      <c r="P404" s="129"/>
      <c r="Q404" s="130"/>
      <c r="R404" s="131"/>
      <c r="S404" s="131"/>
      <c r="T404" s="132"/>
      <c r="U404" s="132"/>
      <c r="V404" s="132"/>
      <c r="W404" s="132"/>
      <c r="X404" s="132"/>
      <c r="Y404" s="133" t="s">
        <v>1376</v>
      </c>
      <c r="Z404" s="126" t="s">
        <v>64</v>
      </c>
      <c r="AA404" s="134" t="s">
        <v>154</v>
      </c>
      <c r="AB404" s="134" t="s">
        <v>1516</v>
      </c>
      <c r="AC404" s="134"/>
      <c r="AD404" s="134">
        <v>44554</v>
      </c>
      <c r="AE404" s="134"/>
      <c r="AF404" s="134">
        <f t="shared" ca="1" si="35"/>
        <v>44963</v>
      </c>
      <c r="AG404" s="126">
        <f t="shared" ca="1" si="36"/>
        <v>409</v>
      </c>
      <c r="AH404" s="126" t="str">
        <f t="shared" si="37"/>
        <v/>
      </c>
      <c r="AI404" s="134"/>
      <c r="AJ404" s="143" t="s">
        <v>1631</v>
      </c>
      <c r="AK404" s="129">
        <v>10.255000000000001</v>
      </c>
      <c r="AL404" s="129">
        <v>10.265000000000001</v>
      </c>
      <c r="AM404" s="129">
        <v>10.29</v>
      </c>
      <c r="AN404" s="129">
        <v>10.295</v>
      </c>
      <c r="AO404" s="126" t="str">
        <f t="shared" si="38"/>
        <v/>
      </c>
      <c r="AR404" s="99" t="s">
        <v>136</v>
      </c>
    </row>
    <row r="405" spans="1:44" s="99" customFormat="1" ht="21" customHeight="1" x14ac:dyDescent="0.35">
      <c r="A405" s="99">
        <v>424</v>
      </c>
      <c r="B405" s="126" t="str">
        <f t="shared" si="34"/>
        <v>RM-304L/1D-004X767</v>
      </c>
      <c r="C405" s="126" t="s">
        <v>43</v>
      </c>
      <c r="D405" s="126" t="s">
        <v>43</v>
      </c>
      <c r="E405" s="143" t="s">
        <v>1634</v>
      </c>
      <c r="F405" s="143" t="s">
        <v>1635</v>
      </c>
      <c r="G405" s="126" t="s">
        <v>230</v>
      </c>
      <c r="H405" s="126" t="s">
        <v>139</v>
      </c>
      <c r="I405" s="127">
        <v>3.8</v>
      </c>
      <c r="J405" s="127"/>
      <c r="K405" s="127"/>
      <c r="L405" s="127"/>
      <c r="M405" s="144">
        <v>767</v>
      </c>
      <c r="N405" s="129">
        <v>10.305</v>
      </c>
      <c r="O405" s="129"/>
      <c r="P405" s="129"/>
      <c r="Q405" s="130"/>
      <c r="R405" s="131"/>
      <c r="S405" s="131"/>
      <c r="T405" s="132"/>
      <c r="U405" s="132"/>
      <c r="V405" s="132"/>
      <c r="W405" s="132"/>
      <c r="X405" s="132"/>
      <c r="Y405" s="133" t="s">
        <v>1376</v>
      </c>
      <c r="Z405" s="126" t="s">
        <v>64</v>
      </c>
      <c r="AA405" s="134" t="s">
        <v>154</v>
      </c>
      <c r="AB405" s="134" t="s">
        <v>1516</v>
      </c>
      <c r="AC405" s="134"/>
      <c r="AD405" s="134">
        <v>44554</v>
      </c>
      <c r="AE405" s="134"/>
      <c r="AF405" s="134">
        <f t="shared" ca="1" si="35"/>
        <v>44963</v>
      </c>
      <c r="AG405" s="126">
        <f t="shared" ca="1" si="36"/>
        <v>409</v>
      </c>
      <c r="AH405" s="126" t="str">
        <f t="shared" si="37"/>
        <v/>
      </c>
      <c r="AI405" s="134"/>
      <c r="AJ405" s="143" t="s">
        <v>1636</v>
      </c>
      <c r="AK405" s="129">
        <v>10.305</v>
      </c>
      <c r="AL405" s="129">
        <v>10.315</v>
      </c>
      <c r="AM405" s="129">
        <v>10.339999999999998</v>
      </c>
      <c r="AN405" s="129">
        <v>10.344999999999999</v>
      </c>
      <c r="AO405" s="126" t="str">
        <f t="shared" si="38"/>
        <v/>
      </c>
      <c r="AR405" s="99" t="s">
        <v>136</v>
      </c>
    </row>
    <row r="406" spans="1:44" s="99" customFormat="1" ht="21" customHeight="1" x14ac:dyDescent="0.35">
      <c r="A406" s="99">
        <v>424</v>
      </c>
      <c r="B406" s="126" t="str">
        <f t="shared" si="34"/>
        <v>RM-304L/1D-004X766</v>
      </c>
      <c r="C406" s="126" t="s">
        <v>43</v>
      </c>
      <c r="D406" s="126" t="s">
        <v>43</v>
      </c>
      <c r="E406" s="143" t="s">
        <v>1637</v>
      </c>
      <c r="F406" s="143" t="s">
        <v>1638</v>
      </c>
      <c r="G406" s="126" t="s">
        <v>230</v>
      </c>
      <c r="H406" s="126" t="s">
        <v>139</v>
      </c>
      <c r="I406" s="127">
        <v>3.8</v>
      </c>
      <c r="J406" s="127"/>
      <c r="K406" s="127"/>
      <c r="L406" s="127"/>
      <c r="M406" s="144">
        <v>766</v>
      </c>
      <c r="N406" s="129">
        <v>10.31</v>
      </c>
      <c r="O406" s="129"/>
      <c r="P406" s="129"/>
      <c r="Q406" s="130"/>
      <c r="R406" s="131"/>
      <c r="S406" s="131"/>
      <c r="T406" s="132"/>
      <c r="U406" s="132"/>
      <c r="V406" s="132"/>
      <c r="W406" s="132"/>
      <c r="X406" s="132"/>
      <c r="Y406" s="133" t="s">
        <v>1376</v>
      </c>
      <c r="Z406" s="126" t="s">
        <v>64</v>
      </c>
      <c r="AA406" s="134" t="s">
        <v>154</v>
      </c>
      <c r="AB406" s="134" t="s">
        <v>1516</v>
      </c>
      <c r="AC406" s="134"/>
      <c r="AD406" s="134">
        <v>44554</v>
      </c>
      <c r="AE406" s="134"/>
      <c r="AF406" s="134">
        <f t="shared" ca="1" si="35"/>
        <v>44963</v>
      </c>
      <c r="AG406" s="126">
        <f t="shared" ca="1" si="36"/>
        <v>409</v>
      </c>
      <c r="AH406" s="126" t="str">
        <f t="shared" si="37"/>
        <v/>
      </c>
      <c r="AI406" s="134"/>
      <c r="AJ406" s="143" t="s">
        <v>1636</v>
      </c>
      <c r="AK406" s="129">
        <v>10.31</v>
      </c>
      <c r="AL406" s="129">
        <v>10.32</v>
      </c>
      <c r="AM406" s="129">
        <v>10.344999999999999</v>
      </c>
      <c r="AN406" s="129">
        <v>10.35</v>
      </c>
      <c r="AO406" s="126" t="str">
        <f t="shared" si="38"/>
        <v/>
      </c>
      <c r="AR406" s="99" t="s">
        <v>136</v>
      </c>
    </row>
    <row r="407" spans="1:44" s="99" customFormat="1" ht="21" customHeight="1" x14ac:dyDescent="0.35">
      <c r="A407" s="99">
        <v>424</v>
      </c>
      <c r="B407" s="126" t="str">
        <f t="shared" si="34"/>
        <v>WIP-304L/2B-001X768</v>
      </c>
      <c r="C407" s="126" t="s">
        <v>14</v>
      </c>
      <c r="D407" s="126" t="s">
        <v>358</v>
      </c>
      <c r="E407" s="143" t="s">
        <v>1639</v>
      </c>
      <c r="F407" s="143" t="s">
        <v>1640</v>
      </c>
      <c r="G407" s="126" t="s">
        <v>230</v>
      </c>
      <c r="H407" s="126" t="s">
        <v>116</v>
      </c>
      <c r="I407" s="127">
        <v>3.5</v>
      </c>
      <c r="J407" s="127">
        <v>1.45</v>
      </c>
      <c r="K407" s="127">
        <v>1.43</v>
      </c>
      <c r="L407" s="127">
        <v>1.45</v>
      </c>
      <c r="M407" s="144">
        <v>768</v>
      </c>
      <c r="N407" s="129">
        <v>6.39</v>
      </c>
      <c r="O407" s="129" t="s">
        <v>116</v>
      </c>
      <c r="P407" s="129"/>
      <c r="Q407" s="130" t="s">
        <v>446</v>
      </c>
      <c r="R407" s="131"/>
      <c r="S407" s="131"/>
      <c r="T407" s="132">
        <v>44605</v>
      </c>
      <c r="U407" s="132">
        <v>44606</v>
      </c>
      <c r="V407" s="132">
        <v>44607</v>
      </c>
      <c r="W407" s="132"/>
      <c r="X407" s="132"/>
      <c r="Y407" s="133" t="s">
        <v>1395</v>
      </c>
      <c r="Z407" s="126" t="s">
        <v>64</v>
      </c>
      <c r="AA407" s="134" t="s">
        <v>154</v>
      </c>
      <c r="AB407" s="134" t="s">
        <v>1516</v>
      </c>
      <c r="AC407" s="134"/>
      <c r="AD407" s="134">
        <v>44554</v>
      </c>
      <c r="AE407" s="134"/>
      <c r="AF407" s="134">
        <f t="shared" ca="1" si="35"/>
        <v>44963</v>
      </c>
      <c r="AG407" s="126">
        <f t="shared" ca="1" si="36"/>
        <v>409</v>
      </c>
      <c r="AH407" s="126">
        <f t="shared" ca="1" si="37"/>
        <v>356</v>
      </c>
      <c r="AI407" s="134"/>
      <c r="AJ407" s="143" t="s">
        <v>1641</v>
      </c>
      <c r="AK407" s="129">
        <v>10.435</v>
      </c>
      <c r="AL407" s="129">
        <v>10.445</v>
      </c>
      <c r="AM407" s="129">
        <v>10.469999999999999</v>
      </c>
      <c r="AN407" s="129">
        <v>10.475</v>
      </c>
      <c r="AO407" s="126">
        <f t="shared" ca="1" si="38"/>
        <v>357</v>
      </c>
      <c r="AR407" s="99" t="s">
        <v>136</v>
      </c>
    </row>
    <row r="408" spans="1:44" s="99" customFormat="1" ht="21" customHeight="1" x14ac:dyDescent="0.35">
      <c r="A408" s="99">
        <v>424</v>
      </c>
      <c r="B408" s="126" t="str">
        <f t="shared" si="34"/>
        <v>RM-304L/1D-003X767</v>
      </c>
      <c r="C408" s="126" t="s">
        <v>43</v>
      </c>
      <c r="D408" s="126" t="s">
        <v>43</v>
      </c>
      <c r="E408" s="143" t="s">
        <v>1642</v>
      </c>
      <c r="F408" s="143" t="s">
        <v>1643</v>
      </c>
      <c r="G408" s="126" t="s">
        <v>230</v>
      </c>
      <c r="H408" s="126" t="s">
        <v>139</v>
      </c>
      <c r="I408" s="127">
        <v>3.49</v>
      </c>
      <c r="J408" s="127"/>
      <c r="K408" s="127"/>
      <c r="L408" s="127"/>
      <c r="M408" s="144">
        <v>767</v>
      </c>
      <c r="N408" s="129">
        <v>10.29</v>
      </c>
      <c r="O408" s="129"/>
      <c r="P408" s="129"/>
      <c r="Q408" s="130"/>
      <c r="R408" s="131"/>
      <c r="S408" s="131"/>
      <c r="T408" s="132"/>
      <c r="U408" s="132"/>
      <c r="V408" s="132"/>
      <c r="W408" s="132"/>
      <c r="X408" s="132"/>
      <c r="Y408" s="133" t="s">
        <v>1376</v>
      </c>
      <c r="Z408" s="126" t="s">
        <v>64</v>
      </c>
      <c r="AA408" s="134" t="s">
        <v>154</v>
      </c>
      <c r="AB408" s="134" t="s">
        <v>1516</v>
      </c>
      <c r="AC408" s="134"/>
      <c r="AD408" s="134">
        <v>44554</v>
      </c>
      <c r="AE408" s="134"/>
      <c r="AF408" s="134">
        <f t="shared" ca="1" si="35"/>
        <v>44963</v>
      </c>
      <c r="AG408" s="126">
        <f t="shared" ca="1" si="36"/>
        <v>409</v>
      </c>
      <c r="AH408" s="126" t="str">
        <f t="shared" si="37"/>
        <v/>
      </c>
      <c r="AI408" s="134"/>
      <c r="AJ408" s="143" t="s">
        <v>1644</v>
      </c>
      <c r="AK408" s="129">
        <v>10.29</v>
      </c>
      <c r="AL408" s="129">
        <v>10.3</v>
      </c>
      <c r="AM408" s="129">
        <v>10.324999999999999</v>
      </c>
      <c r="AN408" s="129">
        <v>10.33</v>
      </c>
      <c r="AO408" s="126" t="str">
        <f t="shared" si="38"/>
        <v/>
      </c>
      <c r="AR408" s="99" t="s">
        <v>136</v>
      </c>
    </row>
    <row r="409" spans="1:44" s="99" customFormat="1" ht="21" customHeight="1" x14ac:dyDescent="0.35">
      <c r="A409" s="99">
        <v>424</v>
      </c>
      <c r="B409" s="126" t="str">
        <f t="shared" si="34"/>
        <v>RM-304L/1D-004X766</v>
      </c>
      <c r="C409" s="126" t="s">
        <v>43</v>
      </c>
      <c r="D409" s="126" t="s">
        <v>43</v>
      </c>
      <c r="E409" s="143" t="s">
        <v>1645</v>
      </c>
      <c r="F409" s="143" t="s">
        <v>1646</v>
      </c>
      <c r="G409" s="126" t="s">
        <v>230</v>
      </c>
      <c r="H409" s="126" t="s">
        <v>139</v>
      </c>
      <c r="I409" s="127">
        <v>3.79</v>
      </c>
      <c r="J409" s="127"/>
      <c r="K409" s="127"/>
      <c r="L409" s="127"/>
      <c r="M409" s="144">
        <v>766</v>
      </c>
      <c r="N409" s="129">
        <v>9.9849999999999994</v>
      </c>
      <c r="O409" s="129"/>
      <c r="P409" s="129"/>
      <c r="Q409" s="130"/>
      <c r="R409" s="131"/>
      <c r="S409" s="131"/>
      <c r="T409" s="132"/>
      <c r="U409" s="132"/>
      <c r="V409" s="132"/>
      <c r="W409" s="132"/>
      <c r="X409" s="132"/>
      <c r="Y409" s="133" t="s">
        <v>1376</v>
      </c>
      <c r="Z409" s="126" t="s">
        <v>64</v>
      </c>
      <c r="AA409" s="134" t="s">
        <v>154</v>
      </c>
      <c r="AB409" s="134" t="s">
        <v>1516</v>
      </c>
      <c r="AC409" s="134"/>
      <c r="AD409" s="134">
        <v>44554</v>
      </c>
      <c r="AE409" s="134"/>
      <c r="AF409" s="134">
        <f t="shared" ca="1" si="35"/>
        <v>44963</v>
      </c>
      <c r="AG409" s="126">
        <f t="shared" ca="1" si="36"/>
        <v>409</v>
      </c>
      <c r="AH409" s="126" t="str">
        <f t="shared" si="37"/>
        <v/>
      </c>
      <c r="AI409" s="134"/>
      <c r="AJ409" s="143" t="s">
        <v>1647</v>
      </c>
      <c r="AK409" s="129">
        <v>9.9849999999999994</v>
      </c>
      <c r="AL409" s="129">
        <v>9.9949999999999992</v>
      </c>
      <c r="AM409" s="129">
        <v>10.019999999999998</v>
      </c>
      <c r="AN409" s="129">
        <v>10.024999999999999</v>
      </c>
      <c r="AO409" s="126" t="str">
        <f t="shared" si="38"/>
        <v/>
      </c>
      <c r="AR409" s="99" t="s">
        <v>136</v>
      </c>
    </row>
    <row r="410" spans="1:44" s="99" customFormat="1" ht="21" customHeight="1" x14ac:dyDescent="0.35">
      <c r="A410" s="99">
        <v>424</v>
      </c>
      <c r="B410" s="126" t="str">
        <f t="shared" si="34"/>
        <v>RM-304L/1D-004X766</v>
      </c>
      <c r="C410" s="126" t="s">
        <v>43</v>
      </c>
      <c r="D410" s="126" t="s">
        <v>43</v>
      </c>
      <c r="E410" s="143" t="s">
        <v>1648</v>
      </c>
      <c r="F410" s="143" t="s">
        <v>1649</v>
      </c>
      <c r="G410" s="126" t="s">
        <v>230</v>
      </c>
      <c r="H410" s="126" t="s">
        <v>139</v>
      </c>
      <c r="I410" s="127">
        <v>3.79</v>
      </c>
      <c r="J410" s="127"/>
      <c r="K410" s="127"/>
      <c r="L410" s="127"/>
      <c r="M410" s="144">
        <v>766</v>
      </c>
      <c r="N410" s="129">
        <v>9.9550000000000001</v>
      </c>
      <c r="O410" s="129"/>
      <c r="P410" s="129"/>
      <c r="Q410" s="130"/>
      <c r="R410" s="131"/>
      <c r="S410" s="131"/>
      <c r="T410" s="132"/>
      <c r="U410" s="132"/>
      <c r="V410" s="132"/>
      <c r="W410" s="132"/>
      <c r="X410" s="132"/>
      <c r="Y410" s="133" t="s">
        <v>1376</v>
      </c>
      <c r="Z410" s="126" t="s">
        <v>64</v>
      </c>
      <c r="AA410" s="134" t="s">
        <v>154</v>
      </c>
      <c r="AB410" s="134" t="s">
        <v>1516</v>
      </c>
      <c r="AC410" s="134"/>
      <c r="AD410" s="134">
        <v>44554</v>
      </c>
      <c r="AE410" s="134"/>
      <c r="AF410" s="134">
        <f t="shared" ca="1" si="35"/>
        <v>44963</v>
      </c>
      <c r="AG410" s="126">
        <f t="shared" ca="1" si="36"/>
        <v>409</v>
      </c>
      <c r="AH410" s="126" t="str">
        <f t="shared" si="37"/>
        <v/>
      </c>
      <c r="AI410" s="134"/>
      <c r="AJ410" s="143" t="s">
        <v>1647</v>
      </c>
      <c r="AK410" s="129">
        <v>9.9550000000000001</v>
      </c>
      <c r="AL410" s="129">
        <v>9.9649999999999999</v>
      </c>
      <c r="AM410" s="129">
        <v>9.9899999999999984</v>
      </c>
      <c r="AN410" s="129">
        <v>9.9949999999999992</v>
      </c>
      <c r="AO410" s="126" t="str">
        <f t="shared" si="38"/>
        <v/>
      </c>
      <c r="AR410" s="99" t="s">
        <v>136</v>
      </c>
    </row>
    <row r="411" spans="1:44" s="99" customFormat="1" ht="21" customHeight="1" x14ac:dyDescent="0.35">
      <c r="A411" s="99">
        <v>424</v>
      </c>
      <c r="B411" s="126" t="str">
        <f t="shared" si="34"/>
        <v>RM-304L/1D-004X772</v>
      </c>
      <c r="C411" s="126" t="s">
        <v>43</v>
      </c>
      <c r="D411" s="126" t="s">
        <v>43</v>
      </c>
      <c r="E411" s="143" t="s">
        <v>1650</v>
      </c>
      <c r="F411" s="143" t="s">
        <v>1651</v>
      </c>
      <c r="G411" s="126" t="s">
        <v>230</v>
      </c>
      <c r="H411" s="126" t="s">
        <v>139</v>
      </c>
      <c r="I411" s="127">
        <v>3.79</v>
      </c>
      <c r="J411" s="127"/>
      <c r="K411" s="127"/>
      <c r="L411" s="127"/>
      <c r="M411" s="144">
        <v>772</v>
      </c>
      <c r="N411" s="129">
        <v>10.17</v>
      </c>
      <c r="O411" s="129"/>
      <c r="P411" s="129"/>
      <c r="Q411" s="130"/>
      <c r="R411" s="131"/>
      <c r="S411" s="131"/>
      <c r="T411" s="132"/>
      <c r="U411" s="132"/>
      <c r="V411" s="132"/>
      <c r="W411" s="132"/>
      <c r="X411" s="132"/>
      <c r="Y411" s="133" t="s">
        <v>1376</v>
      </c>
      <c r="Z411" s="126" t="s">
        <v>64</v>
      </c>
      <c r="AA411" s="134" t="s">
        <v>154</v>
      </c>
      <c r="AB411" s="134" t="s">
        <v>1516</v>
      </c>
      <c r="AC411" s="134"/>
      <c r="AD411" s="134">
        <v>44554</v>
      </c>
      <c r="AE411" s="134"/>
      <c r="AF411" s="134">
        <f t="shared" ca="1" si="35"/>
        <v>44963</v>
      </c>
      <c r="AG411" s="126">
        <f t="shared" ca="1" si="36"/>
        <v>409</v>
      </c>
      <c r="AH411" s="126" t="str">
        <f t="shared" si="37"/>
        <v/>
      </c>
      <c r="AI411" s="134"/>
      <c r="AJ411" s="143" t="s">
        <v>1652</v>
      </c>
      <c r="AK411" s="129">
        <v>10.17</v>
      </c>
      <c r="AL411" s="129">
        <v>10.18</v>
      </c>
      <c r="AM411" s="129">
        <v>10.204999999999998</v>
      </c>
      <c r="AN411" s="129">
        <v>10.209999999999999</v>
      </c>
      <c r="AO411" s="126" t="str">
        <f t="shared" si="38"/>
        <v/>
      </c>
      <c r="AR411" s="99" t="s">
        <v>136</v>
      </c>
    </row>
    <row r="412" spans="1:44" s="99" customFormat="1" ht="21" customHeight="1" x14ac:dyDescent="0.35">
      <c r="A412" s="99">
        <v>424</v>
      </c>
      <c r="B412" s="126" t="str">
        <f t="shared" si="34"/>
        <v>RM-304L/1D-004X770</v>
      </c>
      <c r="C412" s="126" t="s">
        <v>43</v>
      </c>
      <c r="D412" s="126" t="s">
        <v>43</v>
      </c>
      <c r="E412" s="143" t="s">
        <v>1653</v>
      </c>
      <c r="F412" s="143" t="s">
        <v>1654</v>
      </c>
      <c r="G412" s="126" t="s">
        <v>230</v>
      </c>
      <c r="H412" s="126" t="s">
        <v>139</v>
      </c>
      <c r="I412" s="127">
        <v>3.79</v>
      </c>
      <c r="J412" s="127"/>
      <c r="K412" s="127"/>
      <c r="L412" s="127"/>
      <c r="M412" s="144">
        <v>770</v>
      </c>
      <c r="N412" s="129">
        <v>10.175000000000001</v>
      </c>
      <c r="O412" s="129"/>
      <c r="P412" s="129"/>
      <c r="Q412" s="130"/>
      <c r="R412" s="131"/>
      <c r="S412" s="131"/>
      <c r="T412" s="132"/>
      <c r="U412" s="132"/>
      <c r="V412" s="132"/>
      <c r="W412" s="132"/>
      <c r="X412" s="132"/>
      <c r="Y412" s="133" t="s">
        <v>1376</v>
      </c>
      <c r="Z412" s="126" t="s">
        <v>64</v>
      </c>
      <c r="AA412" s="134" t="s">
        <v>154</v>
      </c>
      <c r="AB412" s="134" t="s">
        <v>1516</v>
      </c>
      <c r="AC412" s="134"/>
      <c r="AD412" s="134">
        <v>44554</v>
      </c>
      <c r="AE412" s="134"/>
      <c r="AF412" s="134">
        <f t="shared" ca="1" si="35"/>
        <v>44963</v>
      </c>
      <c r="AG412" s="126">
        <f t="shared" ca="1" si="36"/>
        <v>409</v>
      </c>
      <c r="AH412" s="126" t="str">
        <f t="shared" si="37"/>
        <v/>
      </c>
      <c r="AI412" s="134"/>
      <c r="AJ412" s="143" t="s">
        <v>1652</v>
      </c>
      <c r="AK412" s="129">
        <v>10.175000000000001</v>
      </c>
      <c r="AL412" s="129">
        <v>10.185</v>
      </c>
      <c r="AM412" s="129">
        <v>10.209999999999999</v>
      </c>
      <c r="AN412" s="129">
        <v>10.215</v>
      </c>
      <c r="AO412" s="126" t="str">
        <f t="shared" si="38"/>
        <v/>
      </c>
      <c r="AR412" s="99" t="s">
        <v>136</v>
      </c>
    </row>
    <row r="413" spans="1:44" s="99" customFormat="1" ht="21" customHeight="1" x14ac:dyDescent="0.35">
      <c r="A413" s="99">
        <v>424</v>
      </c>
      <c r="B413" s="126" t="str">
        <f t="shared" si="34"/>
        <v>RM-304L/1D-004X769</v>
      </c>
      <c r="C413" s="126" t="s">
        <v>43</v>
      </c>
      <c r="D413" s="126" t="s">
        <v>43</v>
      </c>
      <c r="E413" s="143" t="s">
        <v>1655</v>
      </c>
      <c r="F413" s="143" t="s">
        <v>1656</v>
      </c>
      <c r="G413" s="126" t="s">
        <v>230</v>
      </c>
      <c r="H413" s="126" t="s">
        <v>139</v>
      </c>
      <c r="I413" s="127">
        <v>4.01</v>
      </c>
      <c r="J413" s="127"/>
      <c r="K413" s="127"/>
      <c r="L413" s="127"/>
      <c r="M413" s="144">
        <v>769</v>
      </c>
      <c r="N413" s="129">
        <v>10.27</v>
      </c>
      <c r="O413" s="129"/>
      <c r="P413" s="129"/>
      <c r="Q413" s="130"/>
      <c r="R413" s="131"/>
      <c r="S413" s="131"/>
      <c r="T413" s="132"/>
      <c r="U413" s="132"/>
      <c r="V413" s="132"/>
      <c r="W413" s="132"/>
      <c r="X413" s="132"/>
      <c r="Y413" s="133" t="s">
        <v>1376</v>
      </c>
      <c r="Z413" s="126" t="s">
        <v>64</v>
      </c>
      <c r="AA413" s="134" t="s">
        <v>154</v>
      </c>
      <c r="AB413" s="134" t="s">
        <v>1516</v>
      </c>
      <c r="AC413" s="134"/>
      <c r="AD413" s="134">
        <v>44554</v>
      </c>
      <c r="AE413" s="134"/>
      <c r="AF413" s="134">
        <f t="shared" ca="1" si="35"/>
        <v>44963</v>
      </c>
      <c r="AG413" s="126">
        <f t="shared" ca="1" si="36"/>
        <v>409</v>
      </c>
      <c r="AH413" s="126" t="str">
        <f t="shared" si="37"/>
        <v/>
      </c>
      <c r="AI413" s="134"/>
      <c r="AJ413" s="143" t="s">
        <v>1657</v>
      </c>
      <c r="AK413" s="129">
        <v>10.27</v>
      </c>
      <c r="AL413" s="129">
        <v>10.28</v>
      </c>
      <c r="AM413" s="129">
        <v>10.304999999999998</v>
      </c>
      <c r="AN413" s="129">
        <v>10.309999999999999</v>
      </c>
      <c r="AO413" s="126" t="str">
        <f t="shared" si="38"/>
        <v/>
      </c>
      <c r="AR413" s="99" t="s">
        <v>136</v>
      </c>
    </row>
    <row r="414" spans="1:44" s="99" customFormat="1" ht="21" customHeight="1" x14ac:dyDescent="0.35">
      <c r="A414" s="99">
        <v>424</v>
      </c>
      <c r="B414" s="126" t="str">
        <f t="shared" si="34"/>
        <v>RM-304L/1D-004X769</v>
      </c>
      <c r="C414" s="126" t="s">
        <v>43</v>
      </c>
      <c r="D414" s="126" t="s">
        <v>43</v>
      </c>
      <c r="E414" s="143" t="s">
        <v>1658</v>
      </c>
      <c r="F414" s="143" t="s">
        <v>1659</v>
      </c>
      <c r="G414" s="126" t="s">
        <v>230</v>
      </c>
      <c r="H414" s="126" t="s">
        <v>139</v>
      </c>
      <c r="I414" s="127">
        <v>4.01</v>
      </c>
      <c r="J414" s="127"/>
      <c r="K414" s="127"/>
      <c r="L414" s="127"/>
      <c r="M414" s="144">
        <v>769</v>
      </c>
      <c r="N414" s="129">
        <v>10.28</v>
      </c>
      <c r="O414" s="129"/>
      <c r="P414" s="129"/>
      <c r="Q414" s="130"/>
      <c r="R414" s="131"/>
      <c r="S414" s="131"/>
      <c r="T414" s="132"/>
      <c r="U414" s="132"/>
      <c r="V414" s="132"/>
      <c r="W414" s="132"/>
      <c r="X414" s="132"/>
      <c r="Y414" s="133" t="s">
        <v>1376</v>
      </c>
      <c r="Z414" s="126" t="s">
        <v>64</v>
      </c>
      <c r="AA414" s="134" t="s">
        <v>154</v>
      </c>
      <c r="AB414" s="134" t="s">
        <v>1516</v>
      </c>
      <c r="AC414" s="134"/>
      <c r="AD414" s="134">
        <v>44554</v>
      </c>
      <c r="AE414" s="134"/>
      <c r="AF414" s="134">
        <f t="shared" ca="1" si="35"/>
        <v>44963</v>
      </c>
      <c r="AG414" s="126">
        <f t="shared" ca="1" si="36"/>
        <v>409</v>
      </c>
      <c r="AH414" s="126" t="str">
        <f t="shared" si="37"/>
        <v/>
      </c>
      <c r="AI414" s="134"/>
      <c r="AJ414" s="143" t="s">
        <v>1657</v>
      </c>
      <c r="AK414" s="129">
        <v>10.28</v>
      </c>
      <c r="AL414" s="129">
        <v>10.29</v>
      </c>
      <c r="AM414" s="129">
        <v>10.314999999999998</v>
      </c>
      <c r="AN414" s="129">
        <v>10.319999999999999</v>
      </c>
      <c r="AO414" s="126" t="str">
        <f t="shared" si="38"/>
        <v/>
      </c>
      <c r="AR414" s="99" t="s">
        <v>136</v>
      </c>
    </row>
    <row r="415" spans="1:44" s="99" customFormat="1" ht="21" customHeight="1" x14ac:dyDescent="0.35">
      <c r="A415" s="99">
        <v>424</v>
      </c>
      <c r="B415" s="126" t="str">
        <f t="shared" si="34"/>
        <v>RM-304L/1D-004X777</v>
      </c>
      <c r="C415" s="126" t="s">
        <v>43</v>
      </c>
      <c r="D415" s="126" t="s">
        <v>43</v>
      </c>
      <c r="E415" s="143" t="s">
        <v>1660</v>
      </c>
      <c r="F415" s="143" t="s">
        <v>1661</v>
      </c>
      <c r="G415" s="126" t="s">
        <v>230</v>
      </c>
      <c r="H415" s="126" t="s">
        <v>139</v>
      </c>
      <c r="I415" s="127">
        <v>3.81</v>
      </c>
      <c r="J415" s="127"/>
      <c r="K415" s="127"/>
      <c r="L415" s="127"/>
      <c r="M415" s="144">
        <v>777</v>
      </c>
      <c r="N415" s="129">
        <v>11.585000000000001</v>
      </c>
      <c r="O415" s="129"/>
      <c r="P415" s="129"/>
      <c r="Q415" s="130"/>
      <c r="R415" s="131"/>
      <c r="S415" s="131"/>
      <c r="T415" s="132"/>
      <c r="U415" s="132"/>
      <c r="V415" s="132"/>
      <c r="W415" s="132"/>
      <c r="X415" s="132"/>
      <c r="Y415" s="133" t="s">
        <v>1376</v>
      </c>
      <c r="Z415" s="126" t="s">
        <v>64</v>
      </c>
      <c r="AA415" s="134" t="s">
        <v>154</v>
      </c>
      <c r="AB415" s="134" t="s">
        <v>1516</v>
      </c>
      <c r="AC415" s="134"/>
      <c r="AD415" s="134">
        <v>44554</v>
      </c>
      <c r="AE415" s="134"/>
      <c r="AF415" s="134">
        <f t="shared" ca="1" si="35"/>
        <v>44963</v>
      </c>
      <c r="AG415" s="126">
        <f t="shared" ca="1" si="36"/>
        <v>409</v>
      </c>
      <c r="AH415" s="126" t="str">
        <f t="shared" si="37"/>
        <v/>
      </c>
      <c r="AI415" s="134"/>
      <c r="AJ415" s="143" t="s">
        <v>1662</v>
      </c>
      <c r="AK415" s="129">
        <v>11.585000000000001</v>
      </c>
      <c r="AL415" s="129">
        <v>11.595000000000001</v>
      </c>
      <c r="AM415" s="129">
        <v>11.62</v>
      </c>
      <c r="AN415" s="129">
        <v>11.625</v>
      </c>
      <c r="AO415" s="126" t="str">
        <f t="shared" si="38"/>
        <v/>
      </c>
      <c r="AR415" s="99" t="s">
        <v>136</v>
      </c>
    </row>
    <row r="416" spans="1:44" s="99" customFormat="1" ht="21" customHeight="1" x14ac:dyDescent="0.35">
      <c r="A416" s="99">
        <v>424</v>
      </c>
      <c r="B416" s="126" t="str">
        <f t="shared" si="34"/>
        <v>RM-304L/1D-004X777</v>
      </c>
      <c r="C416" s="126" t="s">
        <v>43</v>
      </c>
      <c r="D416" s="126" t="s">
        <v>43</v>
      </c>
      <c r="E416" s="143" t="s">
        <v>1663</v>
      </c>
      <c r="F416" s="143" t="s">
        <v>1664</v>
      </c>
      <c r="G416" s="126" t="s">
        <v>230</v>
      </c>
      <c r="H416" s="126" t="s">
        <v>139</v>
      </c>
      <c r="I416" s="127">
        <v>3.8</v>
      </c>
      <c r="J416" s="127"/>
      <c r="K416" s="127"/>
      <c r="L416" s="127"/>
      <c r="M416" s="144">
        <v>777</v>
      </c>
      <c r="N416" s="129">
        <v>11.58</v>
      </c>
      <c r="O416" s="129"/>
      <c r="P416" s="129"/>
      <c r="Q416" s="130"/>
      <c r="R416" s="131"/>
      <c r="S416" s="131"/>
      <c r="T416" s="132"/>
      <c r="U416" s="132"/>
      <c r="V416" s="132"/>
      <c r="W416" s="132"/>
      <c r="X416" s="132"/>
      <c r="Y416" s="133" t="s">
        <v>1376</v>
      </c>
      <c r="Z416" s="126" t="s">
        <v>64</v>
      </c>
      <c r="AA416" s="134" t="s">
        <v>154</v>
      </c>
      <c r="AB416" s="134" t="s">
        <v>1516</v>
      </c>
      <c r="AC416" s="134"/>
      <c r="AD416" s="134">
        <v>44554</v>
      </c>
      <c r="AE416" s="134"/>
      <c r="AF416" s="134">
        <f t="shared" ca="1" si="35"/>
        <v>44963</v>
      </c>
      <c r="AG416" s="126">
        <f t="shared" ca="1" si="36"/>
        <v>409</v>
      </c>
      <c r="AH416" s="126" t="str">
        <f t="shared" si="37"/>
        <v/>
      </c>
      <c r="AI416" s="134"/>
      <c r="AJ416" s="143" t="s">
        <v>1662</v>
      </c>
      <c r="AK416" s="129">
        <v>11.58</v>
      </c>
      <c r="AL416" s="129">
        <v>11.59</v>
      </c>
      <c r="AM416" s="129">
        <v>11.614999999999998</v>
      </c>
      <c r="AN416" s="129">
        <v>11.62</v>
      </c>
      <c r="AO416" s="126" t="str">
        <f t="shared" si="38"/>
        <v/>
      </c>
      <c r="AR416" s="99" t="s">
        <v>136</v>
      </c>
    </row>
    <row r="417" spans="1:44" s="99" customFormat="1" ht="21" customHeight="1" x14ac:dyDescent="0.35">
      <c r="A417" s="99">
        <v>424</v>
      </c>
      <c r="B417" s="126" t="str">
        <f t="shared" si="34"/>
        <v>RM-304/1D-003X770</v>
      </c>
      <c r="C417" s="126" t="s">
        <v>43</v>
      </c>
      <c r="D417" s="126" t="s">
        <v>43</v>
      </c>
      <c r="E417" s="143" t="s">
        <v>1665</v>
      </c>
      <c r="F417" s="143" t="s">
        <v>1666</v>
      </c>
      <c r="G417" s="126">
        <v>304</v>
      </c>
      <c r="H417" s="126" t="s">
        <v>139</v>
      </c>
      <c r="I417" s="127">
        <v>3.07</v>
      </c>
      <c r="J417" s="127"/>
      <c r="K417" s="127"/>
      <c r="L417" s="127"/>
      <c r="M417" s="144">
        <v>770</v>
      </c>
      <c r="N417" s="129">
        <v>10.535</v>
      </c>
      <c r="O417" s="129"/>
      <c r="P417" s="129"/>
      <c r="Q417" s="130"/>
      <c r="R417" s="131"/>
      <c r="S417" s="131"/>
      <c r="T417" s="132"/>
      <c r="U417" s="132"/>
      <c r="V417" s="132"/>
      <c r="W417" s="132"/>
      <c r="X417" s="132"/>
      <c r="Y417" s="133" t="s">
        <v>1376</v>
      </c>
      <c r="Z417" s="126" t="s">
        <v>64</v>
      </c>
      <c r="AA417" s="134" t="s">
        <v>154</v>
      </c>
      <c r="AB417" s="134" t="s">
        <v>1516</v>
      </c>
      <c r="AC417" s="134"/>
      <c r="AD417" s="134">
        <v>44554</v>
      </c>
      <c r="AE417" s="134"/>
      <c r="AF417" s="134">
        <f t="shared" ca="1" si="35"/>
        <v>44963</v>
      </c>
      <c r="AG417" s="126">
        <f t="shared" ca="1" si="36"/>
        <v>409</v>
      </c>
      <c r="AH417" s="126" t="str">
        <f t="shared" si="37"/>
        <v/>
      </c>
      <c r="AI417" s="134"/>
      <c r="AJ417" s="143" t="s">
        <v>1667</v>
      </c>
      <c r="AK417" s="129">
        <v>10.535</v>
      </c>
      <c r="AL417" s="129">
        <v>10.545</v>
      </c>
      <c r="AM417" s="129">
        <v>10.569999999999999</v>
      </c>
      <c r="AN417" s="129">
        <v>10.574999999999999</v>
      </c>
      <c r="AO417" s="126" t="str">
        <f t="shared" si="38"/>
        <v/>
      </c>
      <c r="AR417" s="99" t="s">
        <v>136</v>
      </c>
    </row>
    <row r="418" spans="1:44" s="99" customFormat="1" ht="21" customHeight="1" x14ac:dyDescent="0.35">
      <c r="A418" s="99">
        <v>424</v>
      </c>
      <c r="B418" s="126" t="str">
        <f t="shared" si="34"/>
        <v>RM-304/1D-003X770</v>
      </c>
      <c r="C418" s="126" t="s">
        <v>43</v>
      </c>
      <c r="D418" s="126" t="s">
        <v>43</v>
      </c>
      <c r="E418" s="143" t="s">
        <v>1668</v>
      </c>
      <c r="F418" s="143" t="s">
        <v>1669</v>
      </c>
      <c r="G418" s="126">
        <v>304</v>
      </c>
      <c r="H418" s="126" t="s">
        <v>139</v>
      </c>
      <c r="I418" s="127">
        <v>3.06</v>
      </c>
      <c r="J418" s="127"/>
      <c r="K418" s="127"/>
      <c r="L418" s="127"/>
      <c r="M418" s="144">
        <v>770</v>
      </c>
      <c r="N418" s="129">
        <v>10.48</v>
      </c>
      <c r="O418" s="129"/>
      <c r="P418" s="129"/>
      <c r="Q418" s="130"/>
      <c r="R418" s="131"/>
      <c r="S418" s="131"/>
      <c r="T418" s="132"/>
      <c r="U418" s="132"/>
      <c r="V418" s="132"/>
      <c r="W418" s="132"/>
      <c r="X418" s="132"/>
      <c r="Y418" s="133" t="s">
        <v>1376</v>
      </c>
      <c r="Z418" s="126" t="s">
        <v>64</v>
      </c>
      <c r="AA418" s="134" t="s">
        <v>154</v>
      </c>
      <c r="AB418" s="134" t="s">
        <v>1516</v>
      </c>
      <c r="AC418" s="134"/>
      <c r="AD418" s="134">
        <v>44554</v>
      </c>
      <c r="AE418" s="134"/>
      <c r="AF418" s="134">
        <f t="shared" ca="1" si="35"/>
        <v>44963</v>
      </c>
      <c r="AG418" s="126">
        <f t="shared" ca="1" si="36"/>
        <v>409</v>
      </c>
      <c r="AH418" s="126" t="str">
        <f t="shared" si="37"/>
        <v/>
      </c>
      <c r="AI418" s="134"/>
      <c r="AJ418" s="143" t="s">
        <v>1667</v>
      </c>
      <c r="AK418" s="129">
        <v>10.48</v>
      </c>
      <c r="AL418" s="129">
        <v>10.49</v>
      </c>
      <c r="AM418" s="129">
        <v>10.514999999999999</v>
      </c>
      <c r="AN418" s="129">
        <v>10.52</v>
      </c>
      <c r="AO418" s="126" t="str">
        <f t="shared" si="38"/>
        <v/>
      </c>
      <c r="AR418" s="99" t="s">
        <v>136</v>
      </c>
    </row>
    <row r="419" spans="1:44" s="99" customFormat="1" ht="21" customHeight="1" x14ac:dyDescent="0.35">
      <c r="A419" s="99">
        <v>424</v>
      </c>
      <c r="B419" s="126" t="str">
        <f t="shared" si="34"/>
        <v>RM-304L/1D-004X770</v>
      </c>
      <c r="C419" s="126" t="s">
        <v>43</v>
      </c>
      <c r="D419" s="126" t="s">
        <v>43</v>
      </c>
      <c r="E419" s="143" t="s">
        <v>1670</v>
      </c>
      <c r="F419" s="143" t="s">
        <v>1671</v>
      </c>
      <c r="G419" s="126" t="s">
        <v>230</v>
      </c>
      <c r="H419" s="126" t="s">
        <v>139</v>
      </c>
      <c r="I419" s="127">
        <v>3.78</v>
      </c>
      <c r="J419" s="127"/>
      <c r="K419" s="127"/>
      <c r="L419" s="127"/>
      <c r="M419" s="144">
        <v>770</v>
      </c>
      <c r="N419" s="129">
        <v>11.8</v>
      </c>
      <c r="O419" s="129"/>
      <c r="P419" s="129"/>
      <c r="Q419" s="130"/>
      <c r="R419" s="131"/>
      <c r="S419" s="131"/>
      <c r="T419" s="132"/>
      <c r="U419" s="132"/>
      <c r="V419" s="132"/>
      <c r="W419" s="132"/>
      <c r="X419" s="132"/>
      <c r="Y419" s="133" t="s">
        <v>1376</v>
      </c>
      <c r="Z419" s="126" t="s">
        <v>64</v>
      </c>
      <c r="AA419" s="134" t="s">
        <v>154</v>
      </c>
      <c r="AB419" s="134" t="s">
        <v>1516</v>
      </c>
      <c r="AC419" s="134"/>
      <c r="AD419" s="134">
        <v>44554</v>
      </c>
      <c r="AE419" s="134"/>
      <c r="AF419" s="134">
        <f t="shared" ca="1" si="35"/>
        <v>44963</v>
      </c>
      <c r="AG419" s="126">
        <f t="shared" ca="1" si="36"/>
        <v>409</v>
      </c>
      <c r="AH419" s="126" t="str">
        <f t="shared" si="37"/>
        <v/>
      </c>
      <c r="AI419" s="134"/>
      <c r="AJ419" s="143" t="s">
        <v>1672</v>
      </c>
      <c r="AK419" s="129">
        <v>11.8</v>
      </c>
      <c r="AL419" s="129">
        <v>11.81</v>
      </c>
      <c r="AM419" s="129">
        <v>11.834999999999999</v>
      </c>
      <c r="AN419" s="129">
        <v>11.84</v>
      </c>
      <c r="AO419" s="126" t="str">
        <f t="shared" si="38"/>
        <v/>
      </c>
      <c r="AR419" s="99" t="s">
        <v>136</v>
      </c>
    </row>
    <row r="420" spans="1:44" s="99" customFormat="1" ht="21" customHeight="1" x14ac:dyDescent="0.35">
      <c r="A420" s="99">
        <v>424</v>
      </c>
      <c r="B420" s="126" t="str">
        <f t="shared" si="34"/>
        <v>RM-304L/1D-004X769</v>
      </c>
      <c r="C420" s="126" t="s">
        <v>43</v>
      </c>
      <c r="D420" s="126" t="s">
        <v>43</v>
      </c>
      <c r="E420" s="143" t="s">
        <v>1673</v>
      </c>
      <c r="F420" s="143" t="s">
        <v>1674</v>
      </c>
      <c r="G420" s="126" t="s">
        <v>230</v>
      </c>
      <c r="H420" s="126" t="s">
        <v>139</v>
      </c>
      <c r="I420" s="127">
        <v>3.79</v>
      </c>
      <c r="J420" s="127"/>
      <c r="K420" s="127"/>
      <c r="L420" s="127"/>
      <c r="M420" s="144">
        <v>769</v>
      </c>
      <c r="N420" s="129">
        <v>11.805</v>
      </c>
      <c r="O420" s="129"/>
      <c r="P420" s="129"/>
      <c r="Q420" s="130"/>
      <c r="R420" s="131"/>
      <c r="S420" s="131"/>
      <c r="T420" s="132"/>
      <c r="U420" s="132"/>
      <c r="V420" s="132"/>
      <c r="W420" s="132"/>
      <c r="X420" s="132"/>
      <c r="Y420" s="133" t="s">
        <v>1376</v>
      </c>
      <c r="Z420" s="126" t="s">
        <v>64</v>
      </c>
      <c r="AA420" s="134" t="s">
        <v>154</v>
      </c>
      <c r="AB420" s="134" t="s">
        <v>1516</v>
      </c>
      <c r="AC420" s="134"/>
      <c r="AD420" s="134">
        <v>44554</v>
      </c>
      <c r="AE420" s="134"/>
      <c r="AF420" s="134">
        <f t="shared" ca="1" si="35"/>
        <v>44963</v>
      </c>
      <c r="AG420" s="126">
        <f t="shared" ca="1" si="36"/>
        <v>409</v>
      </c>
      <c r="AH420" s="126" t="str">
        <f t="shared" si="37"/>
        <v/>
      </c>
      <c r="AI420" s="134"/>
      <c r="AJ420" s="143" t="s">
        <v>1672</v>
      </c>
      <c r="AK420" s="129">
        <v>11.805</v>
      </c>
      <c r="AL420" s="129">
        <v>11.815</v>
      </c>
      <c r="AM420" s="129">
        <v>11.839999999999998</v>
      </c>
      <c r="AN420" s="129">
        <v>11.844999999999999</v>
      </c>
      <c r="AO420" s="126" t="str">
        <f t="shared" si="38"/>
        <v/>
      </c>
      <c r="AR420" s="99" t="s">
        <v>136</v>
      </c>
    </row>
    <row r="421" spans="1:44" s="99" customFormat="1" ht="21" customHeight="1" x14ac:dyDescent="0.35">
      <c r="A421" s="99">
        <v>424</v>
      </c>
      <c r="B421" s="126" t="str">
        <f t="shared" si="34"/>
        <v>RM-304L/1D-004X770</v>
      </c>
      <c r="C421" s="126" t="s">
        <v>43</v>
      </c>
      <c r="D421" s="126" t="s">
        <v>43</v>
      </c>
      <c r="E421" s="143" t="s">
        <v>1675</v>
      </c>
      <c r="F421" s="143" t="s">
        <v>1676</v>
      </c>
      <c r="G421" s="126" t="s">
        <v>230</v>
      </c>
      <c r="H421" s="126" t="s">
        <v>139</v>
      </c>
      <c r="I421" s="127">
        <v>3.8</v>
      </c>
      <c r="J421" s="127"/>
      <c r="K421" s="127"/>
      <c r="L421" s="127"/>
      <c r="M421" s="144">
        <v>770</v>
      </c>
      <c r="N421" s="129">
        <v>10.41</v>
      </c>
      <c r="O421" s="129"/>
      <c r="P421" s="129"/>
      <c r="Q421" s="130"/>
      <c r="R421" s="131"/>
      <c r="S421" s="131"/>
      <c r="T421" s="132"/>
      <c r="U421" s="132"/>
      <c r="V421" s="132"/>
      <c r="W421" s="132"/>
      <c r="X421" s="132"/>
      <c r="Y421" s="133" t="s">
        <v>1376</v>
      </c>
      <c r="Z421" s="126" t="s">
        <v>64</v>
      </c>
      <c r="AA421" s="134" t="s">
        <v>154</v>
      </c>
      <c r="AB421" s="134" t="s">
        <v>1516</v>
      </c>
      <c r="AC421" s="134"/>
      <c r="AD421" s="134">
        <v>44554</v>
      </c>
      <c r="AE421" s="134"/>
      <c r="AF421" s="134">
        <f t="shared" ca="1" si="35"/>
        <v>44963</v>
      </c>
      <c r="AG421" s="126">
        <f t="shared" ca="1" si="36"/>
        <v>409</v>
      </c>
      <c r="AH421" s="126" t="str">
        <f t="shared" si="37"/>
        <v/>
      </c>
      <c r="AI421" s="134"/>
      <c r="AJ421" s="143" t="s">
        <v>1677</v>
      </c>
      <c r="AK421" s="129">
        <v>10.41</v>
      </c>
      <c r="AL421" s="129">
        <v>10.42</v>
      </c>
      <c r="AM421" s="129">
        <v>10.444999999999999</v>
      </c>
      <c r="AN421" s="129">
        <v>10.45</v>
      </c>
      <c r="AO421" s="126" t="str">
        <f t="shared" si="38"/>
        <v/>
      </c>
      <c r="AR421" s="99" t="s">
        <v>136</v>
      </c>
    </row>
    <row r="422" spans="1:44" s="99" customFormat="1" ht="21" customHeight="1" x14ac:dyDescent="0.35">
      <c r="A422" s="99">
        <v>424</v>
      </c>
      <c r="B422" s="126" t="str">
        <f t="shared" si="34"/>
        <v>RM-304L/1D-004X767</v>
      </c>
      <c r="C422" s="126" t="s">
        <v>43</v>
      </c>
      <c r="D422" s="126" t="s">
        <v>43</v>
      </c>
      <c r="E422" s="143" t="s">
        <v>1678</v>
      </c>
      <c r="F422" s="143" t="s">
        <v>1679</v>
      </c>
      <c r="G422" s="126" t="s">
        <v>230</v>
      </c>
      <c r="H422" s="126" t="s">
        <v>139</v>
      </c>
      <c r="I422" s="127">
        <v>3.81</v>
      </c>
      <c r="J422" s="127"/>
      <c r="K422" s="127"/>
      <c r="L422" s="127"/>
      <c r="M422" s="144">
        <v>767</v>
      </c>
      <c r="N422" s="129">
        <v>10.42</v>
      </c>
      <c r="O422" s="129"/>
      <c r="P422" s="129"/>
      <c r="Q422" s="130"/>
      <c r="R422" s="131"/>
      <c r="S422" s="131"/>
      <c r="T422" s="132"/>
      <c r="U422" s="132"/>
      <c r="V422" s="132"/>
      <c r="W422" s="132"/>
      <c r="X422" s="132"/>
      <c r="Y422" s="133" t="s">
        <v>1376</v>
      </c>
      <c r="Z422" s="126" t="s">
        <v>64</v>
      </c>
      <c r="AA422" s="134" t="s">
        <v>154</v>
      </c>
      <c r="AB422" s="134" t="s">
        <v>1516</v>
      </c>
      <c r="AC422" s="134"/>
      <c r="AD422" s="134">
        <v>44554</v>
      </c>
      <c r="AE422" s="134"/>
      <c r="AF422" s="134">
        <f t="shared" ca="1" si="35"/>
        <v>44963</v>
      </c>
      <c r="AG422" s="126">
        <f t="shared" ca="1" si="36"/>
        <v>409</v>
      </c>
      <c r="AH422" s="126" t="str">
        <f t="shared" si="37"/>
        <v/>
      </c>
      <c r="AI422" s="134"/>
      <c r="AJ422" s="143" t="s">
        <v>1677</v>
      </c>
      <c r="AK422" s="129">
        <v>10.42</v>
      </c>
      <c r="AL422" s="129">
        <v>10.43</v>
      </c>
      <c r="AM422" s="129">
        <v>10.454999999999998</v>
      </c>
      <c r="AN422" s="129">
        <v>10.459999999999999</v>
      </c>
      <c r="AO422" s="126" t="str">
        <f t="shared" si="38"/>
        <v/>
      </c>
      <c r="AR422" s="99" t="s">
        <v>136</v>
      </c>
    </row>
    <row r="423" spans="1:44" s="99" customFormat="1" ht="21" customHeight="1" x14ac:dyDescent="0.35">
      <c r="A423" s="99">
        <v>424</v>
      </c>
      <c r="B423" s="126" t="str">
        <f t="shared" si="34"/>
        <v>RM-304L/1D-004X770</v>
      </c>
      <c r="C423" s="126" t="s">
        <v>43</v>
      </c>
      <c r="D423" s="126" t="s">
        <v>43</v>
      </c>
      <c r="E423" s="143" t="s">
        <v>1680</v>
      </c>
      <c r="F423" s="143" t="s">
        <v>1681</v>
      </c>
      <c r="G423" s="126" t="s">
        <v>230</v>
      </c>
      <c r="H423" s="126" t="s">
        <v>139</v>
      </c>
      <c r="I423" s="127">
        <v>3.76</v>
      </c>
      <c r="J423" s="127"/>
      <c r="K423" s="127"/>
      <c r="L423" s="127"/>
      <c r="M423" s="144">
        <v>770</v>
      </c>
      <c r="N423" s="129">
        <v>10.3</v>
      </c>
      <c r="O423" s="129"/>
      <c r="P423" s="129"/>
      <c r="Q423" s="130"/>
      <c r="R423" s="131"/>
      <c r="S423" s="131"/>
      <c r="T423" s="132"/>
      <c r="U423" s="132"/>
      <c r="V423" s="132"/>
      <c r="W423" s="132"/>
      <c r="X423" s="132"/>
      <c r="Y423" s="133" t="s">
        <v>1376</v>
      </c>
      <c r="Z423" s="126" t="s">
        <v>64</v>
      </c>
      <c r="AA423" s="134" t="s">
        <v>154</v>
      </c>
      <c r="AB423" s="134" t="s">
        <v>1516</v>
      </c>
      <c r="AC423" s="134"/>
      <c r="AD423" s="134">
        <v>44554</v>
      </c>
      <c r="AE423" s="134"/>
      <c r="AF423" s="134">
        <f t="shared" ca="1" si="35"/>
        <v>44963</v>
      </c>
      <c r="AG423" s="126">
        <f t="shared" ca="1" si="36"/>
        <v>409</v>
      </c>
      <c r="AH423" s="126" t="str">
        <f t="shared" si="37"/>
        <v/>
      </c>
      <c r="AI423" s="134"/>
      <c r="AJ423" s="143" t="s">
        <v>1682</v>
      </c>
      <c r="AK423" s="129">
        <v>10.3</v>
      </c>
      <c r="AL423" s="129">
        <v>10.31</v>
      </c>
      <c r="AM423" s="129">
        <v>10.334999999999999</v>
      </c>
      <c r="AN423" s="129">
        <v>10.34</v>
      </c>
      <c r="AO423" s="126" t="str">
        <f t="shared" si="38"/>
        <v/>
      </c>
      <c r="AR423" s="99" t="s">
        <v>136</v>
      </c>
    </row>
    <row r="424" spans="1:44" s="99" customFormat="1" ht="21" customHeight="1" x14ac:dyDescent="0.35">
      <c r="A424" s="99">
        <v>424</v>
      </c>
      <c r="B424" s="126" t="str">
        <f t="shared" si="34"/>
        <v>RM-304L/1D-004X771</v>
      </c>
      <c r="C424" s="126" t="s">
        <v>43</v>
      </c>
      <c r="D424" s="126" t="s">
        <v>43</v>
      </c>
      <c r="E424" s="143" t="s">
        <v>1683</v>
      </c>
      <c r="F424" s="143" t="s">
        <v>1684</v>
      </c>
      <c r="G424" s="126" t="s">
        <v>230</v>
      </c>
      <c r="H424" s="126" t="s">
        <v>139</v>
      </c>
      <c r="I424" s="127">
        <v>3.76</v>
      </c>
      <c r="J424" s="127"/>
      <c r="K424" s="127"/>
      <c r="L424" s="127"/>
      <c r="M424" s="144">
        <v>771</v>
      </c>
      <c r="N424" s="129">
        <v>10.3</v>
      </c>
      <c r="O424" s="129"/>
      <c r="P424" s="129"/>
      <c r="Q424" s="130"/>
      <c r="R424" s="131"/>
      <c r="S424" s="131"/>
      <c r="T424" s="132"/>
      <c r="U424" s="132"/>
      <c r="V424" s="132"/>
      <c r="W424" s="132"/>
      <c r="X424" s="132"/>
      <c r="Y424" s="133" t="s">
        <v>1376</v>
      </c>
      <c r="Z424" s="126" t="s">
        <v>64</v>
      </c>
      <c r="AA424" s="134" t="s">
        <v>154</v>
      </c>
      <c r="AB424" s="134" t="s">
        <v>1516</v>
      </c>
      <c r="AC424" s="134"/>
      <c r="AD424" s="134">
        <v>44554</v>
      </c>
      <c r="AE424" s="134"/>
      <c r="AF424" s="134">
        <f t="shared" ca="1" si="35"/>
        <v>44963</v>
      </c>
      <c r="AG424" s="126">
        <f t="shared" ca="1" si="36"/>
        <v>409</v>
      </c>
      <c r="AH424" s="126" t="str">
        <f t="shared" si="37"/>
        <v/>
      </c>
      <c r="AI424" s="134"/>
      <c r="AJ424" s="143" t="s">
        <v>1682</v>
      </c>
      <c r="AK424" s="129">
        <v>10.3</v>
      </c>
      <c r="AL424" s="129">
        <v>10.31</v>
      </c>
      <c r="AM424" s="129">
        <v>10.334999999999999</v>
      </c>
      <c r="AN424" s="129">
        <v>10.34</v>
      </c>
      <c r="AO424" s="126" t="str">
        <f t="shared" si="38"/>
        <v/>
      </c>
      <c r="AR424" s="99" t="s">
        <v>136</v>
      </c>
    </row>
    <row r="425" spans="1:44" s="99" customFormat="1" ht="21" customHeight="1" x14ac:dyDescent="0.35">
      <c r="A425" s="99">
        <v>424</v>
      </c>
      <c r="B425" s="126" t="str">
        <f t="shared" si="34"/>
        <v>RM-304/1D-004X770</v>
      </c>
      <c r="C425" s="126" t="s">
        <v>43</v>
      </c>
      <c r="D425" s="126" t="s">
        <v>43</v>
      </c>
      <c r="E425" s="143" t="s">
        <v>1685</v>
      </c>
      <c r="F425" s="143" t="s">
        <v>1686</v>
      </c>
      <c r="G425" s="126">
        <v>304</v>
      </c>
      <c r="H425" s="126" t="s">
        <v>139</v>
      </c>
      <c r="I425" s="127">
        <v>3.88</v>
      </c>
      <c r="J425" s="127"/>
      <c r="K425" s="127"/>
      <c r="L425" s="127"/>
      <c r="M425" s="144">
        <v>770</v>
      </c>
      <c r="N425" s="129">
        <v>10.31</v>
      </c>
      <c r="O425" s="129"/>
      <c r="P425" s="129"/>
      <c r="Q425" s="130"/>
      <c r="R425" s="131"/>
      <c r="S425" s="131"/>
      <c r="T425" s="132"/>
      <c r="U425" s="132"/>
      <c r="V425" s="132"/>
      <c r="W425" s="132"/>
      <c r="X425" s="132"/>
      <c r="Y425" s="133" t="s">
        <v>1376</v>
      </c>
      <c r="Z425" s="126" t="s">
        <v>64</v>
      </c>
      <c r="AA425" s="134" t="s">
        <v>154</v>
      </c>
      <c r="AB425" s="134" t="s">
        <v>1516</v>
      </c>
      <c r="AC425" s="134"/>
      <c r="AD425" s="134">
        <v>44554</v>
      </c>
      <c r="AE425" s="134"/>
      <c r="AF425" s="134">
        <f t="shared" ca="1" si="35"/>
        <v>44963</v>
      </c>
      <c r="AG425" s="126">
        <f t="shared" ca="1" si="36"/>
        <v>409</v>
      </c>
      <c r="AH425" s="126" t="str">
        <f t="shared" si="37"/>
        <v/>
      </c>
      <c r="AI425" s="134"/>
      <c r="AJ425" s="143" t="s">
        <v>1687</v>
      </c>
      <c r="AK425" s="129">
        <v>10.31</v>
      </c>
      <c r="AL425" s="129">
        <v>10.32</v>
      </c>
      <c r="AM425" s="129">
        <v>10.344999999999999</v>
      </c>
      <c r="AN425" s="129">
        <v>10.35</v>
      </c>
      <c r="AO425" s="126" t="str">
        <f t="shared" si="38"/>
        <v/>
      </c>
      <c r="AR425" s="99" t="s">
        <v>136</v>
      </c>
    </row>
    <row r="426" spans="1:44" s="99" customFormat="1" ht="21" customHeight="1" x14ac:dyDescent="0.35">
      <c r="A426" s="99">
        <v>424</v>
      </c>
      <c r="B426" s="126" t="str">
        <f t="shared" si="34"/>
        <v>RM-304/1D-004X771</v>
      </c>
      <c r="C426" s="126" t="s">
        <v>43</v>
      </c>
      <c r="D426" s="126" t="s">
        <v>43</v>
      </c>
      <c r="E426" s="143" t="s">
        <v>1688</v>
      </c>
      <c r="F426" s="143" t="s">
        <v>1689</v>
      </c>
      <c r="G426" s="126">
        <v>304</v>
      </c>
      <c r="H426" s="126" t="s">
        <v>139</v>
      </c>
      <c r="I426" s="127">
        <v>3.88</v>
      </c>
      <c r="J426" s="127"/>
      <c r="K426" s="127"/>
      <c r="L426" s="127"/>
      <c r="M426" s="144">
        <v>771</v>
      </c>
      <c r="N426" s="129">
        <v>10.33</v>
      </c>
      <c r="O426" s="129"/>
      <c r="P426" s="129"/>
      <c r="Q426" s="130"/>
      <c r="R426" s="131"/>
      <c r="S426" s="131"/>
      <c r="T426" s="132"/>
      <c r="U426" s="132"/>
      <c r="V426" s="132"/>
      <c r="W426" s="132"/>
      <c r="X426" s="132"/>
      <c r="Y426" s="133" t="s">
        <v>1376</v>
      </c>
      <c r="Z426" s="126" t="s">
        <v>64</v>
      </c>
      <c r="AA426" s="134" t="s">
        <v>154</v>
      </c>
      <c r="AB426" s="134" t="s">
        <v>1516</v>
      </c>
      <c r="AC426" s="134"/>
      <c r="AD426" s="134">
        <v>44554</v>
      </c>
      <c r="AE426" s="134"/>
      <c r="AF426" s="134">
        <f t="shared" ca="1" si="35"/>
        <v>44963</v>
      </c>
      <c r="AG426" s="126">
        <f t="shared" ca="1" si="36"/>
        <v>409</v>
      </c>
      <c r="AH426" s="126" t="str">
        <f t="shared" si="37"/>
        <v/>
      </c>
      <c r="AI426" s="134"/>
      <c r="AJ426" s="143" t="s">
        <v>1687</v>
      </c>
      <c r="AK426" s="129">
        <v>10.33</v>
      </c>
      <c r="AL426" s="129">
        <v>10.34</v>
      </c>
      <c r="AM426" s="129">
        <v>10.364999999999998</v>
      </c>
      <c r="AN426" s="129">
        <v>10.37</v>
      </c>
      <c r="AO426" s="126" t="str">
        <f t="shared" si="38"/>
        <v/>
      </c>
      <c r="AR426" s="99" t="s">
        <v>136</v>
      </c>
    </row>
    <row r="427" spans="1:44" s="99" customFormat="1" ht="21" customHeight="1" x14ac:dyDescent="0.35">
      <c r="A427" s="99">
        <v>424</v>
      </c>
      <c r="B427" s="126" t="str">
        <f t="shared" si="34"/>
        <v>RM-304/1D-004X770</v>
      </c>
      <c r="C427" s="126" t="s">
        <v>43</v>
      </c>
      <c r="D427" s="126" t="s">
        <v>43</v>
      </c>
      <c r="E427" s="143" t="s">
        <v>1690</v>
      </c>
      <c r="F427" s="143" t="s">
        <v>1691</v>
      </c>
      <c r="G427" s="126">
        <v>304</v>
      </c>
      <c r="H427" s="126" t="s">
        <v>139</v>
      </c>
      <c r="I427" s="127">
        <v>3.89</v>
      </c>
      <c r="J427" s="127"/>
      <c r="K427" s="127"/>
      <c r="L427" s="127"/>
      <c r="M427" s="144">
        <v>770</v>
      </c>
      <c r="N427" s="129">
        <v>10.295</v>
      </c>
      <c r="O427" s="129"/>
      <c r="P427" s="129"/>
      <c r="Q427" s="130"/>
      <c r="R427" s="131"/>
      <c r="S427" s="131"/>
      <c r="T427" s="132"/>
      <c r="U427" s="132"/>
      <c r="V427" s="132"/>
      <c r="W427" s="132"/>
      <c r="X427" s="132"/>
      <c r="Y427" s="133" t="s">
        <v>1376</v>
      </c>
      <c r="Z427" s="126" t="s">
        <v>64</v>
      </c>
      <c r="AA427" s="134" t="s">
        <v>154</v>
      </c>
      <c r="AB427" s="134" t="s">
        <v>1516</v>
      </c>
      <c r="AC427" s="134"/>
      <c r="AD427" s="134">
        <v>44554</v>
      </c>
      <c r="AE427" s="134"/>
      <c r="AF427" s="134">
        <f t="shared" ca="1" si="35"/>
        <v>44963</v>
      </c>
      <c r="AG427" s="126">
        <f t="shared" ca="1" si="36"/>
        <v>409</v>
      </c>
      <c r="AH427" s="126" t="str">
        <f t="shared" si="37"/>
        <v/>
      </c>
      <c r="AI427" s="134"/>
      <c r="AJ427" s="143" t="s">
        <v>1692</v>
      </c>
      <c r="AK427" s="129">
        <v>10.295</v>
      </c>
      <c r="AL427" s="129">
        <v>10.305</v>
      </c>
      <c r="AM427" s="129">
        <v>10.329999999999998</v>
      </c>
      <c r="AN427" s="129">
        <v>10.334999999999999</v>
      </c>
      <c r="AO427" s="126" t="str">
        <f t="shared" si="38"/>
        <v/>
      </c>
      <c r="AR427" s="99" t="s">
        <v>136</v>
      </c>
    </row>
    <row r="428" spans="1:44" s="99" customFormat="1" ht="21" customHeight="1" x14ac:dyDescent="0.35">
      <c r="A428" s="99">
        <v>424</v>
      </c>
      <c r="B428" s="126" t="str">
        <f t="shared" si="34"/>
        <v>RM-304/1D-004X772</v>
      </c>
      <c r="C428" s="126" t="s">
        <v>43</v>
      </c>
      <c r="D428" s="126" t="s">
        <v>43</v>
      </c>
      <c r="E428" s="143" t="s">
        <v>1693</v>
      </c>
      <c r="F428" s="143" t="s">
        <v>1694</v>
      </c>
      <c r="G428" s="126">
        <v>304</v>
      </c>
      <c r="H428" s="126" t="s">
        <v>139</v>
      </c>
      <c r="I428" s="127">
        <v>3.89</v>
      </c>
      <c r="J428" s="127"/>
      <c r="K428" s="127"/>
      <c r="L428" s="127"/>
      <c r="M428" s="144">
        <v>772</v>
      </c>
      <c r="N428" s="129">
        <v>10.32</v>
      </c>
      <c r="O428" s="129"/>
      <c r="P428" s="129"/>
      <c r="Q428" s="130"/>
      <c r="R428" s="131"/>
      <c r="S428" s="131"/>
      <c r="T428" s="132"/>
      <c r="U428" s="132"/>
      <c r="V428" s="132"/>
      <c r="W428" s="132"/>
      <c r="X428" s="132"/>
      <c r="Y428" s="133" t="s">
        <v>1376</v>
      </c>
      <c r="Z428" s="126" t="s">
        <v>64</v>
      </c>
      <c r="AA428" s="134" t="s">
        <v>154</v>
      </c>
      <c r="AB428" s="134" t="s">
        <v>1516</v>
      </c>
      <c r="AC428" s="134"/>
      <c r="AD428" s="134">
        <v>44554</v>
      </c>
      <c r="AE428" s="134"/>
      <c r="AF428" s="134">
        <f t="shared" ca="1" si="35"/>
        <v>44963</v>
      </c>
      <c r="AG428" s="126">
        <f t="shared" ca="1" si="36"/>
        <v>409</v>
      </c>
      <c r="AH428" s="126" t="str">
        <f t="shared" si="37"/>
        <v/>
      </c>
      <c r="AI428" s="134"/>
      <c r="AJ428" s="143" t="s">
        <v>1692</v>
      </c>
      <c r="AK428" s="129">
        <v>10.32</v>
      </c>
      <c r="AL428" s="129">
        <v>10.33</v>
      </c>
      <c r="AM428" s="129">
        <v>10.354999999999999</v>
      </c>
      <c r="AN428" s="129">
        <v>10.36</v>
      </c>
      <c r="AO428" s="126" t="str">
        <f t="shared" si="38"/>
        <v/>
      </c>
      <c r="AR428" s="99" t="s">
        <v>136</v>
      </c>
    </row>
    <row r="429" spans="1:44" s="99" customFormat="1" ht="21" customHeight="1" x14ac:dyDescent="0.35">
      <c r="A429" s="99">
        <v>424</v>
      </c>
      <c r="B429" s="126" t="str">
        <f t="shared" si="34"/>
        <v>RM-304/1D-004X770</v>
      </c>
      <c r="C429" s="126" t="s">
        <v>43</v>
      </c>
      <c r="D429" s="126" t="s">
        <v>43</v>
      </c>
      <c r="E429" s="143" t="s">
        <v>1695</v>
      </c>
      <c r="F429" s="143" t="s">
        <v>1696</v>
      </c>
      <c r="G429" s="126">
        <v>304</v>
      </c>
      <c r="H429" s="126" t="s">
        <v>139</v>
      </c>
      <c r="I429" s="127">
        <v>3.88</v>
      </c>
      <c r="J429" s="127"/>
      <c r="K429" s="127"/>
      <c r="L429" s="127"/>
      <c r="M429" s="144">
        <v>770</v>
      </c>
      <c r="N429" s="129">
        <v>10.44</v>
      </c>
      <c r="O429" s="129"/>
      <c r="P429" s="129"/>
      <c r="Q429" s="130"/>
      <c r="R429" s="131"/>
      <c r="S429" s="131"/>
      <c r="T429" s="132"/>
      <c r="U429" s="132"/>
      <c r="V429" s="132"/>
      <c r="W429" s="132"/>
      <c r="X429" s="132"/>
      <c r="Y429" s="133" t="s">
        <v>1376</v>
      </c>
      <c r="Z429" s="126" t="s">
        <v>64</v>
      </c>
      <c r="AA429" s="134" t="s">
        <v>154</v>
      </c>
      <c r="AB429" s="134" t="s">
        <v>1516</v>
      </c>
      <c r="AC429" s="134"/>
      <c r="AD429" s="134">
        <v>44554</v>
      </c>
      <c r="AE429" s="134"/>
      <c r="AF429" s="134">
        <f t="shared" ca="1" si="35"/>
        <v>44963</v>
      </c>
      <c r="AG429" s="126">
        <f t="shared" ca="1" si="36"/>
        <v>409</v>
      </c>
      <c r="AH429" s="126" t="str">
        <f t="shared" si="37"/>
        <v/>
      </c>
      <c r="AI429" s="134"/>
      <c r="AJ429" s="143" t="s">
        <v>1697</v>
      </c>
      <c r="AK429" s="129">
        <v>10.44</v>
      </c>
      <c r="AL429" s="129">
        <v>10.45</v>
      </c>
      <c r="AM429" s="129">
        <v>10.474999999999998</v>
      </c>
      <c r="AN429" s="129">
        <v>10.479999999999999</v>
      </c>
      <c r="AO429" s="126" t="str">
        <f t="shared" si="38"/>
        <v/>
      </c>
      <c r="AR429" s="99" t="s">
        <v>136</v>
      </c>
    </row>
    <row r="430" spans="1:44" s="99" customFormat="1" ht="21" customHeight="1" x14ac:dyDescent="0.35">
      <c r="A430" s="99">
        <v>424</v>
      </c>
      <c r="B430" s="126" t="str">
        <f t="shared" si="34"/>
        <v>RM-304/1D-004X770</v>
      </c>
      <c r="C430" s="126" t="s">
        <v>43</v>
      </c>
      <c r="D430" s="126" t="s">
        <v>43</v>
      </c>
      <c r="E430" s="143" t="s">
        <v>1698</v>
      </c>
      <c r="F430" s="143" t="s">
        <v>1699</v>
      </c>
      <c r="G430" s="126">
        <v>304</v>
      </c>
      <c r="H430" s="126" t="s">
        <v>139</v>
      </c>
      <c r="I430" s="127">
        <v>3.9</v>
      </c>
      <c r="J430" s="127"/>
      <c r="K430" s="127"/>
      <c r="L430" s="127"/>
      <c r="M430" s="144">
        <v>770</v>
      </c>
      <c r="N430" s="129">
        <v>10.205</v>
      </c>
      <c r="O430" s="129"/>
      <c r="P430" s="129"/>
      <c r="Q430" s="130"/>
      <c r="R430" s="131"/>
      <c r="S430" s="131"/>
      <c r="T430" s="132"/>
      <c r="U430" s="132"/>
      <c r="V430" s="132"/>
      <c r="W430" s="132"/>
      <c r="X430" s="132"/>
      <c r="Y430" s="133" t="s">
        <v>1376</v>
      </c>
      <c r="Z430" s="126" t="s">
        <v>64</v>
      </c>
      <c r="AA430" s="134" t="s">
        <v>154</v>
      </c>
      <c r="AB430" s="134" t="s">
        <v>1516</v>
      </c>
      <c r="AC430" s="134"/>
      <c r="AD430" s="134">
        <v>44554</v>
      </c>
      <c r="AE430" s="134"/>
      <c r="AF430" s="134">
        <f t="shared" ca="1" si="35"/>
        <v>44963</v>
      </c>
      <c r="AG430" s="126">
        <f t="shared" ca="1" si="36"/>
        <v>409</v>
      </c>
      <c r="AH430" s="126" t="str">
        <f t="shared" si="37"/>
        <v/>
      </c>
      <c r="AI430" s="134"/>
      <c r="AJ430" s="143" t="s">
        <v>1700</v>
      </c>
      <c r="AK430" s="129">
        <v>10.205</v>
      </c>
      <c r="AL430" s="129">
        <v>10.215</v>
      </c>
      <c r="AM430" s="129">
        <v>10.239999999999998</v>
      </c>
      <c r="AN430" s="129">
        <v>10.244999999999999</v>
      </c>
      <c r="AO430" s="126" t="str">
        <f t="shared" si="38"/>
        <v/>
      </c>
      <c r="AR430" s="99" t="s">
        <v>136</v>
      </c>
    </row>
    <row r="431" spans="1:44" s="99" customFormat="1" ht="21" customHeight="1" x14ac:dyDescent="0.35">
      <c r="A431" s="99">
        <v>424</v>
      </c>
      <c r="B431" s="126" t="str">
        <f t="shared" si="34"/>
        <v>RM-304/1D-004X770</v>
      </c>
      <c r="C431" s="126" t="s">
        <v>43</v>
      </c>
      <c r="D431" s="126" t="s">
        <v>43</v>
      </c>
      <c r="E431" s="143" t="s">
        <v>1701</v>
      </c>
      <c r="F431" s="143" t="s">
        <v>1702</v>
      </c>
      <c r="G431" s="126">
        <v>304</v>
      </c>
      <c r="H431" s="126" t="s">
        <v>139</v>
      </c>
      <c r="I431" s="127">
        <v>3.78</v>
      </c>
      <c r="J431" s="127"/>
      <c r="K431" s="127"/>
      <c r="L431" s="127"/>
      <c r="M431" s="144">
        <v>770</v>
      </c>
      <c r="N431" s="129">
        <v>11.89</v>
      </c>
      <c r="O431" s="129"/>
      <c r="P431" s="129"/>
      <c r="Q431" s="130"/>
      <c r="R431" s="131"/>
      <c r="S431" s="131"/>
      <c r="T431" s="132"/>
      <c r="U431" s="132"/>
      <c r="V431" s="132"/>
      <c r="W431" s="132"/>
      <c r="X431" s="132"/>
      <c r="Y431" s="133" t="s">
        <v>1376</v>
      </c>
      <c r="Z431" s="126" t="s">
        <v>64</v>
      </c>
      <c r="AA431" s="134" t="s">
        <v>154</v>
      </c>
      <c r="AB431" s="134" t="s">
        <v>1516</v>
      </c>
      <c r="AC431" s="134"/>
      <c r="AD431" s="134">
        <v>44554</v>
      </c>
      <c r="AE431" s="134"/>
      <c r="AF431" s="134">
        <f t="shared" ca="1" si="35"/>
        <v>44963</v>
      </c>
      <c r="AG431" s="126">
        <f t="shared" ca="1" si="36"/>
        <v>409</v>
      </c>
      <c r="AH431" s="126" t="str">
        <f t="shared" si="37"/>
        <v/>
      </c>
      <c r="AI431" s="134"/>
      <c r="AJ431" s="143" t="s">
        <v>1703</v>
      </c>
      <c r="AK431" s="129">
        <v>11.89</v>
      </c>
      <c r="AL431" s="129">
        <v>11.9</v>
      </c>
      <c r="AM431" s="129">
        <v>11.924999999999999</v>
      </c>
      <c r="AN431" s="129">
        <v>11.93</v>
      </c>
      <c r="AO431" s="126" t="str">
        <f t="shared" si="38"/>
        <v/>
      </c>
      <c r="AR431" s="99" t="s">
        <v>136</v>
      </c>
    </row>
    <row r="432" spans="1:44" s="99" customFormat="1" ht="21" customHeight="1" x14ac:dyDescent="0.35">
      <c r="A432" s="99">
        <v>424</v>
      </c>
      <c r="B432" s="126" t="str">
        <f t="shared" si="34"/>
        <v>WIP-304/2B-001X771</v>
      </c>
      <c r="C432" s="126" t="s">
        <v>14</v>
      </c>
      <c r="D432" s="126" t="s">
        <v>358</v>
      </c>
      <c r="E432" s="143" t="s">
        <v>1704</v>
      </c>
      <c r="F432" s="143" t="s">
        <v>1705</v>
      </c>
      <c r="G432" s="126">
        <v>304</v>
      </c>
      <c r="H432" s="126" t="s">
        <v>116</v>
      </c>
      <c r="I432" s="127">
        <v>3.78</v>
      </c>
      <c r="J432" s="127">
        <v>1.1000000000000001</v>
      </c>
      <c r="K432" s="127">
        <v>1.1000000000000001</v>
      </c>
      <c r="L432" s="127">
        <v>1.1100000000000001</v>
      </c>
      <c r="M432" s="144">
        <v>771</v>
      </c>
      <c r="N432" s="129">
        <v>11.914999999999999</v>
      </c>
      <c r="O432" s="129" t="s">
        <v>116</v>
      </c>
      <c r="P432" s="129"/>
      <c r="Q432" s="130" t="s">
        <v>412</v>
      </c>
      <c r="R432" s="131"/>
      <c r="S432" s="131"/>
      <c r="T432" s="132">
        <v>44619</v>
      </c>
      <c r="U432" s="132">
        <v>44619</v>
      </c>
      <c r="V432" s="132">
        <v>44620</v>
      </c>
      <c r="W432" s="132"/>
      <c r="X432" s="132"/>
      <c r="Y432" s="133" t="s">
        <v>1395</v>
      </c>
      <c r="Z432" s="126" t="s">
        <v>64</v>
      </c>
      <c r="AA432" s="134" t="s">
        <v>154</v>
      </c>
      <c r="AB432" s="134" t="s">
        <v>1516</v>
      </c>
      <c r="AC432" s="134"/>
      <c r="AD432" s="134">
        <v>44554</v>
      </c>
      <c r="AE432" s="134"/>
      <c r="AF432" s="134">
        <f t="shared" ca="1" si="35"/>
        <v>44963</v>
      </c>
      <c r="AG432" s="126">
        <f t="shared" ca="1" si="36"/>
        <v>409</v>
      </c>
      <c r="AH432" s="126">
        <f t="shared" ca="1" si="37"/>
        <v>343</v>
      </c>
      <c r="AI432" s="134"/>
      <c r="AJ432" s="143" t="s">
        <v>1703</v>
      </c>
      <c r="AK432" s="129">
        <v>11.92</v>
      </c>
      <c r="AL432" s="129">
        <v>11.93</v>
      </c>
      <c r="AM432" s="129">
        <v>11.954999999999998</v>
      </c>
      <c r="AN432" s="129">
        <v>11.959999999999999</v>
      </c>
      <c r="AO432" s="126">
        <f t="shared" ca="1" si="38"/>
        <v>344</v>
      </c>
      <c r="AR432" s="99" t="s">
        <v>136</v>
      </c>
    </row>
    <row r="433" spans="1:44" s="99" customFormat="1" ht="21" customHeight="1" x14ac:dyDescent="0.35">
      <c r="A433" s="99">
        <v>424</v>
      </c>
      <c r="B433" s="126" t="str">
        <f t="shared" si="34"/>
        <v>RM-304L/1D-003X770</v>
      </c>
      <c r="C433" s="126" t="s">
        <v>43</v>
      </c>
      <c r="D433" s="126" t="s">
        <v>43</v>
      </c>
      <c r="E433" s="143" t="s">
        <v>1706</v>
      </c>
      <c r="F433" s="143" t="s">
        <v>1707</v>
      </c>
      <c r="G433" s="126" t="s">
        <v>230</v>
      </c>
      <c r="H433" s="126" t="s">
        <v>139</v>
      </c>
      <c r="I433" s="127">
        <v>3.42</v>
      </c>
      <c r="J433" s="127"/>
      <c r="K433" s="127"/>
      <c r="L433" s="127"/>
      <c r="M433" s="144">
        <v>770</v>
      </c>
      <c r="N433" s="129">
        <v>10.52</v>
      </c>
      <c r="O433" s="129"/>
      <c r="P433" s="129"/>
      <c r="Q433" s="130"/>
      <c r="R433" s="131"/>
      <c r="S433" s="131"/>
      <c r="T433" s="132"/>
      <c r="U433" s="132"/>
      <c r="V433" s="132"/>
      <c r="W433" s="132"/>
      <c r="X433" s="132"/>
      <c r="Y433" s="133" t="s">
        <v>1376</v>
      </c>
      <c r="Z433" s="126" t="s">
        <v>64</v>
      </c>
      <c r="AA433" s="134" t="s">
        <v>154</v>
      </c>
      <c r="AB433" s="134" t="s">
        <v>1516</v>
      </c>
      <c r="AC433" s="134"/>
      <c r="AD433" s="134">
        <v>44554</v>
      </c>
      <c r="AE433" s="134"/>
      <c r="AF433" s="134">
        <f t="shared" ca="1" si="35"/>
        <v>44963</v>
      </c>
      <c r="AG433" s="126">
        <f t="shared" ca="1" si="36"/>
        <v>409</v>
      </c>
      <c r="AH433" s="126" t="str">
        <f t="shared" si="37"/>
        <v/>
      </c>
      <c r="AI433" s="134"/>
      <c r="AJ433" s="143" t="s">
        <v>1708</v>
      </c>
      <c r="AK433" s="129">
        <v>10.52</v>
      </c>
      <c r="AL433" s="129">
        <v>10.53</v>
      </c>
      <c r="AM433" s="129">
        <v>10.554999999999998</v>
      </c>
      <c r="AN433" s="129">
        <v>10.559999999999999</v>
      </c>
      <c r="AO433" s="126" t="str">
        <f t="shared" si="38"/>
        <v/>
      </c>
      <c r="AR433" s="99" t="s">
        <v>136</v>
      </c>
    </row>
    <row r="434" spans="1:44" s="99" customFormat="1" ht="21" customHeight="1" x14ac:dyDescent="0.35">
      <c r="A434" s="99">
        <v>424</v>
      </c>
      <c r="B434" s="126" t="str">
        <f t="shared" si="34"/>
        <v>RM-304L/1D-003X772</v>
      </c>
      <c r="C434" s="126" t="s">
        <v>43</v>
      </c>
      <c r="D434" s="126" t="s">
        <v>43</v>
      </c>
      <c r="E434" s="143" t="s">
        <v>1709</v>
      </c>
      <c r="F434" s="143" t="s">
        <v>1710</v>
      </c>
      <c r="G434" s="126" t="s">
        <v>230</v>
      </c>
      <c r="H434" s="126" t="s">
        <v>139</v>
      </c>
      <c r="I434" s="127">
        <v>3.43</v>
      </c>
      <c r="J434" s="127"/>
      <c r="K434" s="127"/>
      <c r="L434" s="127"/>
      <c r="M434" s="144">
        <v>772</v>
      </c>
      <c r="N434" s="129">
        <v>10.545</v>
      </c>
      <c r="O434" s="129"/>
      <c r="P434" s="129"/>
      <c r="Q434" s="130"/>
      <c r="R434" s="131"/>
      <c r="S434" s="131"/>
      <c r="T434" s="132"/>
      <c r="U434" s="132"/>
      <c r="V434" s="132"/>
      <c r="W434" s="132"/>
      <c r="X434" s="132"/>
      <c r="Y434" s="133" t="s">
        <v>1376</v>
      </c>
      <c r="Z434" s="126" t="s">
        <v>64</v>
      </c>
      <c r="AA434" s="134" t="s">
        <v>154</v>
      </c>
      <c r="AB434" s="134" t="s">
        <v>1516</v>
      </c>
      <c r="AC434" s="134"/>
      <c r="AD434" s="134">
        <v>44554</v>
      </c>
      <c r="AE434" s="134"/>
      <c r="AF434" s="134">
        <f t="shared" ca="1" si="35"/>
        <v>44963</v>
      </c>
      <c r="AG434" s="126">
        <f t="shared" ca="1" si="36"/>
        <v>409</v>
      </c>
      <c r="AH434" s="126" t="str">
        <f t="shared" si="37"/>
        <v/>
      </c>
      <c r="AI434" s="134"/>
      <c r="AJ434" s="143" t="s">
        <v>1708</v>
      </c>
      <c r="AK434" s="129">
        <v>10.545</v>
      </c>
      <c r="AL434" s="129">
        <v>10.555</v>
      </c>
      <c r="AM434" s="129">
        <v>10.579999999999998</v>
      </c>
      <c r="AN434" s="129">
        <v>10.584999999999999</v>
      </c>
      <c r="AO434" s="126" t="str">
        <f t="shared" si="38"/>
        <v/>
      </c>
      <c r="AR434" s="99" t="s">
        <v>136</v>
      </c>
    </row>
    <row r="435" spans="1:44" s="99" customFormat="1" ht="21" customHeight="1" x14ac:dyDescent="0.35">
      <c r="A435" s="99">
        <v>424</v>
      </c>
      <c r="B435" s="126" t="str">
        <f t="shared" si="34"/>
        <v>RM-304L/1D-003X770</v>
      </c>
      <c r="C435" s="126" t="s">
        <v>43</v>
      </c>
      <c r="D435" s="126" t="s">
        <v>43</v>
      </c>
      <c r="E435" s="143" t="s">
        <v>1711</v>
      </c>
      <c r="F435" s="143" t="s">
        <v>1712</v>
      </c>
      <c r="G435" s="126" t="s">
        <v>230</v>
      </c>
      <c r="H435" s="126" t="s">
        <v>139</v>
      </c>
      <c r="I435" s="127">
        <v>3.44</v>
      </c>
      <c r="J435" s="127"/>
      <c r="K435" s="127"/>
      <c r="L435" s="127"/>
      <c r="M435" s="144">
        <v>770</v>
      </c>
      <c r="N435" s="129">
        <v>10.44</v>
      </c>
      <c r="O435" s="129"/>
      <c r="P435" s="129"/>
      <c r="Q435" s="130"/>
      <c r="R435" s="131"/>
      <c r="S435" s="131"/>
      <c r="T435" s="132"/>
      <c r="U435" s="132"/>
      <c r="V435" s="132"/>
      <c r="W435" s="132"/>
      <c r="X435" s="132"/>
      <c r="Y435" s="133" t="s">
        <v>1376</v>
      </c>
      <c r="Z435" s="126" t="s">
        <v>64</v>
      </c>
      <c r="AA435" s="134" t="s">
        <v>154</v>
      </c>
      <c r="AB435" s="134" t="s">
        <v>1516</v>
      </c>
      <c r="AC435" s="134"/>
      <c r="AD435" s="134">
        <v>44554</v>
      </c>
      <c r="AE435" s="134"/>
      <c r="AF435" s="134">
        <f t="shared" ca="1" si="35"/>
        <v>44963</v>
      </c>
      <c r="AG435" s="126">
        <f t="shared" ca="1" si="36"/>
        <v>409</v>
      </c>
      <c r="AH435" s="126" t="str">
        <f t="shared" si="37"/>
        <v/>
      </c>
      <c r="AI435" s="134"/>
      <c r="AJ435" s="143" t="s">
        <v>1713</v>
      </c>
      <c r="AK435" s="129">
        <v>10.44</v>
      </c>
      <c r="AL435" s="129">
        <v>10.45</v>
      </c>
      <c r="AM435" s="129">
        <v>10.474999999999998</v>
      </c>
      <c r="AN435" s="129">
        <v>10.479999999999999</v>
      </c>
      <c r="AO435" s="126" t="str">
        <f t="shared" si="38"/>
        <v/>
      </c>
      <c r="AR435" s="99" t="s">
        <v>136</v>
      </c>
    </row>
    <row r="436" spans="1:44" s="99" customFormat="1" ht="21" customHeight="1" x14ac:dyDescent="0.35">
      <c r="A436" s="99">
        <v>424</v>
      </c>
      <c r="B436" s="126" t="str">
        <f t="shared" si="34"/>
        <v>RM-304L/1D-003X771</v>
      </c>
      <c r="C436" s="126" t="s">
        <v>43</v>
      </c>
      <c r="D436" s="126" t="s">
        <v>43</v>
      </c>
      <c r="E436" s="143" t="s">
        <v>1714</v>
      </c>
      <c r="F436" s="143" t="s">
        <v>1715</v>
      </c>
      <c r="G436" s="126" t="s">
        <v>230</v>
      </c>
      <c r="H436" s="126" t="s">
        <v>139</v>
      </c>
      <c r="I436" s="127">
        <v>3.44</v>
      </c>
      <c r="J436" s="127"/>
      <c r="K436" s="127"/>
      <c r="L436" s="127"/>
      <c r="M436" s="144">
        <v>771</v>
      </c>
      <c r="N436" s="129">
        <v>10.44</v>
      </c>
      <c r="O436" s="129"/>
      <c r="P436" s="129"/>
      <c r="Q436" s="130"/>
      <c r="R436" s="131"/>
      <c r="S436" s="131"/>
      <c r="T436" s="132"/>
      <c r="U436" s="132"/>
      <c r="V436" s="132"/>
      <c r="W436" s="132"/>
      <c r="X436" s="132"/>
      <c r="Y436" s="133" t="s">
        <v>1376</v>
      </c>
      <c r="Z436" s="126" t="s">
        <v>64</v>
      </c>
      <c r="AA436" s="134" t="s">
        <v>154</v>
      </c>
      <c r="AB436" s="134" t="s">
        <v>1516</v>
      </c>
      <c r="AC436" s="134"/>
      <c r="AD436" s="134">
        <v>44554</v>
      </c>
      <c r="AE436" s="134"/>
      <c r="AF436" s="134">
        <f t="shared" ca="1" si="35"/>
        <v>44963</v>
      </c>
      <c r="AG436" s="126">
        <f t="shared" ca="1" si="36"/>
        <v>409</v>
      </c>
      <c r="AH436" s="126" t="str">
        <f t="shared" si="37"/>
        <v/>
      </c>
      <c r="AI436" s="134"/>
      <c r="AJ436" s="143" t="s">
        <v>1713</v>
      </c>
      <c r="AK436" s="129">
        <v>10.44</v>
      </c>
      <c r="AL436" s="129">
        <v>10.45</v>
      </c>
      <c r="AM436" s="129">
        <v>10.474999999999998</v>
      </c>
      <c r="AN436" s="129">
        <v>10.479999999999999</v>
      </c>
      <c r="AO436" s="126" t="str">
        <f t="shared" si="38"/>
        <v/>
      </c>
      <c r="AR436" s="99" t="s">
        <v>136</v>
      </c>
    </row>
    <row r="437" spans="1:44" s="99" customFormat="1" ht="21" customHeight="1" x14ac:dyDescent="0.35">
      <c r="A437" s="99">
        <v>424</v>
      </c>
      <c r="B437" s="126" t="str">
        <f t="shared" si="34"/>
        <v>RM-304/1D-004X772</v>
      </c>
      <c r="C437" s="126" t="s">
        <v>43</v>
      </c>
      <c r="D437" s="126" t="s">
        <v>43</v>
      </c>
      <c r="E437" s="143" t="s">
        <v>1716</v>
      </c>
      <c r="F437" s="143" t="s">
        <v>1717</v>
      </c>
      <c r="G437" s="126">
        <v>304</v>
      </c>
      <c r="H437" s="126" t="s">
        <v>139</v>
      </c>
      <c r="I437" s="127">
        <v>3.78</v>
      </c>
      <c r="J437" s="127"/>
      <c r="K437" s="127"/>
      <c r="L437" s="127"/>
      <c r="M437" s="144">
        <v>772</v>
      </c>
      <c r="N437" s="129">
        <v>11.87</v>
      </c>
      <c r="O437" s="129"/>
      <c r="P437" s="129"/>
      <c r="Q437" s="130"/>
      <c r="R437" s="131"/>
      <c r="S437" s="131"/>
      <c r="T437" s="132"/>
      <c r="U437" s="132"/>
      <c r="V437" s="132"/>
      <c r="W437" s="132"/>
      <c r="X437" s="132"/>
      <c r="Y437" s="133" t="s">
        <v>1395</v>
      </c>
      <c r="Z437" s="126" t="s">
        <v>64</v>
      </c>
      <c r="AA437" s="134" t="s">
        <v>154</v>
      </c>
      <c r="AB437" s="134" t="s">
        <v>1516</v>
      </c>
      <c r="AC437" s="134"/>
      <c r="AD437" s="134">
        <v>44554</v>
      </c>
      <c r="AE437" s="134"/>
      <c r="AF437" s="134">
        <f t="shared" ca="1" si="35"/>
        <v>44963</v>
      </c>
      <c r="AG437" s="126">
        <f t="shared" ca="1" si="36"/>
        <v>409</v>
      </c>
      <c r="AH437" s="126" t="str">
        <f t="shared" si="37"/>
        <v/>
      </c>
      <c r="AI437" s="134"/>
      <c r="AJ437" s="143" t="s">
        <v>1718</v>
      </c>
      <c r="AK437" s="129">
        <v>11.87</v>
      </c>
      <c r="AL437" s="129">
        <v>11.88</v>
      </c>
      <c r="AM437" s="129">
        <v>11.904999999999999</v>
      </c>
      <c r="AN437" s="129">
        <v>11.91</v>
      </c>
      <c r="AO437" s="126" t="str">
        <f t="shared" si="38"/>
        <v/>
      </c>
      <c r="AR437" s="99" t="s">
        <v>136</v>
      </c>
    </row>
    <row r="438" spans="1:44" s="99" customFormat="1" ht="21" customHeight="1" x14ac:dyDescent="0.35">
      <c r="A438" s="99">
        <v>424</v>
      </c>
      <c r="B438" s="126" t="str">
        <f t="shared" si="34"/>
        <v>RM-304/1D-004X770</v>
      </c>
      <c r="C438" s="126" t="s">
        <v>43</v>
      </c>
      <c r="D438" s="126" t="s">
        <v>43</v>
      </c>
      <c r="E438" s="143" t="s">
        <v>1719</v>
      </c>
      <c r="F438" s="143" t="s">
        <v>1720</v>
      </c>
      <c r="G438" s="126">
        <v>304</v>
      </c>
      <c r="H438" s="126" t="s">
        <v>139</v>
      </c>
      <c r="I438" s="127">
        <v>3.78</v>
      </c>
      <c r="J438" s="127"/>
      <c r="K438" s="127"/>
      <c r="L438" s="127"/>
      <c r="M438" s="144">
        <v>770</v>
      </c>
      <c r="N438" s="129">
        <v>10.135</v>
      </c>
      <c r="O438" s="129"/>
      <c r="P438" s="129"/>
      <c r="Q438" s="130"/>
      <c r="R438" s="131"/>
      <c r="S438" s="131"/>
      <c r="T438" s="132"/>
      <c r="U438" s="132"/>
      <c r="V438" s="132"/>
      <c r="W438" s="132"/>
      <c r="X438" s="132"/>
      <c r="Y438" s="133" t="s">
        <v>1376</v>
      </c>
      <c r="Z438" s="126" t="s">
        <v>64</v>
      </c>
      <c r="AA438" s="134" t="s">
        <v>154</v>
      </c>
      <c r="AB438" s="134" t="s">
        <v>1516</v>
      </c>
      <c r="AC438" s="134"/>
      <c r="AD438" s="134">
        <v>44554</v>
      </c>
      <c r="AE438" s="134"/>
      <c r="AF438" s="134">
        <f t="shared" ca="1" si="35"/>
        <v>44963</v>
      </c>
      <c r="AG438" s="126">
        <f t="shared" ca="1" si="36"/>
        <v>409</v>
      </c>
      <c r="AH438" s="126" t="str">
        <f t="shared" si="37"/>
        <v/>
      </c>
      <c r="AI438" s="134"/>
      <c r="AJ438" s="143" t="s">
        <v>1721</v>
      </c>
      <c r="AK438" s="129">
        <v>10.135</v>
      </c>
      <c r="AL438" s="129">
        <v>10.145</v>
      </c>
      <c r="AM438" s="129">
        <v>10.169999999999998</v>
      </c>
      <c r="AN438" s="129">
        <v>10.174999999999999</v>
      </c>
      <c r="AO438" s="126" t="str">
        <f t="shared" si="38"/>
        <v/>
      </c>
      <c r="AR438" s="99" t="s">
        <v>136</v>
      </c>
    </row>
    <row r="439" spans="1:44" s="99" customFormat="1" ht="21" customHeight="1" x14ac:dyDescent="0.35">
      <c r="A439" s="99">
        <v>424</v>
      </c>
      <c r="B439" s="126" t="str">
        <f t="shared" si="34"/>
        <v>RM-304/1D-004X772</v>
      </c>
      <c r="C439" s="126" t="s">
        <v>43</v>
      </c>
      <c r="D439" s="126" t="s">
        <v>43</v>
      </c>
      <c r="E439" s="143" t="s">
        <v>1722</v>
      </c>
      <c r="F439" s="143" t="s">
        <v>1723</v>
      </c>
      <c r="G439" s="126">
        <v>304</v>
      </c>
      <c r="H439" s="126" t="s">
        <v>139</v>
      </c>
      <c r="I439" s="127">
        <v>3.78</v>
      </c>
      <c r="J439" s="127"/>
      <c r="K439" s="127"/>
      <c r="L439" s="127"/>
      <c r="M439" s="144">
        <v>772</v>
      </c>
      <c r="N439" s="129">
        <v>10.18</v>
      </c>
      <c r="O439" s="129"/>
      <c r="P439" s="129"/>
      <c r="Q439" s="130"/>
      <c r="R439" s="131"/>
      <c r="S439" s="131"/>
      <c r="T439" s="132"/>
      <c r="U439" s="132"/>
      <c r="V439" s="132"/>
      <c r="W439" s="132"/>
      <c r="X439" s="132"/>
      <c r="Y439" s="133" t="s">
        <v>1376</v>
      </c>
      <c r="Z439" s="126" t="s">
        <v>64</v>
      </c>
      <c r="AA439" s="134" t="s">
        <v>154</v>
      </c>
      <c r="AB439" s="134" t="s">
        <v>1516</v>
      </c>
      <c r="AC439" s="134"/>
      <c r="AD439" s="134">
        <v>44554</v>
      </c>
      <c r="AE439" s="134"/>
      <c r="AF439" s="134">
        <f t="shared" ca="1" si="35"/>
        <v>44963</v>
      </c>
      <c r="AG439" s="126">
        <f t="shared" ca="1" si="36"/>
        <v>409</v>
      </c>
      <c r="AH439" s="126" t="str">
        <f t="shared" si="37"/>
        <v/>
      </c>
      <c r="AI439" s="134"/>
      <c r="AJ439" s="143" t="s">
        <v>1721</v>
      </c>
      <c r="AK439" s="129">
        <v>10.18</v>
      </c>
      <c r="AL439" s="129">
        <v>10.19</v>
      </c>
      <c r="AM439" s="129">
        <v>10.214999999999998</v>
      </c>
      <c r="AN439" s="129">
        <v>10.219999999999999</v>
      </c>
      <c r="AO439" s="126" t="str">
        <f t="shared" si="38"/>
        <v/>
      </c>
      <c r="AR439" s="99" t="s">
        <v>136</v>
      </c>
    </row>
    <row r="440" spans="1:44" s="99" customFormat="1" ht="21" customHeight="1" x14ac:dyDescent="0.35">
      <c r="A440" s="99">
        <v>424</v>
      </c>
      <c r="B440" s="126" t="str">
        <f t="shared" si="34"/>
        <v>RM-304/1D-004X770</v>
      </c>
      <c r="C440" s="126" t="s">
        <v>43</v>
      </c>
      <c r="D440" s="126" t="s">
        <v>43</v>
      </c>
      <c r="E440" s="143" t="s">
        <v>1724</v>
      </c>
      <c r="F440" s="143" t="s">
        <v>1725</v>
      </c>
      <c r="G440" s="126">
        <v>304</v>
      </c>
      <c r="H440" s="126" t="s">
        <v>139</v>
      </c>
      <c r="I440" s="127">
        <v>3.77</v>
      </c>
      <c r="J440" s="127"/>
      <c r="K440" s="127"/>
      <c r="L440" s="127"/>
      <c r="M440" s="144">
        <v>770</v>
      </c>
      <c r="N440" s="129">
        <v>11.91</v>
      </c>
      <c r="O440" s="129"/>
      <c r="P440" s="129"/>
      <c r="Q440" s="130"/>
      <c r="R440" s="131"/>
      <c r="S440" s="131"/>
      <c r="T440" s="132"/>
      <c r="U440" s="132"/>
      <c r="V440" s="132"/>
      <c r="W440" s="132"/>
      <c r="X440" s="132"/>
      <c r="Y440" s="133" t="s">
        <v>1376</v>
      </c>
      <c r="Z440" s="126" t="s">
        <v>64</v>
      </c>
      <c r="AA440" s="134" t="s">
        <v>154</v>
      </c>
      <c r="AB440" s="134" t="s">
        <v>1516</v>
      </c>
      <c r="AC440" s="134"/>
      <c r="AD440" s="134">
        <v>44554</v>
      </c>
      <c r="AE440" s="134"/>
      <c r="AF440" s="134">
        <f t="shared" ca="1" si="35"/>
        <v>44963</v>
      </c>
      <c r="AG440" s="126">
        <f t="shared" ca="1" si="36"/>
        <v>409</v>
      </c>
      <c r="AH440" s="126" t="str">
        <f t="shared" si="37"/>
        <v/>
      </c>
      <c r="AI440" s="134"/>
      <c r="AJ440" s="143" t="s">
        <v>1726</v>
      </c>
      <c r="AK440" s="129">
        <v>11.91</v>
      </c>
      <c r="AL440" s="129">
        <v>11.92</v>
      </c>
      <c r="AM440" s="129">
        <v>11.944999999999999</v>
      </c>
      <c r="AN440" s="129">
        <v>11.95</v>
      </c>
      <c r="AO440" s="126" t="str">
        <f t="shared" si="38"/>
        <v/>
      </c>
      <c r="AR440" s="99" t="s">
        <v>136</v>
      </c>
    </row>
    <row r="441" spans="1:44" s="99" customFormat="1" ht="21" customHeight="1" x14ac:dyDescent="0.35">
      <c r="A441" s="99">
        <v>424</v>
      </c>
      <c r="B441" s="126" t="str">
        <f t="shared" si="34"/>
        <v>RM-304/1D-004X771</v>
      </c>
      <c r="C441" s="126" t="s">
        <v>43</v>
      </c>
      <c r="D441" s="126" t="s">
        <v>43</v>
      </c>
      <c r="E441" s="143" t="s">
        <v>1727</v>
      </c>
      <c r="F441" s="143" t="s">
        <v>1728</v>
      </c>
      <c r="G441" s="126">
        <v>304</v>
      </c>
      <c r="H441" s="126" t="s">
        <v>139</v>
      </c>
      <c r="I441" s="127">
        <v>3.77</v>
      </c>
      <c r="J441" s="127"/>
      <c r="K441" s="127"/>
      <c r="L441" s="127"/>
      <c r="M441" s="144">
        <v>771</v>
      </c>
      <c r="N441" s="129">
        <v>11.925000000000001</v>
      </c>
      <c r="O441" s="129"/>
      <c r="P441" s="129"/>
      <c r="Q441" s="130"/>
      <c r="R441" s="131"/>
      <c r="S441" s="131"/>
      <c r="T441" s="132"/>
      <c r="U441" s="132"/>
      <c r="V441" s="132"/>
      <c r="W441" s="132"/>
      <c r="X441" s="132"/>
      <c r="Y441" s="133" t="s">
        <v>1376</v>
      </c>
      <c r="Z441" s="126" t="s">
        <v>64</v>
      </c>
      <c r="AA441" s="134" t="s">
        <v>154</v>
      </c>
      <c r="AB441" s="134" t="s">
        <v>1516</v>
      </c>
      <c r="AC441" s="134"/>
      <c r="AD441" s="134">
        <v>44554</v>
      </c>
      <c r="AE441" s="134"/>
      <c r="AF441" s="134">
        <f t="shared" ca="1" si="35"/>
        <v>44963</v>
      </c>
      <c r="AG441" s="126">
        <f t="shared" ca="1" si="36"/>
        <v>409</v>
      </c>
      <c r="AH441" s="126" t="str">
        <f t="shared" si="37"/>
        <v/>
      </c>
      <c r="AI441" s="134"/>
      <c r="AJ441" s="143" t="s">
        <v>1726</v>
      </c>
      <c r="AK441" s="129">
        <v>11.925000000000001</v>
      </c>
      <c r="AL441" s="129">
        <v>11.935</v>
      </c>
      <c r="AM441" s="129">
        <v>11.959999999999999</v>
      </c>
      <c r="AN441" s="129">
        <v>11.965</v>
      </c>
      <c r="AO441" s="126" t="str">
        <f t="shared" si="38"/>
        <v/>
      </c>
      <c r="AR441" s="99" t="s">
        <v>136</v>
      </c>
    </row>
    <row r="442" spans="1:44" s="99" customFormat="1" ht="21" customHeight="1" x14ac:dyDescent="0.35">
      <c r="A442" s="99">
        <v>424</v>
      </c>
      <c r="B442" s="126" t="str">
        <f t="shared" ref="B442:B505" si="39">IF(C442="HOLD RM","HOLD RM",IF(C442="BAL","WIP",IF(C442="HOLD SLT","HOLD SLT",IF(C442="MILL","RM",IF(C442="RE SLT","WIP",IF(C442="RM","RM",IF(C442="RM BAL","RM",IF(C442="RM SLT","RM",IF(C442="RR","WIP",IF(C442="SKP","WIP",IF(C442="SLT","WIP",IF(C442="CTL","WIP",IF(C442="RM SLT RUST","RM SLT RUST",0)))))))))))))&amp;"-"&amp;G442&amp;"/"&amp;IF(H442="2B","2B",IF(H442="NO.1","1D",IF(H442="FH","FH",0)))&amp;"-"&amp;IF(J442="",(TEXT(I442,"0.00")),TEXT(J442,"0.00"))&amp;"X"&amp;M442</f>
        <v>RM-304/1D-004X770</v>
      </c>
      <c r="C442" s="126" t="s">
        <v>43</v>
      </c>
      <c r="D442" s="126" t="s">
        <v>43</v>
      </c>
      <c r="E442" s="143" t="s">
        <v>1729</v>
      </c>
      <c r="F442" s="143" t="s">
        <v>1730</v>
      </c>
      <c r="G442" s="126">
        <v>304</v>
      </c>
      <c r="H442" s="126" t="s">
        <v>139</v>
      </c>
      <c r="I442" s="127">
        <v>3.78</v>
      </c>
      <c r="J442" s="127"/>
      <c r="K442" s="127"/>
      <c r="L442" s="127"/>
      <c r="M442" s="144">
        <v>770</v>
      </c>
      <c r="N442" s="129">
        <v>11.86</v>
      </c>
      <c r="O442" s="129"/>
      <c r="P442" s="129"/>
      <c r="Q442" s="130"/>
      <c r="R442" s="131"/>
      <c r="S442" s="131"/>
      <c r="T442" s="132"/>
      <c r="U442" s="132"/>
      <c r="V442" s="132"/>
      <c r="W442" s="132"/>
      <c r="X442" s="132"/>
      <c r="Y442" s="133" t="s">
        <v>1376</v>
      </c>
      <c r="Z442" s="126" t="s">
        <v>64</v>
      </c>
      <c r="AA442" s="134" t="s">
        <v>154</v>
      </c>
      <c r="AB442" s="134" t="s">
        <v>1516</v>
      </c>
      <c r="AC442" s="134"/>
      <c r="AD442" s="134">
        <v>44554</v>
      </c>
      <c r="AE442" s="134"/>
      <c r="AF442" s="134">
        <f t="shared" ca="1" si="35"/>
        <v>44963</v>
      </c>
      <c r="AG442" s="126">
        <f t="shared" ca="1" si="36"/>
        <v>409</v>
      </c>
      <c r="AH442" s="126" t="str">
        <f t="shared" si="37"/>
        <v/>
      </c>
      <c r="AI442" s="134"/>
      <c r="AJ442" s="143" t="s">
        <v>1731</v>
      </c>
      <c r="AK442" s="129">
        <v>11.86</v>
      </c>
      <c r="AL442" s="129">
        <v>11.87</v>
      </c>
      <c r="AM442" s="129">
        <v>11.894999999999998</v>
      </c>
      <c r="AN442" s="129">
        <v>11.899999999999999</v>
      </c>
      <c r="AO442" s="126" t="str">
        <f t="shared" si="38"/>
        <v/>
      </c>
      <c r="AR442" s="99" t="s">
        <v>136</v>
      </c>
    </row>
    <row r="443" spans="1:44" s="99" customFormat="1" ht="21" customHeight="1" x14ac:dyDescent="0.35">
      <c r="A443" s="99">
        <v>424</v>
      </c>
      <c r="B443" s="126" t="str">
        <f t="shared" si="39"/>
        <v>RM-304/1D-004X772</v>
      </c>
      <c r="C443" s="126" t="s">
        <v>43</v>
      </c>
      <c r="D443" s="126" t="s">
        <v>43</v>
      </c>
      <c r="E443" s="143" t="s">
        <v>1732</v>
      </c>
      <c r="F443" s="143" t="s">
        <v>1733</v>
      </c>
      <c r="G443" s="126">
        <v>304</v>
      </c>
      <c r="H443" s="126" t="s">
        <v>139</v>
      </c>
      <c r="I443" s="127">
        <v>3.77</v>
      </c>
      <c r="J443" s="127"/>
      <c r="K443" s="127"/>
      <c r="L443" s="127"/>
      <c r="M443" s="144">
        <v>772</v>
      </c>
      <c r="N443" s="129">
        <v>11.89</v>
      </c>
      <c r="O443" s="129"/>
      <c r="P443" s="129"/>
      <c r="Q443" s="130"/>
      <c r="R443" s="131"/>
      <c r="S443" s="131"/>
      <c r="T443" s="132"/>
      <c r="U443" s="132"/>
      <c r="V443" s="132"/>
      <c r="W443" s="132"/>
      <c r="X443" s="132"/>
      <c r="Y443" s="133" t="s">
        <v>1376</v>
      </c>
      <c r="Z443" s="126" t="s">
        <v>64</v>
      </c>
      <c r="AA443" s="134" t="s">
        <v>154</v>
      </c>
      <c r="AB443" s="134" t="s">
        <v>1516</v>
      </c>
      <c r="AC443" s="134"/>
      <c r="AD443" s="134">
        <v>44554</v>
      </c>
      <c r="AE443" s="134"/>
      <c r="AF443" s="134">
        <f t="shared" ca="1" si="35"/>
        <v>44963</v>
      </c>
      <c r="AG443" s="126">
        <f t="shared" ca="1" si="36"/>
        <v>409</v>
      </c>
      <c r="AH443" s="126" t="str">
        <f t="shared" si="37"/>
        <v/>
      </c>
      <c r="AI443" s="134"/>
      <c r="AJ443" s="143" t="s">
        <v>1731</v>
      </c>
      <c r="AK443" s="129">
        <v>11.89</v>
      </c>
      <c r="AL443" s="129">
        <v>11.9</v>
      </c>
      <c r="AM443" s="129">
        <v>11.924999999999999</v>
      </c>
      <c r="AN443" s="129">
        <v>11.93</v>
      </c>
      <c r="AO443" s="126" t="str">
        <f t="shared" si="38"/>
        <v/>
      </c>
      <c r="AR443" s="99" t="s">
        <v>136</v>
      </c>
    </row>
    <row r="444" spans="1:44" s="99" customFormat="1" ht="21" customHeight="1" x14ac:dyDescent="0.35">
      <c r="A444" s="99">
        <v>424</v>
      </c>
      <c r="B444" s="126" t="str">
        <f t="shared" si="39"/>
        <v>RM-304/1D-004X770</v>
      </c>
      <c r="C444" s="126" t="s">
        <v>43</v>
      </c>
      <c r="D444" s="126" t="s">
        <v>43</v>
      </c>
      <c r="E444" s="143" t="s">
        <v>1734</v>
      </c>
      <c r="F444" s="143" t="s">
        <v>1735</v>
      </c>
      <c r="G444" s="126">
        <v>304</v>
      </c>
      <c r="H444" s="126" t="s">
        <v>139</v>
      </c>
      <c r="I444" s="127">
        <v>3.89</v>
      </c>
      <c r="J444" s="127"/>
      <c r="K444" s="127"/>
      <c r="L444" s="127"/>
      <c r="M444" s="144">
        <v>770</v>
      </c>
      <c r="N444" s="129">
        <v>10.225</v>
      </c>
      <c r="O444" s="129"/>
      <c r="P444" s="129"/>
      <c r="Q444" s="130"/>
      <c r="R444" s="131"/>
      <c r="S444" s="131"/>
      <c r="T444" s="132"/>
      <c r="U444" s="132"/>
      <c r="V444" s="132"/>
      <c r="W444" s="132"/>
      <c r="X444" s="132"/>
      <c r="Y444" s="133" t="s">
        <v>1376</v>
      </c>
      <c r="Z444" s="126" t="s">
        <v>64</v>
      </c>
      <c r="AA444" s="134" t="s">
        <v>154</v>
      </c>
      <c r="AB444" s="134" t="s">
        <v>1516</v>
      </c>
      <c r="AC444" s="134"/>
      <c r="AD444" s="134">
        <v>44554</v>
      </c>
      <c r="AE444" s="134"/>
      <c r="AF444" s="134">
        <f t="shared" ca="1" si="35"/>
        <v>44963</v>
      </c>
      <c r="AG444" s="126">
        <f t="shared" ca="1" si="36"/>
        <v>409</v>
      </c>
      <c r="AH444" s="126" t="str">
        <f t="shared" si="37"/>
        <v/>
      </c>
      <c r="AI444" s="134"/>
      <c r="AJ444" s="143" t="s">
        <v>1736</v>
      </c>
      <c r="AK444" s="129">
        <v>10.225</v>
      </c>
      <c r="AL444" s="129">
        <v>10.234999999999999</v>
      </c>
      <c r="AM444" s="129">
        <v>10.259999999999998</v>
      </c>
      <c r="AN444" s="129">
        <v>10.264999999999999</v>
      </c>
      <c r="AO444" s="126" t="str">
        <f t="shared" si="38"/>
        <v/>
      </c>
      <c r="AR444" s="99" t="s">
        <v>136</v>
      </c>
    </row>
    <row r="445" spans="1:44" s="99" customFormat="1" ht="21" customHeight="1" x14ac:dyDescent="0.35">
      <c r="A445" s="99">
        <v>424</v>
      </c>
      <c r="B445" s="126" t="str">
        <f t="shared" si="39"/>
        <v>RM-304/1D-003X770</v>
      </c>
      <c r="C445" s="126" t="s">
        <v>43</v>
      </c>
      <c r="D445" s="126" t="s">
        <v>43</v>
      </c>
      <c r="E445" s="143" t="s">
        <v>1737</v>
      </c>
      <c r="F445" s="143" t="s">
        <v>1738</v>
      </c>
      <c r="G445" s="126">
        <v>304</v>
      </c>
      <c r="H445" s="126" t="s">
        <v>139</v>
      </c>
      <c r="I445" s="127">
        <v>3.18</v>
      </c>
      <c r="J445" s="127"/>
      <c r="K445" s="127"/>
      <c r="L445" s="127"/>
      <c r="M445" s="144">
        <v>770</v>
      </c>
      <c r="N445" s="129">
        <v>10.220000000000001</v>
      </c>
      <c r="O445" s="129"/>
      <c r="P445" s="129"/>
      <c r="Q445" s="130"/>
      <c r="R445" s="131"/>
      <c r="S445" s="131"/>
      <c r="T445" s="132"/>
      <c r="U445" s="132"/>
      <c r="V445" s="132"/>
      <c r="W445" s="132"/>
      <c r="X445" s="132"/>
      <c r="Y445" s="133" t="s">
        <v>1376</v>
      </c>
      <c r="Z445" s="126" t="s">
        <v>64</v>
      </c>
      <c r="AA445" s="134" t="s">
        <v>154</v>
      </c>
      <c r="AB445" s="134" t="s">
        <v>1516</v>
      </c>
      <c r="AC445" s="134"/>
      <c r="AD445" s="134">
        <v>44554</v>
      </c>
      <c r="AE445" s="134"/>
      <c r="AF445" s="134">
        <f t="shared" ca="1" si="35"/>
        <v>44963</v>
      </c>
      <c r="AG445" s="126">
        <f t="shared" ca="1" si="36"/>
        <v>409</v>
      </c>
      <c r="AH445" s="126" t="str">
        <f t="shared" si="37"/>
        <v/>
      </c>
      <c r="AI445" s="134"/>
      <c r="AJ445" s="143" t="s">
        <v>1739</v>
      </c>
      <c r="AK445" s="129">
        <v>10.220000000000001</v>
      </c>
      <c r="AL445" s="129">
        <v>10.23</v>
      </c>
      <c r="AM445" s="129">
        <v>10.254999999999999</v>
      </c>
      <c r="AN445" s="129">
        <v>10.26</v>
      </c>
      <c r="AO445" s="126" t="str">
        <f t="shared" si="38"/>
        <v/>
      </c>
      <c r="AR445" s="99" t="s">
        <v>136</v>
      </c>
    </row>
    <row r="446" spans="1:44" s="99" customFormat="1" ht="21" customHeight="1" x14ac:dyDescent="0.35">
      <c r="A446" s="99">
        <v>424</v>
      </c>
      <c r="B446" s="126" t="str">
        <f t="shared" si="39"/>
        <v>RM-304/1D-003X768</v>
      </c>
      <c r="C446" s="126" t="s">
        <v>43</v>
      </c>
      <c r="D446" s="126" t="s">
        <v>43</v>
      </c>
      <c r="E446" s="143" t="s">
        <v>1740</v>
      </c>
      <c r="F446" s="143" t="s">
        <v>1741</v>
      </c>
      <c r="G446" s="126">
        <v>304</v>
      </c>
      <c r="H446" s="126" t="s">
        <v>139</v>
      </c>
      <c r="I446" s="127">
        <v>3.17</v>
      </c>
      <c r="J446" s="127"/>
      <c r="K446" s="127"/>
      <c r="L446" s="127"/>
      <c r="M446" s="144">
        <v>768</v>
      </c>
      <c r="N446" s="129">
        <v>10.17</v>
      </c>
      <c r="O446" s="129"/>
      <c r="P446" s="129"/>
      <c r="Q446" s="130"/>
      <c r="R446" s="131"/>
      <c r="S446" s="131"/>
      <c r="T446" s="132"/>
      <c r="U446" s="132"/>
      <c r="V446" s="132"/>
      <c r="W446" s="132"/>
      <c r="X446" s="132"/>
      <c r="Y446" s="133" t="s">
        <v>1376</v>
      </c>
      <c r="Z446" s="126" t="s">
        <v>64</v>
      </c>
      <c r="AA446" s="134" t="s">
        <v>154</v>
      </c>
      <c r="AB446" s="134" t="s">
        <v>1516</v>
      </c>
      <c r="AC446" s="134"/>
      <c r="AD446" s="134">
        <v>44554</v>
      </c>
      <c r="AE446" s="134"/>
      <c r="AF446" s="134">
        <f t="shared" ca="1" si="35"/>
        <v>44963</v>
      </c>
      <c r="AG446" s="126">
        <f t="shared" ca="1" si="36"/>
        <v>409</v>
      </c>
      <c r="AH446" s="126" t="str">
        <f t="shared" si="37"/>
        <v/>
      </c>
      <c r="AI446" s="134"/>
      <c r="AJ446" s="143" t="s">
        <v>1739</v>
      </c>
      <c r="AK446" s="129">
        <v>10.17</v>
      </c>
      <c r="AL446" s="129">
        <v>10.18</v>
      </c>
      <c r="AM446" s="129">
        <v>10.204999999999998</v>
      </c>
      <c r="AN446" s="129">
        <v>10.209999999999999</v>
      </c>
      <c r="AO446" s="126" t="str">
        <f t="shared" si="38"/>
        <v/>
      </c>
      <c r="AR446" s="99" t="s">
        <v>136</v>
      </c>
    </row>
    <row r="447" spans="1:44" s="99" customFormat="1" ht="21" customHeight="1" x14ac:dyDescent="0.35">
      <c r="A447" s="99">
        <v>424</v>
      </c>
      <c r="B447" s="126" t="str">
        <f t="shared" si="39"/>
        <v>RM-304L/1D-003X770</v>
      </c>
      <c r="C447" s="126" t="s">
        <v>43</v>
      </c>
      <c r="D447" s="126" t="s">
        <v>43</v>
      </c>
      <c r="E447" s="143" t="s">
        <v>1742</v>
      </c>
      <c r="F447" s="143" t="s">
        <v>1743</v>
      </c>
      <c r="G447" s="126" t="s">
        <v>230</v>
      </c>
      <c r="H447" s="126" t="s">
        <v>139</v>
      </c>
      <c r="I447" s="127">
        <v>3.14</v>
      </c>
      <c r="J447" s="127"/>
      <c r="K447" s="127"/>
      <c r="L447" s="127"/>
      <c r="M447" s="144">
        <v>770</v>
      </c>
      <c r="N447" s="129">
        <v>10.435</v>
      </c>
      <c r="O447" s="129"/>
      <c r="P447" s="129"/>
      <c r="Q447" s="130"/>
      <c r="R447" s="131"/>
      <c r="S447" s="131"/>
      <c r="T447" s="132"/>
      <c r="U447" s="132"/>
      <c r="V447" s="132"/>
      <c r="W447" s="132"/>
      <c r="X447" s="132"/>
      <c r="Y447" s="133" t="s">
        <v>1376</v>
      </c>
      <c r="Z447" s="126" t="s">
        <v>64</v>
      </c>
      <c r="AA447" s="134" t="s">
        <v>154</v>
      </c>
      <c r="AB447" s="134" t="s">
        <v>1516</v>
      </c>
      <c r="AC447" s="134"/>
      <c r="AD447" s="134">
        <v>44554</v>
      </c>
      <c r="AE447" s="134"/>
      <c r="AF447" s="134">
        <f t="shared" ca="1" si="35"/>
        <v>44963</v>
      </c>
      <c r="AG447" s="126">
        <f t="shared" ca="1" si="36"/>
        <v>409</v>
      </c>
      <c r="AH447" s="126" t="str">
        <f t="shared" si="37"/>
        <v/>
      </c>
      <c r="AI447" s="134"/>
      <c r="AJ447" s="143" t="s">
        <v>1744</v>
      </c>
      <c r="AK447" s="129">
        <v>10.435</v>
      </c>
      <c r="AL447" s="129">
        <v>10.445</v>
      </c>
      <c r="AM447" s="129">
        <v>10.469999999999999</v>
      </c>
      <c r="AN447" s="129">
        <v>10.475</v>
      </c>
      <c r="AO447" s="126" t="str">
        <f t="shared" si="38"/>
        <v/>
      </c>
      <c r="AR447" s="99" t="s">
        <v>136</v>
      </c>
    </row>
    <row r="448" spans="1:44" s="99" customFormat="1" ht="21" customHeight="1" x14ac:dyDescent="0.35">
      <c r="A448" s="99">
        <v>424</v>
      </c>
      <c r="B448" s="126" t="str">
        <f t="shared" si="39"/>
        <v>RM-304L/1D-003X773</v>
      </c>
      <c r="C448" s="126" t="s">
        <v>43</v>
      </c>
      <c r="D448" s="126" t="s">
        <v>43</v>
      </c>
      <c r="E448" s="143" t="s">
        <v>1745</v>
      </c>
      <c r="F448" s="143" t="s">
        <v>1746</v>
      </c>
      <c r="G448" s="126" t="s">
        <v>230</v>
      </c>
      <c r="H448" s="126" t="s">
        <v>139</v>
      </c>
      <c r="I448" s="127">
        <v>3.13</v>
      </c>
      <c r="J448" s="127"/>
      <c r="K448" s="127"/>
      <c r="L448" s="127"/>
      <c r="M448" s="144">
        <v>773</v>
      </c>
      <c r="N448" s="129">
        <v>10.48</v>
      </c>
      <c r="O448" s="129"/>
      <c r="P448" s="129"/>
      <c r="Q448" s="130"/>
      <c r="R448" s="131"/>
      <c r="S448" s="131"/>
      <c r="T448" s="132"/>
      <c r="U448" s="132"/>
      <c r="V448" s="132"/>
      <c r="W448" s="132"/>
      <c r="X448" s="132"/>
      <c r="Y448" s="133" t="s">
        <v>1376</v>
      </c>
      <c r="Z448" s="126" t="s">
        <v>64</v>
      </c>
      <c r="AA448" s="134" t="s">
        <v>154</v>
      </c>
      <c r="AB448" s="134" t="s">
        <v>1516</v>
      </c>
      <c r="AC448" s="134"/>
      <c r="AD448" s="134">
        <v>44554</v>
      </c>
      <c r="AE448" s="134"/>
      <c r="AF448" s="134">
        <f t="shared" ca="1" si="35"/>
        <v>44963</v>
      </c>
      <c r="AG448" s="126">
        <f t="shared" ca="1" si="36"/>
        <v>409</v>
      </c>
      <c r="AH448" s="126" t="str">
        <f t="shared" si="37"/>
        <v/>
      </c>
      <c r="AI448" s="134"/>
      <c r="AJ448" s="143" t="s">
        <v>1744</v>
      </c>
      <c r="AK448" s="129">
        <v>10.48</v>
      </c>
      <c r="AL448" s="129">
        <v>10.49</v>
      </c>
      <c r="AM448" s="129">
        <v>10.514999999999999</v>
      </c>
      <c r="AN448" s="129">
        <v>10.52</v>
      </c>
      <c r="AO448" s="126" t="str">
        <f t="shared" si="38"/>
        <v/>
      </c>
      <c r="AR448" s="99" t="s">
        <v>136</v>
      </c>
    </row>
    <row r="449" spans="1:44" s="99" customFormat="1" ht="21" customHeight="1" x14ac:dyDescent="0.35">
      <c r="A449" s="99">
        <v>424</v>
      </c>
      <c r="B449" s="126" t="str">
        <f t="shared" si="39"/>
        <v>RM-304L/1D-003X770</v>
      </c>
      <c r="C449" s="126" t="s">
        <v>43</v>
      </c>
      <c r="D449" s="126" t="s">
        <v>43</v>
      </c>
      <c r="E449" s="143" t="s">
        <v>1747</v>
      </c>
      <c r="F449" s="143" t="s">
        <v>1748</v>
      </c>
      <c r="G449" s="126" t="s">
        <v>230</v>
      </c>
      <c r="H449" s="126" t="s">
        <v>139</v>
      </c>
      <c r="I449" s="127">
        <v>3.49</v>
      </c>
      <c r="J449" s="127"/>
      <c r="K449" s="127"/>
      <c r="L449" s="127"/>
      <c r="M449" s="144">
        <v>770</v>
      </c>
      <c r="N449" s="129">
        <v>9.0950000000000006</v>
      </c>
      <c r="O449" s="129"/>
      <c r="P449" s="129"/>
      <c r="Q449" s="130"/>
      <c r="R449" s="131"/>
      <c r="S449" s="131"/>
      <c r="T449" s="132"/>
      <c r="U449" s="132"/>
      <c r="V449" s="132"/>
      <c r="W449" s="132"/>
      <c r="X449" s="132"/>
      <c r="Y449" s="133" t="s">
        <v>1376</v>
      </c>
      <c r="Z449" s="126" t="s">
        <v>64</v>
      </c>
      <c r="AA449" s="134" t="s">
        <v>154</v>
      </c>
      <c r="AB449" s="134" t="s">
        <v>1516</v>
      </c>
      <c r="AC449" s="134"/>
      <c r="AD449" s="134">
        <v>44554</v>
      </c>
      <c r="AE449" s="134"/>
      <c r="AF449" s="134">
        <f t="shared" ca="1" si="35"/>
        <v>44963</v>
      </c>
      <c r="AG449" s="126">
        <f t="shared" ca="1" si="36"/>
        <v>409</v>
      </c>
      <c r="AH449" s="126" t="str">
        <f t="shared" si="37"/>
        <v/>
      </c>
      <c r="AI449" s="134"/>
      <c r="AJ449" s="143" t="s">
        <v>1749</v>
      </c>
      <c r="AK449" s="129">
        <v>9.0950000000000006</v>
      </c>
      <c r="AL449" s="129">
        <v>9.1050000000000004</v>
      </c>
      <c r="AM449" s="129">
        <v>9.129999999999999</v>
      </c>
      <c r="AN449" s="129">
        <v>9.1349999999999998</v>
      </c>
      <c r="AO449" s="126" t="str">
        <f t="shared" si="38"/>
        <v/>
      </c>
      <c r="AR449" s="99" t="s">
        <v>136</v>
      </c>
    </row>
    <row r="450" spans="1:44" s="99" customFormat="1" ht="21" customHeight="1" x14ac:dyDescent="0.35">
      <c r="A450" s="99">
        <v>424</v>
      </c>
      <c r="B450" s="126" t="str">
        <f t="shared" si="39"/>
        <v>RM-304L/1D-003X773</v>
      </c>
      <c r="C450" s="126" t="s">
        <v>43</v>
      </c>
      <c r="D450" s="126" t="s">
        <v>43</v>
      </c>
      <c r="E450" s="143" t="s">
        <v>1750</v>
      </c>
      <c r="F450" s="143" t="s">
        <v>1751</v>
      </c>
      <c r="G450" s="126" t="s">
        <v>230</v>
      </c>
      <c r="H450" s="126" t="s">
        <v>139</v>
      </c>
      <c r="I450" s="127">
        <v>3.48</v>
      </c>
      <c r="J450" s="127"/>
      <c r="K450" s="127"/>
      <c r="L450" s="127"/>
      <c r="M450" s="144">
        <v>773</v>
      </c>
      <c r="N450" s="129">
        <v>9.0850000000000009</v>
      </c>
      <c r="O450" s="129"/>
      <c r="P450" s="129"/>
      <c r="Q450" s="130"/>
      <c r="R450" s="131"/>
      <c r="S450" s="131"/>
      <c r="T450" s="132"/>
      <c r="U450" s="132"/>
      <c r="V450" s="132"/>
      <c r="W450" s="132"/>
      <c r="X450" s="132"/>
      <c r="Y450" s="133" t="s">
        <v>1376</v>
      </c>
      <c r="Z450" s="126" t="s">
        <v>64</v>
      </c>
      <c r="AA450" s="134" t="s">
        <v>154</v>
      </c>
      <c r="AB450" s="134" t="s">
        <v>1516</v>
      </c>
      <c r="AC450" s="134"/>
      <c r="AD450" s="134">
        <v>44554</v>
      </c>
      <c r="AE450" s="134"/>
      <c r="AF450" s="134">
        <f t="shared" ca="1" si="35"/>
        <v>44963</v>
      </c>
      <c r="AG450" s="126">
        <f t="shared" ca="1" si="36"/>
        <v>409</v>
      </c>
      <c r="AH450" s="126" t="str">
        <f t="shared" si="37"/>
        <v/>
      </c>
      <c r="AI450" s="134"/>
      <c r="AJ450" s="143" t="s">
        <v>1749</v>
      </c>
      <c r="AK450" s="129">
        <v>9.0850000000000009</v>
      </c>
      <c r="AL450" s="129">
        <v>9.0950000000000006</v>
      </c>
      <c r="AM450" s="129">
        <v>9.1199999999999992</v>
      </c>
      <c r="AN450" s="129">
        <v>9.125</v>
      </c>
      <c r="AO450" s="126" t="str">
        <f t="shared" si="38"/>
        <v/>
      </c>
      <c r="AR450" s="99" t="s">
        <v>136</v>
      </c>
    </row>
    <row r="451" spans="1:44" s="99" customFormat="1" ht="21" customHeight="1" x14ac:dyDescent="0.35">
      <c r="A451" s="99">
        <v>424</v>
      </c>
      <c r="B451" s="126" t="str">
        <f t="shared" si="39"/>
        <v>RM-304/1D-003X770</v>
      </c>
      <c r="C451" s="126" t="s">
        <v>43</v>
      </c>
      <c r="D451" s="126" t="s">
        <v>43</v>
      </c>
      <c r="E451" s="143" t="s">
        <v>1752</v>
      </c>
      <c r="F451" s="143" t="s">
        <v>1753</v>
      </c>
      <c r="G451" s="126">
        <v>304</v>
      </c>
      <c r="H451" s="126" t="s">
        <v>139</v>
      </c>
      <c r="I451" s="127">
        <v>3.49</v>
      </c>
      <c r="J451" s="127"/>
      <c r="K451" s="127"/>
      <c r="L451" s="127"/>
      <c r="M451" s="144">
        <v>770</v>
      </c>
      <c r="N451" s="129">
        <v>10.4</v>
      </c>
      <c r="O451" s="129"/>
      <c r="P451" s="129"/>
      <c r="Q451" s="130"/>
      <c r="R451" s="131"/>
      <c r="S451" s="131"/>
      <c r="T451" s="132"/>
      <c r="U451" s="132"/>
      <c r="V451" s="132"/>
      <c r="W451" s="132"/>
      <c r="X451" s="132"/>
      <c r="Y451" s="133" t="s">
        <v>1376</v>
      </c>
      <c r="Z451" s="126" t="s">
        <v>64</v>
      </c>
      <c r="AA451" s="134" t="s">
        <v>154</v>
      </c>
      <c r="AB451" s="134" t="s">
        <v>1516</v>
      </c>
      <c r="AC451" s="134"/>
      <c r="AD451" s="134">
        <v>44554</v>
      </c>
      <c r="AE451" s="134"/>
      <c r="AF451" s="134">
        <f t="shared" ca="1" si="35"/>
        <v>44963</v>
      </c>
      <c r="AG451" s="126">
        <f t="shared" ca="1" si="36"/>
        <v>409</v>
      </c>
      <c r="AH451" s="126" t="str">
        <f t="shared" si="37"/>
        <v/>
      </c>
      <c r="AI451" s="134"/>
      <c r="AJ451" s="143" t="s">
        <v>1754</v>
      </c>
      <c r="AK451" s="129">
        <v>10.4</v>
      </c>
      <c r="AL451" s="129">
        <v>10.41</v>
      </c>
      <c r="AM451" s="129">
        <v>10.434999999999999</v>
      </c>
      <c r="AN451" s="129">
        <v>10.44</v>
      </c>
      <c r="AO451" s="126" t="str">
        <f t="shared" si="38"/>
        <v/>
      </c>
      <c r="AR451" s="99" t="s">
        <v>136</v>
      </c>
    </row>
    <row r="452" spans="1:44" s="99" customFormat="1" ht="21" customHeight="1" x14ac:dyDescent="0.35">
      <c r="A452" s="99">
        <v>424</v>
      </c>
      <c r="B452" s="126" t="str">
        <f t="shared" si="39"/>
        <v>RM-304/1D-003X773</v>
      </c>
      <c r="C452" s="126" t="s">
        <v>43</v>
      </c>
      <c r="D452" s="126" t="s">
        <v>43</v>
      </c>
      <c r="E452" s="143" t="s">
        <v>1755</v>
      </c>
      <c r="F452" s="143" t="s">
        <v>1756</v>
      </c>
      <c r="G452" s="126">
        <v>304</v>
      </c>
      <c r="H452" s="126" t="s">
        <v>139</v>
      </c>
      <c r="I452" s="127">
        <v>3.49</v>
      </c>
      <c r="J452" s="127"/>
      <c r="K452" s="127"/>
      <c r="L452" s="127"/>
      <c r="M452" s="144">
        <v>773</v>
      </c>
      <c r="N452" s="129">
        <v>10.42</v>
      </c>
      <c r="O452" s="129"/>
      <c r="P452" s="129"/>
      <c r="Q452" s="130"/>
      <c r="R452" s="131"/>
      <c r="S452" s="131"/>
      <c r="T452" s="132"/>
      <c r="U452" s="132"/>
      <c r="V452" s="132"/>
      <c r="W452" s="132"/>
      <c r="X452" s="132"/>
      <c r="Y452" s="133" t="s">
        <v>1376</v>
      </c>
      <c r="Z452" s="126" t="s">
        <v>64</v>
      </c>
      <c r="AA452" s="134" t="s">
        <v>154</v>
      </c>
      <c r="AB452" s="134" t="s">
        <v>1516</v>
      </c>
      <c r="AC452" s="134"/>
      <c r="AD452" s="134">
        <v>44554</v>
      </c>
      <c r="AE452" s="134"/>
      <c r="AF452" s="134">
        <f t="shared" ca="1" si="35"/>
        <v>44963</v>
      </c>
      <c r="AG452" s="126">
        <f t="shared" ca="1" si="36"/>
        <v>409</v>
      </c>
      <c r="AH452" s="126" t="str">
        <f t="shared" si="37"/>
        <v/>
      </c>
      <c r="AI452" s="134"/>
      <c r="AJ452" s="143" t="s">
        <v>1754</v>
      </c>
      <c r="AK452" s="129">
        <v>10.42</v>
      </c>
      <c r="AL452" s="129">
        <v>10.43</v>
      </c>
      <c r="AM452" s="129">
        <v>10.454999999999998</v>
      </c>
      <c r="AN452" s="129">
        <v>10.459999999999999</v>
      </c>
      <c r="AO452" s="126" t="str">
        <f t="shared" si="38"/>
        <v/>
      </c>
      <c r="AR452" s="99" t="s">
        <v>136</v>
      </c>
    </row>
    <row r="453" spans="1:44" s="99" customFormat="1" ht="21" customHeight="1" x14ac:dyDescent="0.35">
      <c r="A453" s="99">
        <v>424</v>
      </c>
      <c r="B453" s="126" t="str">
        <f t="shared" si="39"/>
        <v>RM-304L/1D-004X770</v>
      </c>
      <c r="C453" s="126" t="s">
        <v>43</v>
      </c>
      <c r="D453" s="126" t="s">
        <v>43</v>
      </c>
      <c r="E453" s="143" t="s">
        <v>1757</v>
      </c>
      <c r="F453" s="143" t="s">
        <v>1758</v>
      </c>
      <c r="G453" s="126" t="s">
        <v>230</v>
      </c>
      <c r="H453" s="126" t="s">
        <v>139</v>
      </c>
      <c r="I453" s="127">
        <v>3.79</v>
      </c>
      <c r="J453" s="127"/>
      <c r="K453" s="127"/>
      <c r="L453" s="127"/>
      <c r="M453" s="144">
        <v>770</v>
      </c>
      <c r="N453" s="129">
        <v>10.244999999999999</v>
      </c>
      <c r="O453" s="129"/>
      <c r="P453" s="129"/>
      <c r="Q453" s="130"/>
      <c r="R453" s="131"/>
      <c r="S453" s="131"/>
      <c r="T453" s="132"/>
      <c r="U453" s="132"/>
      <c r="V453" s="132"/>
      <c r="W453" s="132"/>
      <c r="X453" s="132"/>
      <c r="Y453" s="133" t="s">
        <v>1376</v>
      </c>
      <c r="Z453" s="126" t="s">
        <v>64</v>
      </c>
      <c r="AA453" s="134" t="s">
        <v>154</v>
      </c>
      <c r="AB453" s="134" t="s">
        <v>1516</v>
      </c>
      <c r="AC453" s="134"/>
      <c r="AD453" s="134">
        <v>44554</v>
      </c>
      <c r="AE453" s="134"/>
      <c r="AF453" s="134">
        <f t="shared" ref="AF453:AF516" ca="1" si="40">TODAY()</f>
        <v>44963</v>
      </c>
      <c r="AG453" s="126">
        <f t="shared" ref="AG453:AG516" ca="1" si="41">IF(AD453&lt;&gt;0,AF453-AD453,0)</f>
        <v>409</v>
      </c>
      <c r="AH453" s="126" t="str">
        <f t="shared" ref="AH453:AH516" si="42">IF(ISNUMBER(V453)=TRUE,AF453-V453,IF(V453="","",(AF453)-(MID(RIGHT(V453,10),4,2)&amp;"/"&amp;LEFT((RIGHT(V453,10)),2)&amp;"/"&amp;RIGHT(V453,4))))</f>
        <v/>
      </c>
      <c r="AI453" s="134"/>
      <c r="AJ453" s="143" t="s">
        <v>1759</v>
      </c>
      <c r="AK453" s="129">
        <v>10.244999999999999</v>
      </c>
      <c r="AL453" s="129">
        <v>10.255000000000001</v>
      </c>
      <c r="AM453" s="129">
        <v>10.28</v>
      </c>
      <c r="AN453" s="129">
        <v>10.285</v>
      </c>
      <c r="AO453" s="126" t="str">
        <f t="shared" ref="AO453:AO516" si="43">IF(ISNUMBER(U453)=TRUE,AF453-U453,IF(U453="","",(AF453)-(MID(RIGHT(U453,10),4,2)&amp;"/"&amp;LEFT((RIGHT(U453,10)),2)&amp;"/"&amp;RIGHT(U453,4))))</f>
        <v/>
      </c>
      <c r="AR453" s="99" t="s">
        <v>136</v>
      </c>
    </row>
    <row r="454" spans="1:44" s="99" customFormat="1" ht="21" customHeight="1" x14ac:dyDescent="0.35">
      <c r="A454" s="99">
        <v>424</v>
      </c>
      <c r="B454" s="126" t="str">
        <f t="shared" si="39"/>
        <v>RM-304L/1D-004X772</v>
      </c>
      <c r="C454" s="126" t="s">
        <v>43</v>
      </c>
      <c r="D454" s="126" t="s">
        <v>43</v>
      </c>
      <c r="E454" s="143" t="s">
        <v>1760</v>
      </c>
      <c r="F454" s="143" t="s">
        <v>1761</v>
      </c>
      <c r="G454" s="126" t="s">
        <v>230</v>
      </c>
      <c r="H454" s="126" t="s">
        <v>139</v>
      </c>
      <c r="I454" s="127">
        <v>3.8</v>
      </c>
      <c r="J454" s="127"/>
      <c r="K454" s="127"/>
      <c r="L454" s="127"/>
      <c r="M454" s="144">
        <v>772</v>
      </c>
      <c r="N454" s="129">
        <v>10.3</v>
      </c>
      <c r="O454" s="129"/>
      <c r="P454" s="129"/>
      <c r="Q454" s="130"/>
      <c r="R454" s="131"/>
      <c r="S454" s="131"/>
      <c r="T454" s="132"/>
      <c r="U454" s="132"/>
      <c r="V454" s="132"/>
      <c r="W454" s="132"/>
      <c r="X454" s="132"/>
      <c r="Y454" s="133" t="s">
        <v>1376</v>
      </c>
      <c r="Z454" s="126" t="s">
        <v>64</v>
      </c>
      <c r="AA454" s="134" t="s">
        <v>154</v>
      </c>
      <c r="AB454" s="134" t="s">
        <v>1516</v>
      </c>
      <c r="AC454" s="134"/>
      <c r="AD454" s="134">
        <v>44554</v>
      </c>
      <c r="AE454" s="134"/>
      <c r="AF454" s="134">
        <f t="shared" ca="1" si="40"/>
        <v>44963</v>
      </c>
      <c r="AG454" s="126">
        <f t="shared" ca="1" si="41"/>
        <v>409</v>
      </c>
      <c r="AH454" s="126" t="str">
        <f t="shared" si="42"/>
        <v/>
      </c>
      <c r="AI454" s="134"/>
      <c r="AJ454" s="143" t="s">
        <v>1759</v>
      </c>
      <c r="AK454" s="129">
        <v>10.3</v>
      </c>
      <c r="AL454" s="129">
        <v>10.31</v>
      </c>
      <c r="AM454" s="129">
        <v>10.334999999999999</v>
      </c>
      <c r="AN454" s="129">
        <v>10.34</v>
      </c>
      <c r="AO454" s="126" t="str">
        <f t="shared" si="43"/>
        <v/>
      </c>
      <c r="AR454" s="99" t="s">
        <v>136</v>
      </c>
    </row>
    <row r="455" spans="1:44" s="99" customFormat="1" ht="21" customHeight="1" x14ac:dyDescent="0.35">
      <c r="A455" s="99">
        <v>424</v>
      </c>
      <c r="B455" s="126" t="str">
        <f t="shared" si="39"/>
        <v>RM-304L/1D-003X770</v>
      </c>
      <c r="C455" s="126" t="s">
        <v>43</v>
      </c>
      <c r="D455" s="126" t="s">
        <v>43</v>
      </c>
      <c r="E455" s="143" t="s">
        <v>1762</v>
      </c>
      <c r="F455" s="143" t="s">
        <v>1763</v>
      </c>
      <c r="G455" s="126" t="s">
        <v>230</v>
      </c>
      <c r="H455" s="126" t="s">
        <v>139</v>
      </c>
      <c r="I455" s="127">
        <v>3.15</v>
      </c>
      <c r="J455" s="127"/>
      <c r="K455" s="127"/>
      <c r="L455" s="127"/>
      <c r="M455" s="144">
        <v>770</v>
      </c>
      <c r="N455" s="129">
        <v>10.535</v>
      </c>
      <c r="O455" s="129"/>
      <c r="P455" s="129"/>
      <c r="Q455" s="130"/>
      <c r="R455" s="131"/>
      <c r="S455" s="131"/>
      <c r="T455" s="132"/>
      <c r="U455" s="132"/>
      <c r="V455" s="132"/>
      <c r="W455" s="132"/>
      <c r="X455" s="132"/>
      <c r="Y455" s="133" t="s">
        <v>1376</v>
      </c>
      <c r="Z455" s="126" t="s">
        <v>64</v>
      </c>
      <c r="AA455" s="134" t="s">
        <v>154</v>
      </c>
      <c r="AB455" s="134" t="s">
        <v>1516</v>
      </c>
      <c r="AC455" s="134"/>
      <c r="AD455" s="134">
        <v>44554</v>
      </c>
      <c r="AE455" s="134"/>
      <c r="AF455" s="134">
        <f t="shared" ca="1" si="40"/>
        <v>44963</v>
      </c>
      <c r="AG455" s="126">
        <f t="shared" ca="1" si="41"/>
        <v>409</v>
      </c>
      <c r="AH455" s="126" t="str">
        <f t="shared" si="42"/>
        <v/>
      </c>
      <c r="AI455" s="134"/>
      <c r="AJ455" s="143" t="s">
        <v>1764</v>
      </c>
      <c r="AK455" s="129">
        <v>10.535</v>
      </c>
      <c r="AL455" s="129">
        <v>10.545</v>
      </c>
      <c r="AM455" s="129">
        <v>10.569999999999999</v>
      </c>
      <c r="AN455" s="129">
        <v>10.574999999999999</v>
      </c>
      <c r="AO455" s="126" t="str">
        <f t="shared" si="43"/>
        <v/>
      </c>
      <c r="AR455" s="99" t="s">
        <v>136</v>
      </c>
    </row>
    <row r="456" spans="1:44" s="99" customFormat="1" ht="21" customHeight="1" x14ac:dyDescent="0.35">
      <c r="A456" s="99">
        <v>424</v>
      </c>
      <c r="B456" s="126" t="str">
        <f t="shared" si="39"/>
        <v>RM-304L/1D-003X768</v>
      </c>
      <c r="C456" s="126" t="s">
        <v>43</v>
      </c>
      <c r="D456" s="126" t="s">
        <v>43</v>
      </c>
      <c r="E456" s="143" t="s">
        <v>1765</v>
      </c>
      <c r="F456" s="143" t="s">
        <v>1766</v>
      </c>
      <c r="G456" s="126" t="s">
        <v>230</v>
      </c>
      <c r="H456" s="126" t="s">
        <v>139</v>
      </c>
      <c r="I456" s="127">
        <v>3.15</v>
      </c>
      <c r="J456" s="127"/>
      <c r="K456" s="127"/>
      <c r="L456" s="127"/>
      <c r="M456" s="144">
        <v>768</v>
      </c>
      <c r="N456" s="129">
        <v>10.52</v>
      </c>
      <c r="O456" s="129"/>
      <c r="P456" s="129"/>
      <c r="Q456" s="130"/>
      <c r="R456" s="131"/>
      <c r="S456" s="131"/>
      <c r="T456" s="132"/>
      <c r="U456" s="132"/>
      <c r="V456" s="132"/>
      <c r="W456" s="132"/>
      <c r="X456" s="132"/>
      <c r="Y456" s="133" t="s">
        <v>1376</v>
      </c>
      <c r="Z456" s="126" t="s">
        <v>64</v>
      </c>
      <c r="AA456" s="134" t="s">
        <v>154</v>
      </c>
      <c r="AB456" s="134" t="s">
        <v>1516</v>
      </c>
      <c r="AC456" s="134"/>
      <c r="AD456" s="134">
        <v>44554</v>
      </c>
      <c r="AE456" s="134"/>
      <c r="AF456" s="134">
        <f t="shared" ca="1" si="40"/>
        <v>44963</v>
      </c>
      <c r="AG456" s="126">
        <f t="shared" ca="1" si="41"/>
        <v>409</v>
      </c>
      <c r="AH456" s="126" t="str">
        <f t="shared" si="42"/>
        <v/>
      </c>
      <c r="AI456" s="134"/>
      <c r="AJ456" s="143" t="s">
        <v>1764</v>
      </c>
      <c r="AK456" s="129">
        <v>10.52</v>
      </c>
      <c r="AL456" s="129">
        <v>10.53</v>
      </c>
      <c r="AM456" s="129">
        <v>10.554999999999998</v>
      </c>
      <c r="AN456" s="129">
        <v>10.559999999999999</v>
      </c>
      <c r="AO456" s="126" t="str">
        <f t="shared" si="43"/>
        <v/>
      </c>
      <c r="AR456" s="99" t="s">
        <v>136</v>
      </c>
    </row>
    <row r="457" spans="1:44" s="99" customFormat="1" ht="21" customHeight="1" x14ac:dyDescent="0.35">
      <c r="A457" s="99">
        <v>424</v>
      </c>
      <c r="B457" s="126" t="str">
        <f t="shared" si="39"/>
        <v>RM-304L/1D-003X767</v>
      </c>
      <c r="C457" s="126" t="s">
        <v>43</v>
      </c>
      <c r="D457" s="126" t="s">
        <v>43</v>
      </c>
      <c r="E457" s="143" t="s">
        <v>1767</v>
      </c>
      <c r="F457" s="143" t="s">
        <v>1768</v>
      </c>
      <c r="G457" s="126" t="s">
        <v>230</v>
      </c>
      <c r="H457" s="126" t="s">
        <v>139</v>
      </c>
      <c r="I457" s="127">
        <v>3.48</v>
      </c>
      <c r="J457" s="127"/>
      <c r="K457" s="127"/>
      <c r="L457" s="127"/>
      <c r="M457" s="144">
        <v>767</v>
      </c>
      <c r="N457" s="129">
        <v>10.145</v>
      </c>
      <c r="O457" s="129"/>
      <c r="P457" s="129"/>
      <c r="Q457" s="130"/>
      <c r="R457" s="131"/>
      <c r="S457" s="131"/>
      <c r="T457" s="132"/>
      <c r="U457" s="132"/>
      <c r="V457" s="132"/>
      <c r="W457" s="132"/>
      <c r="X457" s="132"/>
      <c r="Y457" s="133" t="s">
        <v>1376</v>
      </c>
      <c r="Z457" s="126" t="s">
        <v>64</v>
      </c>
      <c r="AA457" s="134" t="s">
        <v>154</v>
      </c>
      <c r="AB457" s="134" t="s">
        <v>1516</v>
      </c>
      <c r="AC457" s="134"/>
      <c r="AD457" s="134">
        <v>44554</v>
      </c>
      <c r="AE457" s="134"/>
      <c r="AF457" s="134">
        <f t="shared" ca="1" si="40"/>
        <v>44963</v>
      </c>
      <c r="AG457" s="126">
        <f t="shared" ca="1" si="41"/>
        <v>409</v>
      </c>
      <c r="AH457" s="126" t="str">
        <f t="shared" si="42"/>
        <v/>
      </c>
      <c r="AI457" s="134"/>
      <c r="AJ457" s="143" t="s">
        <v>1769</v>
      </c>
      <c r="AK457" s="129">
        <v>10.145</v>
      </c>
      <c r="AL457" s="129">
        <v>10.154999999999999</v>
      </c>
      <c r="AM457" s="129">
        <v>10.179999999999998</v>
      </c>
      <c r="AN457" s="129">
        <v>10.184999999999999</v>
      </c>
      <c r="AO457" s="126" t="str">
        <f t="shared" si="43"/>
        <v/>
      </c>
      <c r="AR457" s="99" t="s">
        <v>136</v>
      </c>
    </row>
    <row r="458" spans="1:44" s="99" customFormat="1" ht="21" customHeight="1" x14ac:dyDescent="0.35">
      <c r="A458" s="99">
        <v>424</v>
      </c>
      <c r="B458" s="126" t="str">
        <f t="shared" si="39"/>
        <v>RM-304L/1D-003X770</v>
      </c>
      <c r="C458" s="126" t="s">
        <v>43</v>
      </c>
      <c r="D458" s="126" t="s">
        <v>43</v>
      </c>
      <c r="E458" s="143" t="s">
        <v>1770</v>
      </c>
      <c r="F458" s="143" t="s">
        <v>1771</v>
      </c>
      <c r="G458" s="126" t="s">
        <v>230</v>
      </c>
      <c r="H458" s="126" t="s">
        <v>139</v>
      </c>
      <c r="I458" s="127">
        <v>3.49</v>
      </c>
      <c r="J458" s="127"/>
      <c r="K458" s="127"/>
      <c r="L458" s="127"/>
      <c r="M458" s="144">
        <v>770</v>
      </c>
      <c r="N458" s="129">
        <v>10.225</v>
      </c>
      <c r="O458" s="129"/>
      <c r="P458" s="129"/>
      <c r="Q458" s="130"/>
      <c r="R458" s="131"/>
      <c r="S458" s="131"/>
      <c r="T458" s="132"/>
      <c r="U458" s="132"/>
      <c r="V458" s="132"/>
      <c r="W458" s="132"/>
      <c r="X458" s="132"/>
      <c r="Y458" s="133" t="s">
        <v>1376</v>
      </c>
      <c r="Z458" s="126" t="s">
        <v>64</v>
      </c>
      <c r="AA458" s="134" t="s">
        <v>154</v>
      </c>
      <c r="AB458" s="134" t="s">
        <v>1516</v>
      </c>
      <c r="AC458" s="134"/>
      <c r="AD458" s="134">
        <v>44554</v>
      </c>
      <c r="AE458" s="134"/>
      <c r="AF458" s="134">
        <f t="shared" ca="1" si="40"/>
        <v>44963</v>
      </c>
      <c r="AG458" s="126">
        <f t="shared" ca="1" si="41"/>
        <v>409</v>
      </c>
      <c r="AH458" s="126" t="str">
        <f t="shared" si="42"/>
        <v/>
      </c>
      <c r="AI458" s="134"/>
      <c r="AJ458" s="143" t="s">
        <v>1769</v>
      </c>
      <c r="AK458" s="129">
        <v>10.225</v>
      </c>
      <c r="AL458" s="129">
        <v>10.234999999999999</v>
      </c>
      <c r="AM458" s="129">
        <v>10.259999999999998</v>
      </c>
      <c r="AN458" s="129">
        <v>10.264999999999999</v>
      </c>
      <c r="AO458" s="126" t="str">
        <f t="shared" si="43"/>
        <v/>
      </c>
      <c r="AR458" s="99" t="s">
        <v>136</v>
      </c>
    </row>
    <row r="459" spans="1:44" s="99" customFormat="1" ht="21" customHeight="1" x14ac:dyDescent="0.35">
      <c r="A459" s="99">
        <v>424</v>
      </c>
      <c r="B459" s="126" t="str">
        <f t="shared" si="39"/>
        <v>WIP-304/2B-001X767</v>
      </c>
      <c r="C459" s="126" t="s">
        <v>14</v>
      </c>
      <c r="D459" s="126" t="s">
        <v>358</v>
      </c>
      <c r="E459" s="143" t="s">
        <v>1772</v>
      </c>
      <c r="F459" s="143" t="s">
        <v>1773</v>
      </c>
      <c r="G459" s="126">
        <v>304</v>
      </c>
      <c r="H459" s="126" t="s">
        <v>116</v>
      </c>
      <c r="I459" s="127">
        <v>3.89</v>
      </c>
      <c r="J459" s="127">
        <v>1.45</v>
      </c>
      <c r="K459" s="127">
        <v>1.46</v>
      </c>
      <c r="L459" s="127">
        <v>1.48</v>
      </c>
      <c r="M459" s="144">
        <v>767</v>
      </c>
      <c r="N459" s="129">
        <v>10.36</v>
      </c>
      <c r="O459" s="129" t="s">
        <v>116</v>
      </c>
      <c r="P459" s="129"/>
      <c r="Q459" s="130" t="s">
        <v>446</v>
      </c>
      <c r="R459" s="131"/>
      <c r="S459" s="131"/>
      <c r="T459" s="132">
        <v>44607</v>
      </c>
      <c r="U459" s="132">
        <v>44608</v>
      </c>
      <c r="V459" s="132">
        <v>44614</v>
      </c>
      <c r="W459" s="132"/>
      <c r="X459" s="132"/>
      <c r="Y459" s="133" t="s">
        <v>1395</v>
      </c>
      <c r="Z459" s="126" t="s">
        <v>64</v>
      </c>
      <c r="AA459" s="134" t="s">
        <v>154</v>
      </c>
      <c r="AB459" s="134" t="s">
        <v>1516</v>
      </c>
      <c r="AC459" s="134"/>
      <c r="AD459" s="134">
        <v>44554</v>
      </c>
      <c r="AE459" s="134"/>
      <c r="AF459" s="134">
        <f t="shared" ca="1" si="40"/>
        <v>44963</v>
      </c>
      <c r="AG459" s="126">
        <f t="shared" ca="1" si="41"/>
        <v>409</v>
      </c>
      <c r="AH459" s="126">
        <f t="shared" ca="1" si="42"/>
        <v>349</v>
      </c>
      <c r="AI459" s="134"/>
      <c r="AJ459" s="143" t="s">
        <v>1774</v>
      </c>
      <c r="AK459" s="129">
        <v>10.38</v>
      </c>
      <c r="AL459" s="129">
        <v>10.39</v>
      </c>
      <c r="AM459" s="129">
        <v>10.414999999999999</v>
      </c>
      <c r="AN459" s="129">
        <v>10.42</v>
      </c>
      <c r="AO459" s="126">
        <f t="shared" ca="1" si="43"/>
        <v>355</v>
      </c>
      <c r="AR459" s="99" t="s">
        <v>136</v>
      </c>
    </row>
    <row r="460" spans="1:44" s="99" customFormat="1" ht="21" customHeight="1" x14ac:dyDescent="0.35">
      <c r="A460" s="99">
        <v>424</v>
      </c>
      <c r="B460" s="126" t="str">
        <f t="shared" si="39"/>
        <v>RM-304/1D-004X769</v>
      </c>
      <c r="C460" s="126" t="s">
        <v>43</v>
      </c>
      <c r="D460" s="126" t="s">
        <v>43</v>
      </c>
      <c r="E460" s="143" t="s">
        <v>1775</v>
      </c>
      <c r="F460" s="143" t="s">
        <v>1776</v>
      </c>
      <c r="G460" s="126">
        <v>304</v>
      </c>
      <c r="H460" s="126" t="s">
        <v>139</v>
      </c>
      <c r="I460" s="127">
        <v>3.89</v>
      </c>
      <c r="J460" s="127"/>
      <c r="K460" s="127"/>
      <c r="L460" s="127"/>
      <c r="M460" s="144">
        <v>769</v>
      </c>
      <c r="N460" s="129">
        <v>10.414999999999999</v>
      </c>
      <c r="O460" s="129"/>
      <c r="P460" s="129"/>
      <c r="Q460" s="130"/>
      <c r="R460" s="131"/>
      <c r="S460" s="131"/>
      <c r="T460" s="132"/>
      <c r="U460" s="132"/>
      <c r="V460" s="132"/>
      <c r="W460" s="132"/>
      <c r="X460" s="132"/>
      <c r="Y460" s="133" t="s">
        <v>1376</v>
      </c>
      <c r="Z460" s="126" t="s">
        <v>64</v>
      </c>
      <c r="AA460" s="134" t="s">
        <v>154</v>
      </c>
      <c r="AB460" s="134" t="s">
        <v>1516</v>
      </c>
      <c r="AC460" s="134"/>
      <c r="AD460" s="134">
        <v>44554</v>
      </c>
      <c r="AE460" s="134"/>
      <c r="AF460" s="134">
        <f t="shared" ca="1" si="40"/>
        <v>44963</v>
      </c>
      <c r="AG460" s="126">
        <f t="shared" ca="1" si="41"/>
        <v>409</v>
      </c>
      <c r="AH460" s="126" t="str">
        <f t="shared" si="42"/>
        <v/>
      </c>
      <c r="AI460" s="134"/>
      <c r="AJ460" s="143" t="s">
        <v>1774</v>
      </c>
      <c r="AK460" s="129">
        <v>10.414999999999999</v>
      </c>
      <c r="AL460" s="129">
        <v>10.425000000000001</v>
      </c>
      <c r="AM460" s="129">
        <v>10.45</v>
      </c>
      <c r="AN460" s="129">
        <v>10.455</v>
      </c>
      <c r="AO460" s="126" t="str">
        <f t="shared" si="43"/>
        <v/>
      </c>
      <c r="AR460" s="99" t="s">
        <v>136</v>
      </c>
    </row>
    <row r="461" spans="1:44" s="99" customFormat="1" ht="21" customHeight="1" x14ac:dyDescent="0.35">
      <c r="A461" s="99">
        <v>424</v>
      </c>
      <c r="B461" s="126" t="str">
        <f t="shared" si="39"/>
        <v>RM-304/1D-004X765</v>
      </c>
      <c r="C461" s="126" t="s">
        <v>43</v>
      </c>
      <c r="D461" s="126" t="s">
        <v>43</v>
      </c>
      <c r="E461" s="143" t="s">
        <v>1777</v>
      </c>
      <c r="F461" s="143" t="s">
        <v>1778</v>
      </c>
      <c r="G461" s="126">
        <v>304</v>
      </c>
      <c r="H461" s="126" t="s">
        <v>139</v>
      </c>
      <c r="I461" s="127">
        <v>3.78</v>
      </c>
      <c r="J461" s="127"/>
      <c r="K461" s="127"/>
      <c r="L461" s="127"/>
      <c r="M461" s="144">
        <v>765</v>
      </c>
      <c r="N461" s="129">
        <v>10.365</v>
      </c>
      <c r="O461" s="129"/>
      <c r="P461" s="129"/>
      <c r="Q461" s="130"/>
      <c r="R461" s="131"/>
      <c r="S461" s="131"/>
      <c r="T461" s="132"/>
      <c r="U461" s="132"/>
      <c r="V461" s="132"/>
      <c r="W461" s="132"/>
      <c r="X461" s="132"/>
      <c r="Y461" s="133" t="s">
        <v>1376</v>
      </c>
      <c r="Z461" s="126" t="s">
        <v>64</v>
      </c>
      <c r="AA461" s="134" t="s">
        <v>154</v>
      </c>
      <c r="AB461" s="134" t="s">
        <v>1516</v>
      </c>
      <c r="AC461" s="134"/>
      <c r="AD461" s="134">
        <v>44554</v>
      </c>
      <c r="AE461" s="134"/>
      <c r="AF461" s="134">
        <f t="shared" ca="1" si="40"/>
        <v>44963</v>
      </c>
      <c r="AG461" s="126">
        <f t="shared" ca="1" si="41"/>
        <v>409</v>
      </c>
      <c r="AH461" s="126" t="str">
        <f t="shared" si="42"/>
        <v/>
      </c>
      <c r="AI461" s="134"/>
      <c r="AJ461" s="143" t="s">
        <v>1779</v>
      </c>
      <c r="AK461" s="129">
        <v>10.365</v>
      </c>
      <c r="AL461" s="129">
        <v>10.375</v>
      </c>
      <c r="AM461" s="129">
        <v>10.399999999999999</v>
      </c>
      <c r="AN461" s="129">
        <v>10.404999999999999</v>
      </c>
      <c r="AO461" s="126" t="str">
        <f t="shared" si="43"/>
        <v/>
      </c>
      <c r="AR461" s="99" t="s">
        <v>136</v>
      </c>
    </row>
    <row r="462" spans="1:44" s="99" customFormat="1" ht="21" customHeight="1" x14ac:dyDescent="0.35">
      <c r="A462" s="99">
        <v>424</v>
      </c>
      <c r="B462" s="126" t="str">
        <f t="shared" si="39"/>
        <v>RM-304/1D-004X766</v>
      </c>
      <c r="C462" s="126" t="s">
        <v>43</v>
      </c>
      <c r="D462" s="126" t="s">
        <v>43</v>
      </c>
      <c r="E462" s="143" t="s">
        <v>1780</v>
      </c>
      <c r="F462" s="143" t="s">
        <v>1781</v>
      </c>
      <c r="G462" s="126">
        <v>304</v>
      </c>
      <c r="H462" s="126" t="s">
        <v>139</v>
      </c>
      <c r="I462" s="127">
        <v>3.78</v>
      </c>
      <c r="J462" s="127"/>
      <c r="K462" s="127"/>
      <c r="L462" s="127"/>
      <c r="M462" s="144">
        <v>766</v>
      </c>
      <c r="N462" s="129">
        <v>10.37</v>
      </c>
      <c r="O462" s="129"/>
      <c r="P462" s="129"/>
      <c r="Q462" s="130"/>
      <c r="R462" s="131"/>
      <c r="S462" s="131"/>
      <c r="T462" s="132"/>
      <c r="U462" s="132"/>
      <c r="V462" s="132"/>
      <c r="W462" s="132"/>
      <c r="X462" s="132"/>
      <c r="Y462" s="133" t="s">
        <v>1376</v>
      </c>
      <c r="Z462" s="126" t="s">
        <v>64</v>
      </c>
      <c r="AA462" s="134" t="s">
        <v>154</v>
      </c>
      <c r="AB462" s="134" t="s">
        <v>1516</v>
      </c>
      <c r="AC462" s="134"/>
      <c r="AD462" s="134">
        <v>44554</v>
      </c>
      <c r="AE462" s="134"/>
      <c r="AF462" s="134">
        <f t="shared" ca="1" si="40"/>
        <v>44963</v>
      </c>
      <c r="AG462" s="126">
        <f t="shared" ca="1" si="41"/>
        <v>409</v>
      </c>
      <c r="AH462" s="126" t="str">
        <f t="shared" si="42"/>
        <v/>
      </c>
      <c r="AI462" s="134"/>
      <c r="AJ462" s="143" t="s">
        <v>1779</v>
      </c>
      <c r="AK462" s="129">
        <v>10.37</v>
      </c>
      <c r="AL462" s="129">
        <v>10.38</v>
      </c>
      <c r="AM462" s="129">
        <v>10.404999999999999</v>
      </c>
      <c r="AN462" s="129">
        <v>10.41</v>
      </c>
      <c r="AO462" s="126" t="str">
        <f t="shared" si="43"/>
        <v/>
      </c>
      <c r="AR462" s="99" t="s">
        <v>136</v>
      </c>
    </row>
    <row r="463" spans="1:44" s="99" customFormat="1" ht="21" customHeight="1" x14ac:dyDescent="0.35">
      <c r="A463" s="99">
        <v>424</v>
      </c>
      <c r="B463" s="126" t="str">
        <f t="shared" si="39"/>
        <v>RM-304L/1D-004X767</v>
      </c>
      <c r="C463" s="126" t="s">
        <v>43</v>
      </c>
      <c r="D463" s="126" t="s">
        <v>43</v>
      </c>
      <c r="E463" s="143" t="s">
        <v>1782</v>
      </c>
      <c r="F463" s="143" t="s">
        <v>1783</v>
      </c>
      <c r="G463" s="126" t="s">
        <v>230</v>
      </c>
      <c r="H463" s="126" t="s">
        <v>139</v>
      </c>
      <c r="I463" s="127">
        <v>3.78</v>
      </c>
      <c r="J463" s="127"/>
      <c r="K463" s="127"/>
      <c r="L463" s="127"/>
      <c r="M463" s="144">
        <v>767</v>
      </c>
      <c r="N463" s="129">
        <v>10.75</v>
      </c>
      <c r="O463" s="129"/>
      <c r="P463" s="129"/>
      <c r="Q463" s="130"/>
      <c r="R463" s="131"/>
      <c r="S463" s="131"/>
      <c r="T463" s="132"/>
      <c r="U463" s="132"/>
      <c r="V463" s="132"/>
      <c r="W463" s="132"/>
      <c r="X463" s="132"/>
      <c r="Y463" s="133" t="s">
        <v>1376</v>
      </c>
      <c r="Z463" s="126" t="s">
        <v>64</v>
      </c>
      <c r="AA463" s="134" t="s">
        <v>154</v>
      </c>
      <c r="AB463" s="134" t="s">
        <v>1516</v>
      </c>
      <c r="AC463" s="134"/>
      <c r="AD463" s="134">
        <v>44554</v>
      </c>
      <c r="AE463" s="134"/>
      <c r="AF463" s="134">
        <f t="shared" ca="1" si="40"/>
        <v>44963</v>
      </c>
      <c r="AG463" s="126">
        <f t="shared" ca="1" si="41"/>
        <v>409</v>
      </c>
      <c r="AH463" s="126" t="str">
        <f t="shared" si="42"/>
        <v/>
      </c>
      <c r="AI463" s="134"/>
      <c r="AJ463" s="143" t="s">
        <v>1784</v>
      </c>
      <c r="AK463" s="129">
        <v>10.75</v>
      </c>
      <c r="AL463" s="129">
        <v>10.76</v>
      </c>
      <c r="AM463" s="129">
        <v>10.784999999999998</v>
      </c>
      <c r="AN463" s="129">
        <v>10.79</v>
      </c>
      <c r="AO463" s="126" t="str">
        <f t="shared" si="43"/>
        <v/>
      </c>
      <c r="AR463" s="99" t="s">
        <v>136</v>
      </c>
    </row>
    <row r="464" spans="1:44" s="99" customFormat="1" ht="21" customHeight="1" x14ac:dyDescent="0.35">
      <c r="A464" s="99">
        <v>424</v>
      </c>
      <c r="B464" s="126" t="str">
        <f t="shared" si="39"/>
        <v>RM-304L/1D-004X768</v>
      </c>
      <c r="C464" s="126" t="s">
        <v>43</v>
      </c>
      <c r="D464" s="126" t="s">
        <v>43</v>
      </c>
      <c r="E464" s="143" t="s">
        <v>1785</v>
      </c>
      <c r="F464" s="143" t="s">
        <v>1786</v>
      </c>
      <c r="G464" s="126" t="s">
        <v>230</v>
      </c>
      <c r="H464" s="126" t="s">
        <v>139</v>
      </c>
      <c r="I464" s="127">
        <v>3.79</v>
      </c>
      <c r="J464" s="127"/>
      <c r="K464" s="127"/>
      <c r="L464" s="127"/>
      <c r="M464" s="144">
        <v>768</v>
      </c>
      <c r="N464" s="129">
        <v>10.78</v>
      </c>
      <c r="O464" s="129"/>
      <c r="P464" s="129"/>
      <c r="Q464" s="130"/>
      <c r="R464" s="131"/>
      <c r="S464" s="131"/>
      <c r="T464" s="132"/>
      <c r="U464" s="132"/>
      <c r="V464" s="132"/>
      <c r="W464" s="132"/>
      <c r="X464" s="132"/>
      <c r="Y464" s="133" t="s">
        <v>1376</v>
      </c>
      <c r="Z464" s="126" t="s">
        <v>64</v>
      </c>
      <c r="AA464" s="134" t="s">
        <v>154</v>
      </c>
      <c r="AB464" s="134" t="s">
        <v>1516</v>
      </c>
      <c r="AC464" s="134"/>
      <c r="AD464" s="134">
        <v>44554</v>
      </c>
      <c r="AE464" s="134"/>
      <c r="AF464" s="134">
        <f t="shared" ca="1" si="40"/>
        <v>44963</v>
      </c>
      <c r="AG464" s="126">
        <f t="shared" ca="1" si="41"/>
        <v>409</v>
      </c>
      <c r="AH464" s="126" t="str">
        <f t="shared" si="42"/>
        <v/>
      </c>
      <c r="AI464" s="134"/>
      <c r="AJ464" s="143" t="s">
        <v>1784</v>
      </c>
      <c r="AK464" s="129">
        <v>10.78</v>
      </c>
      <c r="AL464" s="129">
        <v>10.79</v>
      </c>
      <c r="AM464" s="129">
        <v>10.814999999999998</v>
      </c>
      <c r="AN464" s="129">
        <v>10.819999999999999</v>
      </c>
      <c r="AO464" s="126" t="str">
        <f t="shared" si="43"/>
        <v/>
      </c>
      <c r="AR464" s="99" t="s">
        <v>136</v>
      </c>
    </row>
    <row r="465" spans="1:44" s="99" customFormat="1" ht="21" customHeight="1" x14ac:dyDescent="0.35">
      <c r="A465" s="99">
        <v>424</v>
      </c>
      <c r="B465" s="126" t="str">
        <f t="shared" si="39"/>
        <v>RM-304L/1D-004X768</v>
      </c>
      <c r="C465" s="126" t="s">
        <v>43</v>
      </c>
      <c r="D465" s="126" t="s">
        <v>43</v>
      </c>
      <c r="E465" s="143" t="s">
        <v>1787</v>
      </c>
      <c r="F465" s="143" t="s">
        <v>1788</v>
      </c>
      <c r="G465" s="126" t="s">
        <v>230</v>
      </c>
      <c r="H465" s="126" t="s">
        <v>139</v>
      </c>
      <c r="I465" s="127">
        <v>3.79</v>
      </c>
      <c r="J465" s="127"/>
      <c r="K465" s="127"/>
      <c r="L465" s="127"/>
      <c r="M465" s="144">
        <v>768</v>
      </c>
      <c r="N465" s="129">
        <v>12.164999999999999</v>
      </c>
      <c r="O465" s="129"/>
      <c r="P465" s="129"/>
      <c r="Q465" s="130"/>
      <c r="R465" s="131"/>
      <c r="S465" s="131"/>
      <c r="T465" s="132"/>
      <c r="U465" s="132"/>
      <c r="V465" s="132"/>
      <c r="W465" s="132"/>
      <c r="X465" s="132"/>
      <c r="Y465" s="133" t="s">
        <v>1366</v>
      </c>
      <c r="Z465" s="126" t="s">
        <v>64</v>
      </c>
      <c r="AA465" s="134" t="s">
        <v>154</v>
      </c>
      <c r="AB465" s="134" t="s">
        <v>1516</v>
      </c>
      <c r="AC465" s="134"/>
      <c r="AD465" s="134">
        <v>44554</v>
      </c>
      <c r="AE465" s="134"/>
      <c r="AF465" s="134">
        <f t="shared" ca="1" si="40"/>
        <v>44963</v>
      </c>
      <c r="AG465" s="126">
        <f t="shared" ca="1" si="41"/>
        <v>409</v>
      </c>
      <c r="AH465" s="126" t="str">
        <f t="shared" si="42"/>
        <v/>
      </c>
      <c r="AI465" s="134"/>
      <c r="AJ465" s="143" t="s">
        <v>1789</v>
      </c>
      <c r="AK465" s="129">
        <v>12.164999999999999</v>
      </c>
      <c r="AL465" s="129">
        <v>12.175000000000001</v>
      </c>
      <c r="AM465" s="129">
        <v>12.2</v>
      </c>
      <c r="AN465" s="129">
        <v>12.205</v>
      </c>
      <c r="AO465" s="126" t="str">
        <f t="shared" si="43"/>
        <v/>
      </c>
      <c r="AR465" s="99" t="s">
        <v>136</v>
      </c>
    </row>
    <row r="466" spans="1:44" s="99" customFormat="1" ht="21" customHeight="1" x14ac:dyDescent="0.35">
      <c r="A466" s="99">
        <v>424</v>
      </c>
      <c r="B466" s="126" t="str">
        <f t="shared" si="39"/>
        <v>RM-304L/1D-004X767</v>
      </c>
      <c r="C466" s="126" t="s">
        <v>43</v>
      </c>
      <c r="D466" s="126" t="s">
        <v>43</v>
      </c>
      <c r="E466" s="143" t="s">
        <v>1790</v>
      </c>
      <c r="F466" s="143" t="s">
        <v>1791</v>
      </c>
      <c r="G466" s="126" t="s">
        <v>230</v>
      </c>
      <c r="H466" s="126" t="s">
        <v>139</v>
      </c>
      <c r="I466" s="127">
        <v>3.78</v>
      </c>
      <c r="J466" s="127"/>
      <c r="K466" s="127"/>
      <c r="L466" s="127"/>
      <c r="M466" s="144">
        <v>767</v>
      </c>
      <c r="N466" s="129">
        <v>12.12</v>
      </c>
      <c r="O466" s="129"/>
      <c r="P466" s="129"/>
      <c r="Q466" s="130"/>
      <c r="R466" s="131"/>
      <c r="S466" s="131"/>
      <c r="T466" s="132"/>
      <c r="U466" s="132"/>
      <c r="V466" s="132"/>
      <c r="W466" s="132"/>
      <c r="X466" s="132"/>
      <c r="Y466" s="133" t="s">
        <v>1376</v>
      </c>
      <c r="Z466" s="126" t="s">
        <v>64</v>
      </c>
      <c r="AA466" s="134" t="s">
        <v>154</v>
      </c>
      <c r="AB466" s="134" t="s">
        <v>1516</v>
      </c>
      <c r="AC466" s="134"/>
      <c r="AD466" s="134">
        <v>44554</v>
      </c>
      <c r="AE466" s="134"/>
      <c r="AF466" s="134">
        <f t="shared" ca="1" si="40"/>
        <v>44963</v>
      </c>
      <c r="AG466" s="126">
        <f t="shared" ca="1" si="41"/>
        <v>409</v>
      </c>
      <c r="AH466" s="126" t="str">
        <f t="shared" si="42"/>
        <v/>
      </c>
      <c r="AI466" s="134"/>
      <c r="AJ466" s="143" t="s">
        <v>1789</v>
      </c>
      <c r="AK466" s="129">
        <v>12.12</v>
      </c>
      <c r="AL466" s="129">
        <v>12.13</v>
      </c>
      <c r="AM466" s="129">
        <v>12.154999999999999</v>
      </c>
      <c r="AN466" s="129">
        <v>12.16</v>
      </c>
      <c r="AO466" s="126" t="str">
        <f t="shared" si="43"/>
        <v/>
      </c>
      <c r="AR466" s="99" t="s">
        <v>136</v>
      </c>
    </row>
    <row r="467" spans="1:44" s="99" customFormat="1" ht="21" customHeight="1" x14ac:dyDescent="0.35">
      <c r="A467" s="99">
        <v>424</v>
      </c>
      <c r="B467" s="126" t="str">
        <f t="shared" si="39"/>
        <v>RM-304/1D-003X768</v>
      </c>
      <c r="C467" s="126" t="s">
        <v>43</v>
      </c>
      <c r="D467" s="126" t="s">
        <v>43</v>
      </c>
      <c r="E467" s="143" t="s">
        <v>1792</v>
      </c>
      <c r="F467" s="143" t="s">
        <v>1793</v>
      </c>
      <c r="G467" s="126">
        <v>304</v>
      </c>
      <c r="H467" s="126" t="s">
        <v>139</v>
      </c>
      <c r="I467" s="127">
        <v>3.48</v>
      </c>
      <c r="J467" s="127"/>
      <c r="K467" s="127"/>
      <c r="L467" s="127"/>
      <c r="M467" s="144">
        <v>768</v>
      </c>
      <c r="N467" s="129">
        <v>10.33</v>
      </c>
      <c r="O467" s="129"/>
      <c r="P467" s="129"/>
      <c r="Q467" s="130"/>
      <c r="R467" s="131"/>
      <c r="S467" s="131"/>
      <c r="T467" s="132"/>
      <c r="U467" s="132"/>
      <c r="V467" s="132"/>
      <c r="W467" s="132"/>
      <c r="X467" s="132"/>
      <c r="Y467" s="133" t="s">
        <v>1376</v>
      </c>
      <c r="Z467" s="126" t="s">
        <v>64</v>
      </c>
      <c r="AA467" s="134" t="s">
        <v>154</v>
      </c>
      <c r="AB467" s="134" t="s">
        <v>1516</v>
      </c>
      <c r="AC467" s="134"/>
      <c r="AD467" s="134">
        <v>44554</v>
      </c>
      <c r="AE467" s="134"/>
      <c r="AF467" s="134">
        <f t="shared" ca="1" si="40"/>
        <v>44963</v>
      </c>
      <c r="AG467" s="126">
        <f t="shared" ca="1" si="41"/>
        <v>409</v>
      </c>
      <c r="AH467" s="126" t="str">
        <f t="shared" si="42"/>
        <v/>
      </c>
      <c r="AI467" s="134"/>
      <c r="AJ467" s="143" t="s">
        <v>1794</v>
      </c>
      <c r="AK467" s="129">
        <v>10.33</v>
      </c>
      <c r="AL467" s="129">
        <v>10.34</v>
      </c>
      <c r="AM467" s="129">
        <v>10.364999999999998</v>
      </c>
      <c r="AN467" s="129">
        <v>10.37</v>
      </c>
      <c r="AO467" s="126" t="str">
        <f t="shared" si="43"/>
        <v/>
      </c>
      <c r="AR467" s="99" t="s">
        <v>136</v>
      </c>
    </row>
    <row r="468" spans="1:44" s="99" customFormat="1" ht="21" customHeight="1" x14ac:dyDescent="0.35">
      <c r="A468" s="99">
        <v>424</v>
      </c>
      <c r="B468" s="126" t="str">
        <f t="shared" si="39"/>
        <v>RM-304/1D-004X768</v>
      </c>
      <c r="C468" s="126" t="s">
        <v>43</v>
      </c>
      <c r="D468" s="126" t="s">
        <v>43</v>
      </c>
      <c r="E468" s="143" t="s">
        <v>1795</v>
      </c>
      <c r="F468" s="143" t="s">
        <v>1796</v>
      </c>
      <c r="G468" s="126">
        <v>304</v>
      </c>
      <c r="H468" s="126" t="s">
        <v>139</v>
      </c>
      <c r="I468" s="127">
        <v>3.5</v>
      </c>
      <c r="J468" s="127"/>
      <c r="K468" s="127"/>
      <c r="L468" s="127"/>
      <c r="M468" s="144">
        <v>768</v>
      </c>
      <c r="N468" s="129">
        <v>10.4</v>
      </c>
      <c r="O468" s="129"/>
      <c r="P468" s="129"/>
      <c r="Q468" s="130"/>
      <c r="R468" s="131"/>
      <c r="S468" s="131"/>
      <c r="T468" s="132"/>
      <c r="U468" s="132"/>
      <c r="V468" s="132"/>
      <c r="W468" s="132"/>
      <c r="X468" s="132"/>
      <c r="Y468" s="133" t="s">
        <v>1376</v>
      </c>
      <c r="Z468" s="126" t="s">
        <v>64</v>
      </c>
      <c r="AA468" s="134" t="s">
        <v>154</v>
      </c>
      <c r="AB468" s="134" t="s">
        <v>1516</v>
      </c>
      <c r="AC468" s="134"/>
      <c r="AD468" s="134">
        <v>44554</v>
      </c>
      <c r="AE468" s="134"/>
      <c r="AF468" s="134">
        <f t="shared" ca="1" si="40"/>
        <v>44963</v>
      </c>
      <c r="AG468" s="126">
        <f t="shared" ca="1" si="41"/>
        <v>409</v>
      </c>
      <c r="AH468" s="126" t="str">
        <f t="shared" si="42"/>
        <v/>
      </c>
      <c r="AI468" s="134"/>
      <c r="AJ468" s="143" t="s">
        <v>1794</v>
      </c>
      <c r="AK468" s="129">
        <v>10.4</v>
      </c>
      <c r="AL468" s="129">
        <v>10.41</v>
      </c>
      <c r="AM468" s="129">
        <v>10.434999999999999</v>
      </c>
      <c r="AN468" s="129">
        <v>10.44</v>
      </c>
      <c r="AO468" s="126" t="str">
        <f t="shared" si="43"/>
        <v/>
      </c>
      <c r="AR468" s="99" t="s">
        <v>136</v>
      </c>
    </row>
    <row r="469" spans="1:44" s="99" customFormat="1" ht="21" customHeight="1" x14ac:dyDescent="0.35">
      <c r="A469" s="99">
        <v>424</v>
      </c>
      <c r="B469" s="126" t="str">
        <f t="shared" si="39"/>
        <v>RM-304L/1D-003X770</v>
      </c>
      <c r="C469" s="126" t="s">
        <v>43</v>
      </c>
      <c r="D469" s="126" t="s">
        <v>43</v>
      </c>
      <c r="E469" s="143" t="s">
        <v>1797</v>
      </c>
      <c r="F469" s="143" t="s">
        <v>1798</v>
      </c>
      <c r="G469" s="126" t="s">
        <v>230</v>
      </c>
      <c r="H469" s="126" t="s">
        <v>139</v>
      </c>
      <c r="I469" s="127">
        <v>3.14</v>
      </c>
      <c r="J469" s="127"/>
      <c r="K469" s="127"/>
      <c r="L469" s="127"/>
      <c r="M469" s="144">
        <v>770</v>
      </c>
      <c r="N469" s="129">
        <v>10.43</v>
      </c>
      <c r="O469" s="129"/>
      <c r="P469" s="129"/>
      <c r="Q469" s="130"/>
      <c r="R469" s="131"/>
      <c r="S469" s="131"/>
      <c r="T469" s="132"/>
      <c r="U469" s="132"/>
      <c r="V469" s="132"/>
      <c r="W469" s="132"/>
      <c r="X469" s="132"/>
      <c r="Y469" s="133" t="s">
        <v>1376</v>
      </c>
      <c r="Z469" s="126" t="s">
        <v>64</v>
      </c>
      <c r="AA469" s="134" t="s">
        <v>154</v>
      </c>
      <c r="AB469" s="134" t="s">
        <v>1516</v>
      </c>
      <c r="AC469" s="134"/>
      <c r="AD469" s="134">
        <v>44554</v>
      </c>
      <c r="AE469" s="134"/>
      <c r="AF469" s="134">
        <f t="shared" ca="1" si="40"/>
        <v>44963</v>
      </c>
      <c r="AG469" s="126">
        <f t="shared" ca="1" si="41"/>
        <v>409</v>
      </c>
      <c r="AH469" s="126" t="str">
        <f t="shared" si="42"/>
        <v/>
      </c>
      <c r="AI469" s="134"/>
      <c r="AJ469" s="143" t="s">
        <v>1799</v>
      </c>
      <c r="AK469" s="129">
        <v>10.43</v>
      </c>
      <c r="AL469" s="129">
        <v>10.44</v>
      </c>
      <c r="AM469" s="129">
        <v>10.464999999999998</v>
      </c>
      <c r="AN469" s="129">
        <v>10.469999999999999</v>
      </c>
      <c r="AO469" s="126" t="str">
        <f t="shared" si="43"/>
        <v/>
      </c>
      <c r="AR469" s="99" t="s">
        <v>136</v>
      </c>
    </row>
    <row r="470" spans="1:44" s="99" customFormat="1" ht="21" customHeight="1" x14ac:dyDescent="0.35">
      <c r="A470" s="99">
        <v>424</v>
      </c>
      <c r="B470" s="126" t="str">
        <f t="shared" si="39"/>
        <v>RM-304L/1D-003X773</v>
      </c>
      <c r="C470" s="126" t="s">
        <v>43</v>
      </c>
      <c r="D470" s="126" t="s">
        <v>43</v>
      </c>
      <c r="E470" s="143" t="s">
        <v>1800</v>
      </c>
      <c r="F470" s="143" t="s">
        <v>1801</v>
      </c>
      <c r="G470" s="126" t="s">
        <v>230</v>
      </c>
      <c r="H470" s="126" t="s">
        <v>139</v>
      </c>
      <c r="I470" s="127">
        <v>3.14</v>
      </c>
      <c r="J470" s="127"/>
      <c r="K470" s="127"/>
      <c r="L470" s="127"/>
      <c r="M470" s="144">
        <v>773</v>
      </c>
      <c r="N470" s="129">
        <v>10.035</v>
      </c>
      <c r="O470" s="129"/>
      <c r="P470" s="129"/>
      <c r="Q470" s="130"/>
      <c r="R470" s="131"/>
      <c r="S470" s="131"/>
      <c r="T470" s="132"/>
      <c r="U470" s="132"/>
      <c r="V470" s="132"/>
      <c r="W470" s="132"/>
      <c r="X470" s="132"/>
      <c r="Y470" s="133" t="s">
        <v>1376</v>
      </c>
      <c r="Z470" s="126" t="s">
        <v>64</v>
      </c>
      <c r="AA470" s="134" t="s">
        <v>154</v>
      </c>
      <c r="AB470" s="134" t="s">
        <v>1516</v>
      </c>
      <c r="AC470" s="134"/>
      <c r="AD470" s="134">
        <v>44554</v>
      </c>
      <c r="AE470" s="134"/>
      <c r="AF470" s="134">
        <f t="shared" ca="1" si="40"/>
        <v>44963</v>
      </c>
      <c r="AG470" s="126">
        <f t="shared" ca="1" si="41"/>
        <v>409</v>
      </c>
      <c r="AH470" s="126" t="str">
        <f t="shared" si="42"/>
        <v/>
      </c>
      <c r="AI470" s="134"/>
      <c r="AJ470" s="143" t="s">
        <v>1799</v>
      </c>
      <c r="AK470" s="129">
        <v>10.035</v>
      </c>
      <c r="AL470" s="129">
        <v>10.045</v>
      </c>
      <c r="AM470" s="129">
        <v>10.069999999999999</v>
      </c>
      <c r="AN470" s="129">
        <v>10.074999999999999</v>
      </c>
      <c r="AO470" s="126" t="str">
        <f t="shared" si="43"/>
        <v/>
      </c>
      <c r="AR470" s="99" t="s">
        <v>136</v>
      </c>
    </row>
    <row r="471" spans="1:44" s="99" customFormat="1" ht="21" customHeight="1" x14ac:dyDescent="0.35">
      <c r="A471" s="99">
        <v>424</v>
      </c>
      <c r="B471" s="126" t="str">
        <f t="shared" si="39"/>
        <v>RM-304L/1D-004X767</v>
      </c>
      <c r="C471" s="126" t="s">
        <v>43</v>
      </c>
      <c r="D471" s="126" t="s">
        <v>43</v>
      </c>
      <c r="E471" s="143" t="s">
        <v>1802</v>
      </c>
      <c r="F471" s="143" t="s">
        <v>1803</v>
      </c>
      <c r="G471" s="126" t="s">
        <v>230</v>
      </c>
      <c r="H471" s="126" t="s">
        <v>139</v>
      </c>
      <c r="I471" s="127">
        <v>3.78</v>
      </c>
      <c r="J471" s="127"/>
      <c r="K471" s="127"/>
      <c r="L471" s="127"/>
      <c r="M471" s="144">
        <v>767</v>
      </c>
      <c r="N471" s="129">
        <v>11.63</v>
      </c>
      <c r="O471" s="129"/>
      <c r="P471" s="129"/>
      <c r="Q471" s="130"/>
      <c r="R471" s="131"/>
      <c r="S471" s="131"/>
      <c r="T471" s="132"/>
      <c r="U471" s="132"/>
      <c r="V471" s="132"/>
      <c r="W471" s="132"/>
      <c r="X471" s="132"/>
      <c r="Y471" s="133" t="s">
        <v>1376</v>
      </c>
      <c r="Z471" s="126" t="s">
        <v>64</v>
      </c>
      <c r="AA471" s="134" t="s">
        <v>154</v>
      </c>
      <c r="AB471" s="134" t="s">
        <v>1516</v>
      </c>
      <c r="AC471" s="134"/>
      <c r="AD471" s="134">
        <v>44554</v>
      </c>
      <c r="AE471" s="134"/>
      <c r="AF471" s="134">
        <f t="shared" ca="1" si="40"/>
        <v>44963</v>
      </c>
      <c r="AG471" s="126">
        <f t="shared" ca="1" si="41"/>
        <v>409</v>
      </c>
      <c r="AH471" s="126" t="str">
        <f t="shared" si="42"/>
        <v/>
      </c>
      <c r="AI471" s="134"/>
      <c r="AJ471" s="143" t="s">
        <v>1804</v>
      </c>
      <c r="AK471" s="129">
        <v>11.63</v>
      </c>
      <c r="AL471" s="129">
        <v>11.64</v>
      </c>
      <c r="AM471" s="129">
        <v>11.664999999999999</v>
      </c>
      <c r="AN471" s="129">
        <v>11.67</v>
      </c>
      <c r="AO471" s="126" t="str">
        <f t="shared" si="43"/>
        <v/>
      </c>
      <c r="AR471" s="99" t="s">
        <v>136</v>
      </c>
    </row>
    <row r="472" spans="1:44" s="99" customFormat="1" ht="21" customHeight="1" x14ac:dyDescent="0.35">
      <c r="A472" s="99">
        <v>424</v>
      </c>
      <c r="B472" s="126" t="str">
        <f t="shared" si="39"/>
        <v>RM-304L/1D-004X767</v>
      </c>
      <c r="C472" s="126" t="s">
        <v>43</v>
      </c>
      <c r="D472" s="126" t="s">
        <v>43</v>
      </c>
      <c r="E472" s="143" t="s">
        <v>1805</v>
      </c>
      <c r="F472" s="143" t="s">
        <v>1806</v>
      </c>
      <c r="G472" s="126" t="s">
        <v>230</v>
      </c>
      <c r="H472" s="126" t="s">
        <v>139</v>
      </c>
      <c r="I472" s="127">
        <v>3.79</v>
      </c>
      <c r="J472" s="127"/>
      <c r="K472" s="127"/>
      <c r="L472" s="127"/>
      <c r="M472" s="144">
        <v>767</v>
      </c>
      <c r="N472" s="129">
        <v>11.65</v>
      </c>
      <c r="O472" s="129"/>
      <c r="P472" s="129"/>
      <c r="Q472" s="130"/>
      <c r="R472" s="131"/>
      <c r="S472" s="131"/>
      <c r="T472" s="132"/>
      <c r="U472" s="132"/>
      <c r="V472" s="132"/>
      <c r="W472" s="132"/>
      <c r="X472" s="132"/>
      <c r="Y472" s="133" t="s">
        <v>1376</v>
      </c>
      <c r="Z472" s="126" t="s">
        <v>64</v>
      </c>
      <c r="AA472" s="134" t="s">
        <v>154</v>
      </c>
      <c r="AB472" s="134" t="s">
        <v>1516</v>
      </c>
      <c r="AC472" s="134"/>
      <c r="AD472" s="134">
        <v>44554</v>
      </c>
      <c r="AE472" s="134"/>
      <c r="AF472" s="134">
        <f t="shared" ca="1" si="40"/>
        <v>44963</v>
      </c>
      <c r="AG472" s="126">
        <f t="shared" ca="1" si="41"/>
        <v>409</v>
      </c>
      <c r="AH472" s="126" t="str">
        <f t="shared" si="42"/>
        <v/>
      </c>
      <c r="AI472" s="134"/>
      <c r="AJ472" s="143" t="s">
        <v>1804</v>
      </c>
      <c r="AK472" s="129">
        <v>11.65</v>
      </c>
      <c r="AL472" s="129">
        <v>11.66</v>
      </c>
      <c r="AM472" s="129">
        <v>11.684999999999999</v>
      </c>
      <c r="AN472" s="129">
        <v>11.69</v>
      </c>
      <c r="AO472" s="126" t="str">
        <f t="shared" si="43"/>
        <v/>
      </c>
      <c r="AR472" s="99" t="s">
        <v>136</v>
      </c>
    </row>
    <row r="473" spans="1:44" s="99" customFormat="1" ht="21" customHeight="1" x14ac:dyDescent="0.35">
      <c r="A473" s="99">
        <v>424</v>
      </c>
      <c r="B473" s="126" t="str">
        <f t="shared" si="39"/>
        <v>RM-304L/1D-004X767</v>
      </c>
      <c r="C473" s="126" t="s">
        <v>43</v>
      </c>
      <c r="D473" s="126" t="s">
        <v>43</v>
      </c>
      <c r="E473" s="143" t="s">
        <v>1807</v>
      </c>
      <c r="F473" s="143" t="s">
        <v>1808</v>
      </c>
      <c r="G473" s="126" t="s">
        <v>230</v>
      </c>
      <c r="H473" s="126" t="s">
        <v>139</v>
      </c>
      <c r="I473" s="127">
        <v>3.79</v>
      </c>
      <c r="J473" s="127"/>
      <c r="K473" s="127"/>
      <c r="L473" s="127"/>
      <c r="M473" s="144">
        <v>767</v>
      </c>
      <c r="N473" s="129">
        <v>9.81</v>
      </c>
      <c r="O473" s="129"/>
      <c r="P473" s="129"/>
      <c r="Q473" s="130"/>
      <c r="R473" s="131"/>
      <c r="S473" s="131"/>
      <c r="T473" s="132"/>
      <c r="U473" s="132"/>
      <c r="V473" s="132"/>
      <c r="W473" s="132"/>
      <c r="X473" s="132"/>
      <c r="Y473" s="133" t="s">
        <v>1376</v>
      </c>
      <c r="Z473" s="126" t="s">
        <v>64</v>
      </c>
      <c r="AA473" s="134" t="s">
        <v>154</v>
      </c>
      <c r="AB473" s="134" t="s">
        <v>1516</v>
      </c>
      <c r="AC473" s="134"/>
      <c r="AD473" s="134">
        <v>44554</v>
      </c>
      <c r="AE473" s="134"/>
      <c r="AF473" s="134">
        <f t="shared" ca="1" si="40"/>
        <v>44963</v>
      </c>
      <c r="AG473" s="126">
        <f t="shared" ca="1" si="41"/>
        <v>409</v>
      </c>
      <c r="AH473" s="126" t="str">
        <f t="shared" si="42"/>
        <v/>
      </c>
      <c r="AI473" s="134"/>
      <c r="AJ473" s="143" t="s">
        <v>1809</v>
      </c>
      <c r="AK473" s="129">
        <v>9.81</v>
      </c>
      <c r="AL473" s="129">
        <v>9.82</v>
      </c>
      <c r="AM473" s="129">
        <v>9.8449999999999989</v>
      </c>
      <c r="AN473" s="129">
        <v>9.85</v>
      </c>
      <c r="AO473" s="126" t="str">
        <f t="shared" si="43"/>
        <v/>
      </c>
      <c r="AR473" s="99" t="s">
        <v>136</v>
      </c>
    </row>
    <row r="474" spans="1:44" s="99" customFormat="1" ht="21" customHeight="1" x14ac:dyDescent="0.35">
      <c r="A474" s="99">
        <v>424</v>
      </c>
      <c r="B474" s="126" t="str">
        <f t="shared" si="39"/>
        <v>RM-304L/1D-004X767</v>
      </c>
      <c r="C474" s="126" t="s">
        <v>43</v>
      </c>
      <c r="D474" s="126" t="s">
        <v>43</v>
      </c>
      <c r="E474" s="143" t="s">
        <v>1810</v>
      </c>
      <c r="F474" s="143" t="s">
        <v>1811</v>
      </c>
      <c r="G474" s="126" t="s">
        <v>230</v>
      </c>
      <c r="H474" s="126" t="s">
        <v>139</v>
      </c>
      <c r="I474" s="127">
        <v>3.79</v>
      </c>
      <c r="J474" s="127"/>
      <c r="K474" s="127"/>
      <c r="L474" s="127"/>
      <c r="M474" s="144">
        <v>767</v>
      </c>
      <c r="N474" s="129">
        <v>9.82</v>
      </c>
      <c r="O474" s="129"/>
      <c r="P474" s="129"/>
      <c r="Q474" s="130"/>
      <c r="R474" s="131"/>
      <c r="S474" s="131"/>
      <c r="T474" s="132"/>
      <c r="U474" s="132"/>
      <c r="V474" s="132"/>
      <c r="W474" s="132"/>
      <c r="X474" s="132"/>
      <c r="Y474" s="133" t="s">
        <v>1376</v>
      </c>
      <c r="Z474" s="126" t="s">
        <v>64</v>
      </c>
      <c r="AA474" s="134" t="s">
        <v>154</v>
      </c>
      <c r="AB474" s="134" t="s">
        <v>1516</v>
      </c>
      <c r="AC474" s="134"/>
      <c r="AD474" s="134">
        <v>44554</v>
      </c>
      <c r="AE474" s="134"/>
      <c r="AF474" s="134">
        <f t="shared" ca="1" si="40"/>
        <v>44963</v>
      </c>
      <c r="AG474" s="126">
        <f t="shared" ca="1" si="41"/>
        <v>409</v>
      </c>
      <c r="AH474" s="126" t="str">
        <f t="shared" si="42"/>
        <v/>
      </c>
      <c r="AI474" s="134"/>
      <c r="AJ474" s="143" t="s">
        <v>1809</v>
      </c>
      <c r="AK474" s="129">
        <v>9.82</v>
      </c>
      <c r="AL474" s="129">
        <v>9.83</v>
      </c>
      <c r="AM474" s="129">
        <v>9.8549999999999986</v>
      </c>
      <c r="AN474" s="129">
        <v>9.86</v>
      </c>
      <c r="AO474" s="126" t="str">
        <f t="shared" si="43"/>
        <v/>
      </c>
      <c r="AR474" s="99" t="s">
        <v>136</v>
      </c>
    </row>
    <row r="475" spans="1:44" s="99" customFormat="1" ht="21" customHeight="1" x14ac:dyDescent="0.35">
      <c r="A475" s="99">
        <v>424</v>
      </c>
      <c r="B475" s="126" t="str">
        <f t="shared" si="39"/>
        <v>RM-304L/1D-004X767</v>
      </c>
      <c r="C475" s="126" t="s">
        <v>43</v>
      </c>
      <c r="D475" s="126" t="s">
        <v>43</v>
      </c>
      <c r="E475" s="143" t="s">
        <v>1812</v>
      </c>
      <c r="F475" s="143" t="s">
        <v>1813</v>
      </c>
      <c r="G475" s="126" t="s">
        <v>230</v>
      </c>
      <c r="H475" s="126" t="s">
        <v>139</v>
      </c>
      <c r="I475" s="127">
        <v>3.8</v>
      </c>
      <c r="J475" s="127"/>
      <c r="K475" s="127"/>
      <c r="L475" s="127"/>
      <c r="M475" s="144">
        <v>767</v>
      </c>
      <c r="N475" s="129">
        <v>12.065</v>
      </c>
      <c r="O475" s="129"/>
      <c r="P475" s="129"/>
      <c r="Q475" s="130"/>
      <c r="R475" s="131"/>
      <c r="S475" s="131"/>
      <c r="T475" s="132"/>
      <c r="U475" s="132"/>
      <c r="V475" s="132"/>
      <c r="W475" s="132"/>
      <c r="X475" s="132"/>
      <c r="Y475" s="133" t="s">
        <v>1376</v>
      </c>
      <c r="Z475" s="126" t="s">
        <v>64</v>
      </c>
      <c r="AA475" s="134" t="s">
        <v>154</v>
      </c>
      <c r="AB475" s="134" t="s">
        <v>1516</v>
      </c>
      <c r="AC475" s="134"/>
      <c r="AD475" s="134">
        <v>44554</v>
      </c>
      <c r="AE475" s="134"/>
      <c r="AF475" s="134">
        <f t="shared" ca="1" si="40"/>
        <v>44963</v>
      </c>
      <c r="AG475" s="126">
        <f t="shared" ca="1" si="41"/>
        <v>409</v>
      </c>
      <c r="AH475" s="126" t="str">
        <f t="shared" si="42"/>
        <v/>
      </c>
      <c r="AI475" s="134"/>
      <c r="AJ475" s="143" t="s">
        <v>1814</v>
      </c>
      <c r="AK475" s="129">
        <v>12.065</v>
      </c>
      <c r="AL475" s="129">
        <v>12.074999999999999</v>
      </c>
      <c r="AM475" s="129">
        <v>12.099999999999998</v>
      </c>
      <c r="AN475" s="129">
        <v>12.104999999999999</v>
      </c>
      <c r="AO475" s="126" t="str">
        <f t="shared" si="43"/>
        <v/>
      </c>
      <c r="AR475" s="99" t="s">
        <v>136</v>
      </c>
    </row>
    <row r="476" spans="1:44" s="99" customFormat="1" ht="21" customHeight="1" x14ac:dyDescent="0.35">
      <c r="A476" s="99">
        <v>424</v>
      </c>
      <c r="B476" s="126" t="str">
        <f t="shared" si="39"/>
        <v>RM-304L/1D-004X765</v>
      </c>
      <c r="C476" s="126" t="s">
        <v>43</v>
      </c>
      <c r="D476" s="126" t="s">
        <v>43</v>
      </c>
      <c r="E476" s="143" t="s">
        <v>1815</v>
      </c>
      <c r="F476" s="143" t="s">
        <v>1816</v>
      </c>
      <c r="G476" s="126" t="s">
        <v>230</v>
      </c>
      <c r="H476" s="126" t="s">
        <v>139</v>
      </c>
      <c r="I476" s="127">
        <v>3.79</v>
      </c>
      <c r="J476" s="127"/>
      <c r="K476" s="127"/>
      <c r="L476" s="127"/>
      <c r="M476" s="144">
        <v>765</v>
      </c>
      <c r="N476" s="129">
        <v>12.035</v>
      </c>
      <c r="O476" s="129"/>
      <c r="P476" s="129"/>
      <c r="Q476" s="130"/>
      <c r="R476" s="131"/>
      <c r="S476" s="131"/>
      <c r="T476" s="132"/>
      <c r="U476" s="132"/>
      <c r="V476" s="132"/>
      <c r="W476" s="132"/>
      <c r="X476" s="132"/>
      <c r="Y476" s="133" t="s">
        <v>1376</v>
      </c>
      <c r="Z476" s="126" t="s">
        <v>64</v>
      </c>
      <c r="AA476" s="134" t="s">
        <v>154</v>
      </c>
      <c r="AB476" s="134" t="s">
        <v>1516</v>
      </c>
      <c r="AC476" s="134"/>
      <c r="AD476" s="134">
        <v>44554</v>
      </c>
      <c r="AE476" s="134"/>
      <c r="AF476" s="134">
        <f t="shared" ca="1" si="40"/>
        <v>44963</v>
      </c>
      <c r="AG476" s="126">
        <f t="shared" ca="1" si="41"/>
        <v>409</v>
      </c>
      <c r="AH476" s="126" t="str">
        <f t="shared" si="42"/>
        <v/>
      </c>
      <c r="AI476" s="134"/>
      <c r="AJ476" s="143" t="s">
        <v>1814</v>
      </c>
      <c r="AK476" s="129">
        <v>12.035</v>
      </c>
      <c r="AL476" s="129">
        <v>12.045</v>
      </c>
      <c r="AM476" s="129">
        <v>12.069999999999999</v>
      </c>
      <c r="AN476" s="129">
        <v>12.074999999999999</v>
      </c>
      <c r="AO476" s="126" t="str">
        <f t="shared" si="43"/>
        <v/>
      </c>
      <c r="AR476" s="99" t="s">
        <v>136</v>
      </c>
    </row>
    <row r="477" spans="1:44" s="99" customFormat="1" ht="21" customHeight="1" x14ac:dyDescent="0.35">
      <c r="A477" s="99">
        <v>424</v>
      </c>
      <c r="B477" s="126" t="str">
        <f t="shared" si="39"/>
        <v>RM-304/1D-004X769</v>
      </c>
      <c r="C477" s="126" t="s">
        <v>43</v>
      </c>
      <c r="D477" s="126" t="s">
        <v>43</v>
      </c>
      <c r="E477" s="143" t="s">
        <v>1817</v>
      </c>
      <c r="F477" s="143" t="s">
        <v>1818</v>
      </c>
      <c r="G477" s="126">
        <v>304</v>
      </c>
      <c r="H477" s="126" t="s">
        <v>139</v>
      </c>
      <c r="I477" s="127">
        <v>3.8</v>
      </c>
      <c r="J477" s="127"/>
      <c r="K477" s="127"/>
      <c r="L477" s="127"/>
      <c r="M477" s="144">
        <v>769</v>
      </c>
      <c r="N477" s="129">
        <v>10.435</v>
      </c>
      <c r="O477" s="129"/>
      <c r="P477" s="129"/>
      <c r="Q477" s="130"/>
      <c r="R477" s="131"/>
      <c r="S477" s="131"/>
      <c r="T477" s="132"/>
      <c r="U477" s="132"/>
      <c r="V477" s="132"/>
      <c r="W477" s="132"/>
      <c r="X477" s="132"/>
      <c r="Y477" s="133" t="s">
        <v>1376</v>
      </c>
      <c r="Z477" s="126" t="s">
        <v>64</v>
      </c>
      <c r="AA477" s="134" t="s">
        <v>154</v>
      </c>
      <c r="AB477" s="134" t="s">
        <v>1516</v>
      </c>
      <c r="AC477" s="134"/>
      <c r="AD477" s="134">
        <v>44554</v>
      </c>
      <c r="AE477" s="134"/>
      <c r="AF477" s="134">
        <f t="shared" ca="1" si="40"/>
        <v>44963</v>
      </c>
      <c r="AG477" s="126">
        <f t="shared" ca="1" si="41"/>
        <v>409</v>
      </c>
      <c r="AH477" s="126" t="str">
        <f t="shared" si="42"/>
        <v/>
      </c>
      <c r="AI477" s="134"/>
      <c r="AJ477" s="143" t="s">
        <v>1819</v>
      </c>
      <c r="AK477" s="129">
        <v>10.435</v>
      </c>
      <c r="AL477" s="129">
        <v>10.445</v>
      </c>
      <c r="AM477" s="129">
        <v>10.469999999999999</v>
      </c>
      <c r="AN477" s="129">
        <v>10.475</v>
      </c>
      <c r="AO477" s="126" t="str">
        <f t="shared" si="43"/>
        <v/>
      </c>
      <c r="AR477" s="99" t="s">
        <v>136</v>
      </c>
    </row>
    <row r="478" spans="1:44" s="99" customFormat="1" ht="21" customHeight="1" x14ac:dyDescent="0.35">
      <c r="A478" s="99">
        <v>424</v>
      </c>
      <c r="B478" s="126" t="str">
        <f t="shared" si="39"/>
        <v>RM-304/1D-004X767</v>
      </c>
      <c r="C478" s="126" t="s">
        <v>43</v>
      </c>
      <c r="D478" s="126" t="s">
        <v>43</v>
      </c>
      <c r="E478" s="143" t="s">
        <v>1820</v>
      </c>
      <c r="F478" s="143" t="s">
        <v>1821</v>
      </c>
      <c r="G478" s="126">
        <v>304</v>
      </c>
      <c r="H478" s="126" t="s">
        <v>139</v>
      </c>
      <c r="I478" s="127">
        <v>3.79</v>
      </c>
      <c r="J478" s="127"/>
      <c r="K478" s="127"/>
      <c r="L478" s="127"/>
      <c r="M478" s="144">
        <v>767</v>
      </c>
      <c r="N478" s="129">
        <v>10.365</v>
      </c>
      <c r="O478" s="129"/>
      <c r="P478" s="129"/>
      <c r="Q478" s="130"/>
      <c r="R478" s="131"/>
      <c r="S478" s="131"/>
      <c r="T478" s="132"/>
      <c r="U478" s="132"/>
      <c r="V478" s="132"/>
      <c r="W478" s="132"/>
      <c r="X478" s="132"/>
      <c r="Y478" s="133" t="s">
        <v>1376</v>
      </c>
      <c r="Z478" s="126" t="s">
        <v>64</v>
      </c>
      <c r="AA478" s="134" t="s">
        <v>154</v>
      </c>
      <c r="AB478" s="134" t="s">
        <v>1516</v>
      </c>
      <c r="AC478" s="134"/>
      <c r="AD478" s="134">
        <v>44554</v>
      </c>
      <c r="AE478" s="134"/>
      <c r="AF478" s="134">
        <f t="shared" ca="1" si="40"/>
        <v>44963</v>
      </c>
      <c r="AG478" s="126">
        <f t="shared" ca="1" si="41"/>
        <v>409</v>
      </c>
      <c r="AH478" s="126" t="str">
        <f t="shared" si="42"/>
        <v/>
      </c>
      <c r="AI478" s="134"/>
      <c r="AJ478" s="143" t="s">
        <v>1819</v>
      </c>
      <c r="AK478" s="129">
        <v>10.365</v>
      </c>
      <c r="AL478" s="129">
        <v>10.375</v>
      </c>
      <c r="AM478" s="129">
        <v>10.399999999999999</v>
      </c>
      <c r="AN478" s="129">
        <v>10.404999999999999</v>
      </c>
      <c r="AO478" s="126" t="str">
        <f t="shared" si="43"/>
        <v/>
      </c>
      <c r="AR478" s="99" t="s">
        <v>136</v>
      </c>
    </row>
    <row r="479" spans="1:44" s="99" customFormat="1" ht="21" customHeight="1" x14ac:dyDescent="0.35">
      <c r="A479" s="99">
        <v>424</v>
      </c>
      <c r="B479" s="126" t="str">
        <f t="shared" si="39"/>
        <v>RM-304L/1D-004X769</v>
      </c>
      <c r="C479" s="126" t="s">
        <v>43</v>
      </c>
      <c r="D479" s="126" t="s">
        <v>43</v>
      </c>
      <c r="E479" s="143" t="s">
        <v>1822</v>
      </c>
      <c r="F479" s="143" t="s">
        <v>1823</v>
      </c>
      <c r="G479" s="126" t="s">
        <v>230</v>
      </c>
      <c r="H479" s="126" t="s">
        <v>139</v>
      </c>
      <c r="I479" s="127">
        <v>3.8</v>
      </c>
      <c r="J479" s="127"/>
      <c r="K479" s="127"/>
      <c r="L479" s="127"/>
      <c r="M479" s="144">
        <v>769</v>
      </c>
      <c r="N479" s="129">
        <v>10.61</v>
      </c>
      <c r="O479" s="129"/>
      <c r="P479" s="129"/>
      <c r="Q479" s="130"/>
      <c r="R479" s="131"/>
      <c r="S479" s="131"/>
      <c r="T479" s="132"/>
      <c r="U479" s="132"/>
      <c r="V479" s="132"/>
      <c r="W479" s="132"/>
      <c r="X479" s="132"/>
      <c r="Y479" s="133" t="s">
        <v>1376</v>
      </c>
      <c r="Z479" s="126" t="s">
        <v>64</v>
      </c>
      <c r="AA479" s="134" t="s">
        <v>154</v>
      </c>
      <c r="AB479" s="134" t="s">
        <v>1516</v>
      </c>
      <c r="AC479" s="134"/>
      <c r="AD479" s="134">
        <v>44554</v>
      </c>
      <c r="AE479" s="134"/>
      <c r="AF479" s="134">
        <f t="shared" ca="1" si="40"/>
        <v>44963</v>
      </c>
      <c r="AG479" s="126">
        <f t="shared" ca="1" si="41"/>
        <v>409</v>
      </c>
      <c r="AH479" s="126" t="str">
        <f t="shared" si="42"/>
        <v/>
      </c>
      <c r="AI479" s="134"/>
      <c r="AJ479" s="143" t="s">
        <v>1824</v>
      </c>
      <c r="AK479" s="129">
        <v>10.61</v>
      </c>
      <c r="AL479" s="129">
        <v>10.62</v>
      </c>
      <c r="AM479" s="129">
        <v>10.644999999999998</v>
      </c>
      <c r="AN479" s="129">
        <v>10.649999999999999</v>
      </c>
      <c r="AO479" s="126" t="str">
        <f t="shared" si="43"/>
        <v/>
      </c>
      <c r="AR479" s="99" t="s">
        <v>136</v>
      </c>
    </row>
    <row r="480" spans="1:44" s="99" customFormat="1" ht="21" customHeight="1" x14ac:dyDescent="0.35">
      <c r="A480" s="99">
        <v>424</v>
      </c>
      <c r="B480" s="126" t="str">
        <f t="shared" si="39"/>
        <v>RM-304L/1D-004X767</v>
      </c>
      <c r="C480" s="126" t="s">
        <v>43</v>
      </c>
      <c r="D480" s="126" t="s">
        <v>43</v>
      </c>
      <c r="E480" s="143" t="s">
        <v>1825</v>
      </c>
      <c r="F480" s="143" t="s">
        <v>1826</v>
      </c>
      <c r="G480" s="126" t="s">
        <v>230</v>
      </c>
      <c r="H480" s="126" t="s">
        <v>139</v>
      </c>
      <c r="I480" s="127">
        <v>3.8</v>
      </c>
      <c r="J480" s="127"/>
      <c r="K480" s="127"/>
      <c r="L480" s="127"/>
      <c r="M480" s="144">
        <v>767</v>
      </c>
      <c r="N480" s="129">
        <v>10.59</v>
      </c>
      <c r="O480" s="129"/>
      <c r="P480" s="129"/>
      <c r="Q480" s="130"/>
      <c r="R480" s="131"/>
      <c r="S480" s="131"/>
      <c r="T480" s="132"/>
      <c r="U480" s="132"/>
      <c r="V480" s="132"/>
      <c r="W480" s="132"/>
      <c r="X480" s="132"/>
      <c r="Y480" s="133" t="s">
        <v>1376</v>
      </c>
      <c r="Z480" s="126" t="s">
        <v>64</v>
      </c>
      <c r="AA480" s="134" t="s">
        <v>154</v>
      </c>
      <c r="AB480" s="134" t="s">
        <v>1516</v>
      </c>
      <c r="AC480" s="134"/>
      <c r="AD480" s="134">
        <v>44554</v>
      </c>
      <c r="AE480" s="134"/>
      <c r="AF480" s="134">
        <f t="shared" ca="1" si="40"/>
        <v>44963</v>
      </c>
      <c r="AG480" s="126">
        <f t="shared" ca="1" si="41"/>
        <v>409</v>
      </c>
      <c r="AH480" s="126" t="str">
        <f t="shared" si="42"/>
        <v/>
      </c>
      <c r="AI480" s="134"/>
      <c r="AJ480" s="143" t="s">
        <v>1824</v>
      </c>
      <c r="AK480" s="129">
        <v>10.59</v>
      </c>
      <c r="AL480" s="129">
        <v>10.6</v>
      </c>
      <c r="AM480" s="129">
        <v>10.624999999999998</v>
      </c>
      <c r="AN480" s="129">
        <v>10.629999999999999</v>
      </c>
      <c r="AO480" s="126" t="str">
        <f t="shared" si="43"/>
        <v/>
      </c>
      <c r="AR480" s="99" t="s">
        <v>136</v>
      </c>
    </row>
    <row r="481" spans="1:44" s="99" customFormat="1" ht="21" customHeight="1" x14ac:dyDescent="0.35">
      <c r="A481" s="99">
        <v>424</v>
      </c>
      <c r="B481" s="126" t="str">
        <f t="shared" si="39"/>
        <v>RM-304L/1D-004X768</v>
      </c>
      <c r="C481" s="126" t="s">
        <v>43</v>
      </c>
      <c r="D481" s="126" t="s">
        <v>43</v>
      </c>
      <c r="E481" s="143" t="s">
        <v>1827</v>
      </c>
      <c r="F481" s="143" t="s">
        <v>1828</v>
      </c>
      <c r="G481" s="126" t="s">
        <v>230</v>
      </c>
      <c r="H481" s="126" t="s">
        <v>139</v>
      </c>
      <c r="I481" s="127">
        <v>3.8</v>
      </c>
      <c r="J481" s="127"/>
      <c r="K481" s="127"/>
      <c r="L481" s="127"/>
      <c r="M481" s="144">
        <v>768</v>
      </c>
      <c r="N481" s="129">
        <v>12.12</v>
      </c>
      <c r="O481" s="129"/>
      <c r="P481" s="129"/>
      <c r="Q481" s="130"/>
      <c r="R481" s="131"/>
      <c r="S481" s="131"/>
      <c r="T481" s="132"/>
      <c r="U481" s="132"/>
      <c r="V481" s="132"/>
      <c r="W481" s="132"/>
      <c r="X481" s="132"/>
      <c r="Y481" s="133" t="s">
        <v>1376</v>
      </c>
      <c r="Z481" s="126" t="s">
        <v>64</v>
      </c>
      <c r="AA481" s="134" t="s">
        <v>154</v>
      </c>
      <c r="AB481" s="134" t="s">
        <v>1516</v>
      </c>
      <c r="AC481" s="134"/>
      <c r="AD481" s="134">
        <v>44554</v>
      </c>
      <c r="AE481" s="134"/>
      <c r="AF481" s="134">
        <f t="shared" ca="1" si="40"/>
        <v>44963</v>
      </c>
      <c r="AG481" s="126">
        <f t="shared" ca="1" si="41"/>
        <v>409</v>
      </c>
      <c r="AH481" s="126" t="str">
        <f t="shared" si="42"/>
        <v/>
      </c>
      <c r="AI481" s="134"/>
      <c r="AJ481" s="143" t="s">
        <v>1829</v>
      </c>
      <c r="AK481" s="129">
        <v>12.12</v>
      </c>
      <c r="AL481" s="129">
        <v>12.13</v>
      </c>
      <c r="AM481" s="129">
        <v>12.154999999999999</v>
      </c>
      <c r="AN481" s="129">
        <v>12.16</v>
      </c>
      <c r="AO481" s="126" t="str">
        <f t="shared" si="43"/>
        <v/>
      </c>
      <c r="AR481" s="99" t="s">
        <v>136</v>
      </c>
    </row>
    <row r="482" spans="1:44" s="99" customFormat="1" ht="21" customHeight="1" x14ac:dyDescent="0.35">
      <c r="A482" s="99">
        <v>424</v>
      </c>
      <c r="B482" s="126" t="str">
        <f t="shared" si="39"/>
        <v>RM-304L/1D-004X768</v>
      </c>
      <c r="C482" s="126" t="s">
        <v>43</v>
      </c>
      <c r="D482" s="126" t="s">
        <v>43</v>
      </c>
      <c r="E482" s="143" t="s">
        <v>1830</v>
      </c>
      <c r="F482" s="143" t="s">
        <v>1831</v>
      </c>
      <c r="G482" s="126" t="s">
        <v>230</v>
      </c>
      <c r="H482" s="126" t="s">
        <v>139</v>
      </c>
      <c r="I482" s="127">
        <v>3.8</v>
      </c>
      <c r="J482" s="127"/>
      <c r="K482" s="127"/>
      <c r="L482" s="127"/>
      <c r="M482" s="144">
        <v>768</v>
      </c>
      <c r="N482" s="129">
        <v>12.1</v>
      </c>
      <c r="O482" s="129"/>
      <c r="P482" s="129"/>
      <c r="Q482" s="130"/>
      <c r="R482" s="131"/>
      <c r="S482" s="131"/>
      <c r="T482" s="132"/>
      <c r="U482" s="132"/>
      <c r="V482" s="132"/>
      <c r="W482" s="132"/>
      <c r="X482" s="132"/>
      <c r="Y482" s="133" t="s">
        <v>1376</v>
      </c>
      <c r="Z482" s="126" t="s">
        <v>64</v>
      </c>
      <c r="AA482" s="134" t="s">
        <v>154</v>
      </c>
      <c r="AB482" s="134" t="s">
        <v>1516</v>
      </c>
      <c r="AC482" s="134"/>
      <c r="AD482" s="134">
        <v>44554</v>
      </c>
      <c r="AE482" s="134"/>
      <c r="AF482" s="134">
        <f t="shared" ca="1" si="40"/>
        <v>44963</v>
      </c>
      <c r="AG482" s="126">
        <f t="shared" ca="1" si="41"/>
        <v>409</v>
      </c>
      <c r="AH482" s="126" t="str">
        <f t="shared" si="42"/>
        <v/>
      </c>
      <c r="AI482" s="134"/>
      <c r="AJ482" s="143" t="s">
        <v>1829</v>
      </c>
      <c r="AK482" s="129">
        <v>12.1</v>
      </c>
      <c r="AL482" s="129">
        <v>12.11</v>
      </c>
      <c r="AM482" s="129">
        <v>12.134999999999998</v>
      </c>
      <c r="AN482" s="129">
        <v>12.139999999999999</v>
      </c>
      <c r="AO482" s="126" t="str">
        <f t="shared" si="43"/>
        <v/>
      </c>
      <c r="AR482" s="99" t="s">
        <v>136</v>
      </c>
    </row>
    <row r="483" spans="1:44" s="99" customFormat="1" ht="21" customHeight="1" x14ac:dyDescent="0.35">
      <c r="A483" s="99">
        <v>424</v>
      </c>
      <c r="B483" s="126" t="str">
        <f t="shared" si="39"/>
        <v>RM-304L/1D-003X768</v>
      </c>
      <c r="C483" s="126" t="s">
        <v>43</v>
      </c>
      <c r="D483" s="126" t="s">
        <v>43</v>
      </c>
      <c r="E483" s="143" t="s">
        <v>1832</v>
      </c>
      <c r="F483" s="143" t="s">
        <v>1833</v>
      </c>
      <c r="G483" s="126" t="s">
        <v>230</v>
      </c>
      <c r="H483" s="126" t="s">
        <v>139</v>
      </c>
      <c r="I483" s="127">
        <v>3.49</v>
      </c>
      <c r="J483" s="127"/>
      <c r="K483" s="127"/>
      <c r="L483" s="127"/>
      <c r="M483" s="144">
        <v>768</v>
      </c>
      <c r="N483" s="129">
        <v>10.475</v>
      </c>
      <c r="O483" s="129"/>
      <c r="P483" s="129"/>
      <c r="Q483" s="130"/>
      <c r="R483" s="131"/>
      <c r="S483" s="131"/>
      <c r="T483" s="132"/>
      <c r="U483" s="132"/>
      <c r="V483" s="132"/>
      <c r="W483" s="132"/>
      <c r="X483" s="132"/>
      <c r="Y483" s="133" t="s">
        <v>1376</v>
      </c>
      <c r="Z483" s="126" t="s">
        <v>64</v>
      </c>
      <c r="AA483" s="134" t="s">
        <v>154</v>
      </c>
      <c r="AB483" s="134" t="s">
        <v>1516</v>
      </c>
      <c r="AC483" s="134"/>
      <c r="AD483" s="134">
        <v>44554</v>
      </c>
      <c r="AE483" s="134"/>
      <c r="AF483" s="134">
        <f t="shared" ca="1" si="40"/>
        <v>44963</v>
      </c>
      <c r="AG483" s="126">
        <f t="shared" ca="1" si="41"/>
        <v>409</v>
      </c>
      <c r="AH483" s="126" t="str">
        <f t="shared" si="42"/>
        <v/>
      </c>
      <c r="AI483" s="134"/>
      <c r="AJ483" s="143" t="s">
        <v>1834</v>
      </c>
      <c r="AK483" s="129">
        <v>10.475</v>
      </c>
      <c r="AL483" s="129">
        <v>10.484999999999999</v>
      </c>
      <c r="AM483" s="129">
        <v>10.509999999999998</v>
      </c>
      <c r="AN483" s="129">
        <v>10.514999999999999</v>
      </c>
      <c r="AO483" s="126" t="str">
        <f t="shared" si="43"/>
        <v/>
      </c>
      <c r="AR483" s="99" t="s">
        <v>136</v>
      </c>
    </row>
    <row r="484" spans="1:44" s="99" customFormat="1" ht="21" customHeight="1" x14ac:dyDescent="0.35">
      <c r="A484" s="99">
        <v>424</v>
      </c>
      <c r="B484" s="126" t="str">
        <f t="shared" si="39"/>
        <v>RM-304L/1D-003X767</v>
      </c>
      <c r="C484" s="126" t="s">
        <v>43</v>
      </c>
      <c r="D484" s="126" t="s">
        <v>43</v>
      </c>
      <c r="E484" s="143" t="s">
        <v>1835</v>
      </c>
      <c r="F484" s="143" t="s">
        <v>1836</v>
      </c>
      <c r="G484" s="126" t="s">
        <v>230</v>
      </c>
      <c r="H484" s="126" t="s">
        <v>139</v>
      </c>
      <c r="I484" s="127">
        <v>3.48</v>
      </c>
      <c r="J484" s="127"/>
      <c r="K484" s="127"/>
      <c r="L484" s="127"/>
      <c r="M484" s="144">
        <v>767</v>
      </c>
      <c r="N484" s="129">
        <v>10.45</v>
      </c>
      <c r="O484" s="129"/>
      <c r="P484" s="129"/>
      <c r="Q484" s="130"/>
      <c r="R484" s="131"/>
      <c r="S484" s="131"/>
      <c r="T484" s="132"/>
      <c r="U484" s="132"/>
      <c r="V484" s="132"/>
      <c r="W484" s="132"/>
      <c r="X484" s="132"/>
      <c r="Y484" s="133" t="s">
        <v>1376</v>
      </c>
      <c r="Z484" s="126" t="s">
        <v>64</v>
      </c>
      <c r="AA484" s="134" t="s">
        <v>154</v>
      </c>
      <c r="AB484" s="134" t="s">
        <v>1516</v>
      </c>
      <c r="AC484" s="134"/>
      <c r="AD484" s="134">
        <v>44554</v>
      </c>
      <c r="AE484" s="134"/>
      <c r="AF484" s="134">
        <f t="shared" ca="1" si="40"/>
        <v>44963</v>
      </c>
      <c r="AG484" s="126">
        <f t="shared" ca="1" si="41"/>
        <v>409</v>
      </c>
      <c r="AH484" s="126" t="str">
        <f t="shared" si="42"/>
        <v/>
      </c>
      <c r="AI484" s="134"/>
      <c r="AJ484" s="143" t="s">
        <v>1834</v>
      </c>
      <c r="AK484" s="129">
        <v>10.45</v>
      </c>
      <c r="AL484" s="129">
        <v>10.46</v>
      </c>
      <c r="AM484" s="129">
        <v>10.484999999999999</v>
      </c>
      <c r="AN484" s="129">
        <v>10.49</v>
      </c>
      <c r="AO484" s="126" t="str">
        <f t="shared" si="43"/>
        <v/>
      </c>
      <c r="AR484" s="99" t="s">
        <v>136</v>
      </c>
    </row>
    <row r="485" spans="1:44" s="99" customFormat="1" ht="21" customHeight="1" x14ac:dyDescent="0.35">
      <c r="A485" s="99">
        <v>424</v>
      </c>
      <c r="B485" s="126" t="str">
        <f t="shared" si="39"/>
        <v>RM-304L/1D-003X768</v>
      </c>
      <c r="C485" s="126" t="s">
        <v>43</v>
      </c>
      <c r="D485" s="126" t="s">
        <v>43</v>
      </c>
      <c r="E485" s="143" t="s">
        <v>1837</v>
      </c>
      <c r="F485" s="143" t="s">
        <v>1838</v>
      </c>
      <c r="G485" s="126" t="s">
        <v>230</v>
      </c>
      <c r="H485" s="126" t="s">
        <v>139</v>
      </c>
      <c r="I485" s="127">
        <v>3.49</v>
      </c>
      <c r="J485" s="127"/>
      <c r="K485" s="127"/>
      <c r="L485" s="127"/>
      <c r="M485" s="144">
        <v>768</v>
      </c>
      <c r="N485" s="129">
        <v>12.12</v>
      </c>
      <c r="O485" s="129"/>
      <c r="P485" s="129"/>
      <c r="Q485" s="130"/>
      <c r="R485" s="131"/>
      <c r="S485" s="131"/>
      <c r="T485" s="132"/>
      <c r="U485" s="132"/>
      <c r="V485" s="132"/>
      <c r="W485" s="132"/>
      <c r="X485" s="132"/>
      <c r="Y485" s="133" t="s">
        <v>1376</v>
      </c>
      <c r="Z485" s="126" t="s">
        <v>64</v>
      </c>
      <c r="AA485" s="134" t="s">
        <v>154</v>
      </c>
      <c r="AB485" s="134" t="s">
        <v>1516</v>
      </c>
      <c r="AC485" s="134"/>
      <c r="AD485" s="134">
        <v>44554</v>
      </c>
      <c r="AE485" s="134"/>
      <c r="AF485" s="134">
        <f t="shared" ca="1" si="40"/>
        <v>44963</v>
      </c>
      <c r="AG485" s="126">
        <f t="shared" ca="1" si="41"/>
        <v>409</v>
      </c>
      <c r="AH485" s="126" t="str">
        <f t="shared" si="42"/>
        <v/>
      </c>
      <c r="AI485" s="134"/>
      <c r="AJ485" s="143" t="s">
        <v>1839</v>
      </c>
      <c r="AK485" s="129">
        <v>12.12</v>
      </c>
      <c r="AL485" s="129">
        <v>12.13</v>
      </c>
      <c r="AM485" s="129">
        <v>12.154999999999999</v>
      </c>
      <c r="AN485" s="129">
        <v>12.16</v>
      </c>
      <c r="AO485" s="126" t="str">
        <f t="shared" si="43"/>
        <v/>
      </c>
      <c r="AR485" s="99" t="s">
        <v>136</v>
      </c>
    </row>
    <row r="486" spans="1:44" s="99" customFormat="1" ht="21" customHeight="1" x14ac:dyDescent="0.35">
      <c r="A486" s="99">
        <v>424</v>
      </c>
      <c r="B486" s="126" t="str">
        <f t="shared" si="39"/>
        <v>RM-304L/1D-003X767</v>
      </c>
      <c r="C486" s="126" t="s">
        <v>43</v>
      </c>
      <c r="D486" s="126" t="s">
        <v>43</v>
      </c>
      <c r="E486" s="143" t="s">
        <v>1840</v>
      </c>
      <c r="F486" s="143" t="s">
        <v>1841</v>
      </c>
      <c r="G486" s="126" t="s">
        <v>230</v>
      </c>
      <c r="H486" s="126" t="s">
        <v>139</v>
      </c>
      <c r="I486" s="127">
        <v>3.49</v>
      </c>
      <c r="J486" s="127"/>
      <c r="K486" s="127"/>
      <c r="L486" s="127"/>
      <c r="M486" s="144">
        <v>767</v>
      </c>
      <c r="N486" s="129">
        <v>12.16</v>
      </c>
      <c r="O486" s="129"/>
      <c r="P486" s="129"/>
      <c r="Q486" s="130"/>
      <c r="R486" s="131"/>
      <c r="S486" s="131"/>
      <c r="T486" s="132"/>
      <c r="U486" s="132"/>
      <c r="V486" s="132"/>
      <c r="W486" s="132"/>
      <c r="X486" s="132"/>
      <c r="Y486" s="133" t="s">
        <v>1376</v>
      </c>
      <c r="Z486" s="126" t="s">
        <v>64</v>
      </c>
      <c r="AA486" s="134" t="s">
        <v>154</v>
      </c>
      <c r="AB486" s="134" t="s">
        <v>1516</v>
      </c>
      <c r="AC486" s="134"/>
      <c r="AD486" s="134">
        <v>44554</v>
      </c>
      <c r="AE486" s="134"/>
      <c r="AF486" s="134">
        <f t="shared" ca="1" si="40"/>
        <v>44963</v>
      </c>
      <c r="AG486" s="126">
        <f t="shared" ca="1" si="41"/>
        <v>409</v>
      </c>
      <c r="AH486" s="126" t="str">
        <f t="shared" si="42"/>
        <v/>
      </c>
      <c r="AI486" s="134"/>
      <c r="AJ486" s="143" t="s">
        <v>1839</v>
      </c>
      <c r="AK486" s="129">
        <v>12.16</v>
      </c>
      <c r="AL486" s="129">
        <v>12.17</v>
      </c>
      <c r="AM486" s="129">
        <v>12.194999999999999</v>
      </c>
      <c r="AN486" s="129">
        <v>12.2</v>
      </c>
      <c r="AO486" s="126" t="str">
        <f t="shared" si="43"/>
        <v/>
      </c>
      <c r="AR486" s="99" t="s">
        <v>136</v>
      </c>
    </row>
    <row r="487" spans="1:44" s="99" customFormat="1" ht="21" customHeight="1" x14ac:dyDescent="0.35">
      <c r="A487" s="99">
        <v>424</v>
      </c>
      <c r="B487" s="126" t="str">
        <f t="shared" si="39"/>
        <v>RM-304L/1D-004X776</v>
      </c>
      <c r="C487" s="126" t="s">
        <v>43</v>
      </c>
      <c r="D487" s="126" t="s">
        <v>43</v>
      </c>
      <c r="E487" s="143" t="s">
        <v>1842</v>
      </c>
      <c r="F487" s="143" t="s">
        <v>1843</v>
      </c>
      <c r="G487" s="126" t="s">
        <v>230</v>
      </c>
      <c r="H487" s="126" t="s">
        <v>139</v>
      </c>
      <c r="I487" s="127">
        <v>3.79</v>
      </c>
      <c r="J487" s="127"/>
      <c r="K487" s="127"/>
      <c r="L487" s="127"/>
      <c r="M487" s="144">
        <v>776</v>
      </c>
      <c r="N487" s="129">
        <v>9.61</v>
      </c>
      <c r="O487" s="129"/>
      <c r="P487" s="129"/>
      <c r="Q487" s="130"/>
      <c r="R487" s="131"/>
      <c r="S487" s="131"/>
      <c r="T487" s="132"/>
      <c r="U487" s="132"/>
      <c r="V487" s="132"/>
      <c r="W487" s="132"/>
      <c r="X487" s="132"/>
      <c r="Y487" s="133" t="s">
        <v>1376</v>
      </c>
      <c r="Z487" s="126" t="s">
        <v>64</v>
      </c>
      <c r="AA487" s="134" t="s">
        <v>154</v>
      </c>
      <c r="AB487" s="134" t="s">
        <v>1516</v>
      </c>
      <c r="AC487" s="134"/>
      <c r="AD487" s="134">
        <v>44554</v>
      </c>
      <c r="AE487" s="134"/>
      <c r="AF487" s="134">
        <f t="shared" ca="1" si="40"/>
        <v>44963</v>
      </c>
      <c r="AG487" s="126">
        <f t="shared" ca="1" si="41"/>
        <v>409</v>
      </c>
      <c r="AH487" s="126" t="str">
        <f t="shared" si="42"/>
        <v/>
      </c>
      <c r="AI487" s="134"/>
      <c r="AJ487" s="143" t="s">
        <v>1844</v>
      </c>
      <c r="AK487" s="129">
        <v>9.61</v>
      </c>
      <c r="AL487" s="129">
        <v>9.6199999999999992</v>
      </c>
      <c r="AM487" s="129">
        <v>9.6449999999999978</v>
      </c>
      <c r="AN487" s="129">
        <v>9.6499999999999986</v>
      </c>
      <c r="AO487" s="126" t="str">
        <f t="shared" si="43"/>
        <v/>
      </c>
      <c r="AR487" s="99" t="s">
        <v>136</v>
      </c>
    </row>
    <row r="488" spans="1:44" s="99" customFormat="1" ht="21" customHeight="1" x14ac:dyDescent="0.35">
      <c r="A488" s="99">
        <v>424</v>
      </c>
      <c r="B488" s="126" t="str">
        <f t="shared" si="39"/>
        <v>RM-304L/1D-004X774</v>
      </c>
      <c r="C488" s="126" t="s">
        <v>43</v>
      </c>
      <c r="D488" s="126" t="s">
        <v>43</v>
      </c>
      <c r="E488" s="143" t="s">
        <v>1845</v>
      </c>
      <c r="F488" s="143" t="s">
        <v>1846</v>
      </c>
      <c r="G488" s="126" t="s">
        <v>230</v>
      </c>
      <c r="H488" s="126" t="s">
        <v>139</v>
      </c>
      <c r="I488" s="127">
        <v>3.79</v>
      </c>
      <c r="J488" s="127"/>
      <c r="K488" s="127"/>
      <c r="L488" s="127"/>
      <c r="M488" s="144">
        <v>774</v>
      </c>
      <c r="N488" s="129">
        <v>9.5950000000000006</v>
      </c>
      <c r="O488" s="129"/>
      <c r="P488" s="129"/>
      <c r="Q488" s="130"/>
      <c r="R488" s="131"/>
      <c r="S488" s="131"/>
      <c r="T488" s="132"/>
      <c r="U488" s="132"/>
      <c r="V488" s="132"/>
      <c r="W488" s="132"/>
      <c r="X488" s="132"/>
      <c r="Y488" s="133" t="s">
        <v>1376</v>
      </c>
      <c r="Z488" s="126" t="s">
        <v>64</v>
      </c>
      <c r="AA488" s="134" t="s">
        <v>154</v>
      </c>
      <c r="AB488" s="134" t="s">
        <v>1516</v>
      </c>
      <c r="AC488" s="134"/>
      <c r="AD488" s="134">
        <v>44554</v>
      </c>
      <c r="AE488" s="134"/>
      <c r="AF488" s="134">
        <f t="shared" ca="1" si="40"/>
        <v>44963</v>
      </c>
      <c r="AG488" s="126">
        <f t="shared" ca="1" si="41"/>
        <v>409</v>
      </c>
      <c r="AH488" s="126" t="str">
        <f t="shared" si="42"/>
        <v/>
      </c>
      <c r="AI488" s="134"/>
      <c r="AJ488" s="143" t="s">
        <v>1844</v>
      </c>
      <c r="AK488" s="129">
        <v>9.5950000000000006</v>
      </c>
      <c r="AL488" s="129">
        <v>9.6050000000000004</v>
      </c>
      <c r="AM488" s="129">
        <v>9.629999999999999</v>
      </c>
      <c r="AN488" s="129">
        <v>9.6349999999999998</v>
      </c>
      <c r="AO488" s="126" t="str">
        <f t="shared" si="43"/>
        <v/>
      </c>
      <c r="AR488" s="99" t="s">
        <v>136</v>
      </c>
    </row>
    <row r="489" spans="1:44" s="99" customFormat="1" ht="21" customHeight="1" x14ac:dyDescent="0.35">
      <c r="A489" s="99">
        <v>424</v>
      </c>
      <c r="B489" s="126" t="str">
        <f t="shared" si="39"/>
        <v>RM-304L/1D-004X777</v>
      </c>
      <c r="C489" s="126" t="s">
        <v>43</v>
      </c>
      <c r="D489" s="126" t="s">
        <v>43</v>
      </c>
      <c r="E489" s="143" t="s">
        <v>1847</v>
      </c>
      <c r="F489" s="143" t="s">
        <v>1848</v>
      </c>
      <c r="G489" s="126" t="s">
        <v>230</v>
      </c>
      <c r="H489" s="126" t="s">
        <v>139</v>
      </c>
      <c r="I489" s="127">
        <v>3.79</v>
      </c>
      <c r="J489" s="127"/>
      <c r="K489" s="127"/>
      <c r="L489" s="127"/>
      <c r="M489" s="144">
        <v>777</v>
      </c>
      <c r="N489" s="129">
        <v>10.29</v>
      </c>
      <c r="O489" s="129"/>
      <c r="P489" s="129"/>
      <c r="Q489" s="130"/>
      <c r="R489" s="131"/>
      <c r="S489" s="131"/>
      <c r="T489" s="132"/>
      <c r="U489" s="132"/>
      <c r="V489" s="132"/>
      <c r="W489" s="132"/>
      <c r="X489" s="132"/>
      <c r="Y489" s="133" t="s">
        <v>1376</v>
      </c>
      <c r="Z489" s="126" t="s">
        <v>64</v>
      </c>
      <c r="AA489" s="134" t="s">
        <v>154</v>
      </c>
      <c r="AB489" s="134" t="s">
        <v>1516</v>
      </c>
      <c r="AC489" s="134"/>
      <c r="AD489" s="134">
        <v>44554</v>
      </c>
      <c r="AE489" s="134"/>
      <c r="AF489" s="134">
        <f t="shared" ca="1" si="40"/>
        <v>44963</v>
      </c>
      <c r="AG489" s="126">
        <f t="shared" ca="1" si="41"/>
        <v>409</v>
      </c>
      <c r="AH489" s="126" t="str">
        <f t="shared" si="42"/>
        <v/>
      </c>
      <c r="AI489" s="134"/>
      <c r="AJ489" s="143" t="s">
        <v>1849</v>
      </c>
      <c r="AK489" s="129">
        <v>10.29</v>
      </c>
      <c r="AL489" s="129">
        <v>10.3</v>
      </c>
      <c r="AM489" s="129">
        <v>10.324999999999999</v>
      </c>
      <c r="AN489" s="129">
        <v>10.33</v>
      </c>
      <c r="AO489" s="126" t="str">
        <f t="shared" si="43"/>
        <v/>
      </c>
      <c r="AR489" s="99" t="s">
        <v>136</v>
      </c>
    </row>
    <row r="490" spans="1:44" s="99" customFormat="1" ht="21" customHeight="1" x14ac:dyDescent="0.35">
      <c r="A490" s="99">
        <v>424</v>
      </c>
      <c r="B490" s="126" t="str">
        <f t="shared" si="39"/>
        <v>RM-304L/1D-004X776</v>
      </c>
      <c r="C490" s="126" t="s">
        <v>43</v>
      </c>
      <c r="D490" s="126" t="s">
        <v>43</v>
      </c>
      <c r="E490" s="143" t="s">
        <v>1850</v>
      </c>
      <c r="F490" s="143" t="s">
        <v>1851</v>
      </c>
      <c r="G490" s="126" t="s">
        <v>230</v>
      </c>
      <c r="H490" s="126" t="s">
        <v>139</v>
      </c>
      <c r="I490" s="127">
        <v>3.8</v>
      </c>
      <c r="J490" s="127"/>
      <c r="K490" s="127"/>
      <c r="L490" s="127"/>
      <c r="M490" s="144">
        <v>776</v>
      </c>
      <c r="N490" s="129">
        <v>10.265000000000001</v>
      </c>
      <c r="O490" s="129"/>
      <c r="P490" s="129"/>
      <c r="Q490" s="130"/>
      <c r="R490" s="131"/>
      <c r="S490" s="131"/>
      <c r="T490" s="132"/>
      <c r="U490" s="132"/>
      <c r="V490" s="132"/>
      <c r="W490" s="132"/>
      <c r="X490" s="132"/>
      <c r="Y490" s="133" t="s">
        <v>1376</v>
      </c>
      <c r="Z490" s="126" t="s">
        <v>64</v>
      </c>
      <c r="AA490" s="134" t="s">
        <v>154</v>
      </c>
      <c r="AB490" s="134" t="s">
        <v>1516</v>
      </c>
      <c r="AC490" s="134"/>
      <c r="AD490" s="134">
        <v>44554</v>
      </c>
      <c r="AE490" s="134"/>
      <c r="AF490" s="134">
        <f t="shared" ca="1" si="40"/>
        <v>44963</v>
      </c>
      <c r="AG490" s="126">
        <f t="shared" ca="1" si="41"/>
        <v>409</v>
      </c>
      <c r="AH490" s="126" t="str">
        <f t="shared" si="42"/>
        <v/>
      </c>
      <c r="AI490" s="134"/>
      <c r="AJ490" s="143" t="s">
        <v>1849</v>
      </c>
      <c r="AK490" s="129">
        <v>10.265000000000001</v>
      </c>
      <c r="AL490" s="129">
        <v>10.275</v>
      </c>
      <c r="AM490" s="129">
        <v>10.299999999999999</v>
      </c>
      <c r="AN490" s="129">
        <v>10.305</v>
      </c>
      <c r="AO490" s="126" t="str">
        <f t="shared" si="43"/>
        <v/>
      </c>
      <c r="AR490" s="99" t="s">
        <v>136</v>
      </c>
    </row>
    <row r="491" spans="1:44" s="99" customFormat="1" ht="21" customHeight="1" x14ac:dyDescent="0.35">
      <c r="A491" s="99">
        <v>424</v>
      </c>
      <c r="B491" s="126" t="str">
        <f t="shared" si="39"/>
        <v>RM-304L/1D-003X768</v>
      </c>
      <c r="C491" s="126" t="s">
        <v>43</v>
      </c>
      <c r="D491" s="126" t="s">
        <v>43</v>
      </c>
      <c r="E491" s="143" t="s">
        <v>1852</v>
      </c>
      <c r="F491" s="143" t="s">
        <v>1853</v>
      </c>
      <c r="G491" s="126" t="s">
        <v>230</v>
      </c>
      <c r="H491" s="126" t="s">
        <v>139</v>
      </c>
      <c r="I491" s="127">
        <v>3.18</v>
      </c>
      <c r="J491" s="127"/>
      <c r="K491" s="127"/>
      <c r="L491" s="127"/>
      <c r="M491" s="144">
        <v>768</v>
      </c>
      <c r="N491" s="129">
        <v>10.445</v>
      </c>
      <c r="O491" s="129"/>
      <c r="P491" s="129"/>
      <c r="Q491" s="130"/>
      <c r="R491" s="131"/>
      <c r="S491" s="131"/>
      <c r="T491" s="132"/>
      <c r="U491" s="132"/>
      <c r="V491" s="132"/>
      <c r="W491" s="132"/>
      <c r="X491" s="132"/>
      <c r="Y491" s="133" t="s">
        <v>1376</v>
      </c>
      <c r="Z491" s="126" t="s">
        <v>64</v>
      </c>
      <c r="AA491" s="134" t="s">
        <v>154</v>
      </c>
      <c r="AB491" s="134" t="s">
        <v>1516</v>
      </c>
      <c r="AC491" s="134"/>
      <c r="AD491" s="134">
        <v>44554</v>
      </c>
      <c r="AE491" s="134"/>
      <c r="AF491" s="134">
        <f t="shared" ca="1" si="40"/>
        <v>44963</v>
      </c>
      <c r="AG491" s="126">
        <f t="shared" ca="1" si="41"/>
        <v>409</v>
      </c>
      <c r="AH491" s="126" t="str">
        <f t="shared" si="42"/>
        <v/>
      </c>
      <c r="AI491" s="134"/>
      <c r="AJ491" s="143" t="s">
        <v>1854</v>
      </c>
      <c r="AK491" s="129">
        <v>10.445</v>
      </c>
      <c r="AL491" s="129">
        <v>10.455</v>
      </c>
      <c r="AM491" s="129">
        <v>10.479999999999999</v>
      </c>
      <c r="AN491" s="129">
        <v>10.484999999999999</v>
      </c>
      <c r="AO491" s="126" t="str">
        <f t="shared" si="43"/>
        <v/>
      </c>
      <c r="AR491" s="99" t="s">
        <v>136</v>
      </c>
    </row>
    <row r="492" spans="1:44" s="99" customFormat="1" ht="21" customHeight="1" x14ac:dyDescent="0.35">
      <c r="A492" s="99">
        <v>424</v>
      </c>
      <c r="B492" s="126" t="str">
        <f t="shared" si="39"/>
        <v>RM-304L/1D-003X768</v>
      </c>
      <c r="C492" s="126" t="s">
        <v>43</v>
      </c>
      <c r="D492" s="126" t="s">
        <v>43</v>
      </c>
      <c r="E492" s="143" t="s">
        <v>1855</v>
      </c>
      <c r="F492" s="143" t="s">
        <v>1856</v>
      </c>
      <c r="G492" s="126" t="s">
        <v>230</v>
      </c>
      <c r="H492" s="126" t="s">
        <v>139</v>
      </c>
      <c r="I492" s="127">
        <v>3.18</v>
      </c>
      <c r="J492" s="127"/>
      <c r="K492" s="127"/>
      <c r="L492" s="127"/>
      <c r="M492" s="144">
        <v>768</v>
      </c>
      <c r="N492" s="129">
        <v>10.435</v>
      </c>
      <c r="O492" s="129"/>
      <c r="P492" s="129"/>
      <c r="Q492" s="130"/>
      <c r="R492" s="131"/>
      <c r="S492" s="131"/>
      <c r="T492" s="132"/>
      <c r="U492" s="132"/>
      <c r="V492" s="132"/>
      <c r="W492" s="132"/>
      <c r="X492" s="132"/>
      <c r="Y492" s="133" t="s">
        <v>1376</v>
      </c>
      <c r="Z492" s="126" t="s">
        <v>64</v>
      </c>
      <c r="AA492" s="134" t="s">
        <v>154</v>
      </c>
      <c r="AB492" s="134" t="s">
        <v>1516</v>
      </c>
      <c r="AC492" s="134"/>
      <c r="AD492" s="134">
        <v>44554</v>
      </c>
      <c r="AE492" s="134"/>
      <c r="AF492" s="134">
        <f t="shared" ca="1" si="40"/>
        <v>44963</v>
      </c>
      <c r="AG492" s="126">
        <f t="shared" ca="1" si="41"/>
        <v>409</v>
      </c>
      <c r="AH492" s="126" t="str">
        <f t="shared" si="42"/>
        <v/>
      </c>
      <c r="AI492" s="134"/>
      <c r="AJ492" s="143" t="s">
        <v>1854</v>
      </c>
      <c r="AK492" s="129">
        <v>10.435</v>
      </c>
      <c r="AL492" s="129">
        <v>10.445</v>
      </c>
      <c r="AM492" s="129">
        <v>10.469999999999999</v>
      </c>
      <c r="AN492" s="129">
        <v>10.475</v>
      </c>
      <c r="AO492" s="126" t="str">
        <f t="shared" si="43"/>
        <v/>
      </c>
      <c r="AR492" s="99" t="s">
        <v>136</v>
      </c>
    </row>
    <row r="493" spans="1:44" s="99" customFormat="1" ht="21" customHeight="1" x14ac:dyDescent="0.35">
      <c r="A493" s="99">
        <v>424</v>
      </c>
      <c r="B493" s="126" t="str">
        <f t="shared" si="39"/>
        <v>RM-304/1D-004X767</v>
      </c>
      <c r="C493" s="126" t="s">
        <v>43</v>
      </c>
      <c r="D493" s="126" t="s">
        <v>43</v>
      </c>
      <c r="E493" s="143" t="s">
        <v>1857</v>
      </c>
      <c r="F493" s="143" t="s">
        <v>1858</v>
      </c>
      <c r="G493" s="126">
        <v>304</v>
      </c>
      <c r="H493" s="126" t="s">
        <v>139</v>
      </c>
      <c r="I493" s="127">
        <v>3.77</v>
      </c>
      <c r="J493" s="127"/>
      <c r="K493" s="127"/>
      <c r="L493" s="127"/>
      <c r="M493" s="144">
        <v>767</v>
      </c>
      <c r="N493" s="129">
        <v>10.39</v>
      </c>
      <c r="O493" s="129"/>
      <c r="P493" s="129"/>
      <c r="Q493" s="130"/>
      <c r="R493" s="131"/>
      <c r="S493" s="131"/>
      <c r="T493" s="132"/>
      <c r="U493" s="132"/>
      <c r="V493" s="132"/>
      <c r="W493" s="132"/>
      <c r="X493" s="132"/>
      <c r="Y493" s="133" t="s">
        <v>1376</v>
      </c>
      <c r="Z493" s="126" t="s">
        <v>64</v>
      </c>
      <c r="AA493" s="134" t="s">
        <v>154</v>
      </c>
      <c r="AB493" s="134" t="s">
        <v>1516</v>
      </c>
      <c r="AC493" s="134"/>
      <c r="AD493" s="134">
        <v>44554</v>
      </c>
      <c r="AE493" s="134"/>
      <c r="AF493" s="134">
        <f t="shared" ca="1" si="40"/>
        <v>44963</v>
      </c>
      <c r="AG493" s="126">
        <f t="shared" ca="1" si="41"/>
        <v>409</v>
      </c>
      <c r="AH493" s="126" t="str">
        <f t="shared" si="42"/>
        <v/>
      </c>
      <c r="AI493" s="134"/>
      <c r="AJ493" s="143" t="s">
        <v>1859</v>
      </c>
      <c r="AK493" s="129">
        <v>10.39</v>
      </c>
      <c r="AL493" s="129">
        <v>10.4</v>
      </c>
      <c r="AM493" s="129">
        <v>10.424999999999999</v>
      </c>
      <c r="AN493" s="129">
        <v>10.43</v>
      </c>
      <c r="AO493" s="126" t="str">
        <f t="shared" si="43"/>
        <v/>
      </c>
      <c r="AR493" s="99" t="s">
        <v>136</v>
      </c>
    </row>
    <row r="494" spans="1:44" s="99" customFormat="1" ht="21" customHeight="1" x14ac:dyDescent="0.35">
      <c r="A494" s="99">
        <v>424</v>
      </c>
      <c r="B494" s="126" t="str">
        <f t="shared" si="39"/>
        <v>RM-304/1D-004X767</v>
      </c>
      <c r="C494" s="126" t="s">
        <v>43</v>
      </c>
      <c r="D494" s="126" t="s">
        <v>43</v>
      </c>
      <c r="E494" s="143" t="s">
        <v>1860</v>
      </c>
      <c r="F494" s="143" t="s">
        <v>1861</v>
      </c>
      <c r="G494" s="126">
        <v>304</v>
      </c>
      <c r="H494" s="126" t="s">
        <v>139</v>
      </c>
      <c r="I494" s="127">
        <v>3.78</v>
      </c>
      <c r="J494" s="127"/>
      <c r="K494" s="127"/>
      <c r="L494" s="127"/>
      <c r="M494" s="144">
        <v>767</v>
      </c>
      <c r="N494" s="129">
        <v>10.385</v>
      </c>
      <c r="O494" s="129"/>
      <c r="P494" s="129"/>
      <c r="Q494" s="130"/>
      <c r="R494" s="131"/>
      <c r="S494" s="131"/>
      <c r="T494" s="132"/>
      <c r="U494" s="132"/>
      <c r="V494" s="132"/>
      <c r="W494" s="132"/>
      <c r="X494" s="132"/>
      <c r="Y494" s="133" t="s">
        <v>1376</v>
      </c>
      <c r="Z494" s="126" t="s">
        <v>64</v>
      </c>
      <c r="AA494" s="134" t="s">
        <v>154</v>
      </c>
      <c r="AB494" s="134" t="s">
        <v>1516</v>
      </c>
      <c r="AC494" s="134"/>
      <c r="AD494" s="134">
        <v>44554</v>
      </c>
      <c r="AE494" s="134"/>
      <c r="AF494" s="134">
        <f t="shared" ca="1" si="40"/>
        <v>44963</v>
      </c>
      <c r="AG494" s="126">
        <f t="shared" ca="1" si="41"/>
        <v>409</v>
      </c>
      <c r="AH494" s="126" t="str">
        <f t="shared" si="42"/>
        <v/>
      </c>
      <c r="AI494" s="134"/>
      <c r="AJ494" s="143" t="s">
        <v>1859</v>
      </c>
      <c r="AK494" s="129">
        <v>10.385</v>
      </c>
      <c r="AL494" s="129">
        <v>10.395</v>
      </c>
      <c r="AM494" s="129">
        <v>10.419999999999998</v>
      </c>
      <c r="AN494" s="129">
        <v>10.424999999999999</v>
      </c>
      <c r="AO494" s="126" t="str">
        <f t="shared" si="43"/>
        <v/>
      </c>
      <c r="AR494" s="99" t="s">
        <v>136</v>
      </c>
    </row>
    <row r="495" spans="1:44" s="99" customFormat="1" ht="21" customHeight="1" x14ac:dyDescent="0.35">
      <c r="A495" s="99">
        <v>424</v>
      </c>
      <c r="B495" s="126" t="str">
        <f t="shared" si="39"/>
        <v>RM-304L/1D-003X767</v>
      </c>
      <c r="C495" s="126" t="s">
        <v>43</v>
      </c>
      <c r="D495" s="126" t="s">
        <v>43</v>
      </c>
      <c r="E495" s="143" t="s">
        <v>1862</v>
      </c>
      <c r="F495" s="143" t="s">
        <v>1863</v>
      </c>
      <c r="G495" s="126" t="s">
        <v>230</v>
      </c>
      <c r="H495" s="126" t="s">
        <v>139</v>
      </c>
      <c r="I495" s="127">
        <v>3.48</v>
      </c>
      <c r="J495" s="127"/>
      <c r="K495" s="127"/>
      <c r="L495" s="127"/>
      <c r="M495" s="144">
        <v>767</v>
      </c>
      <c r="N495" s="129">
        <v>10.295</v>
      </c>
      <c r="O495" s="129"/>
      <c r="P495" s="129"/>
      <c r="Q495" s="130"/>
      <c r="R495" s="131"/>
      <c r="S495" s="131"/>
      <c r="T495" s="132"/>
      <c r="U495" s="132"/>
      <c r="V495" s="132"/>
      <c r="W495" s="132"/>
      <c r="X495" s="132"/>
      <c r="Y495" s="133" t="s">
        <v>1376</v>
      </c>
      <c r="Z495" s="126" t="s">
        <v>64</v>
      </c>
      <c r="AA495" s="134" t="s">
        <v>154</v>
      </c>
      <c r="AB495" s="134" t="s">
        <v>1516</v>
      </c>
      <c r="AC495" s="134"/>
      <c r="AD495" s="134">
        <v>44554</v>
      </c>
      <c r="AE495" s="134"/>
      <c r="AF495" s="134">
        <f t="shared" ca="1" si="40"/>
        <v>44963</v>
      </c>
      <c r="AG495" s="126">
        <f t="shared" ca="1" si="41"/>
        <v>409</v>
      </c>
      <c r="AH495" s="126" t="str">
        <f t="shared" si="42"/>
        <v/>
      </c>
      <c r="AI495" s="134"/>
      <c r="AJ495" s="143" t="s">
        <v>1864</v>
      </c>
      <c r="AK495" s="129">
        <v>10.295</v>
      </c>
      <c r="AL495" s="129">
        <v>10.305</v>
      </c>
      <c r="AM495" s="129">
        <v>10.329999999999998</v>
      </c>
      <c r="AN495" s="129">
        <v>10.334999999999999</v>
      </c>
      <c r="AO495" s="126" t="str">
        <f t="shared" si="43"/>
        <v/>
      </c>
      <c r="AR495" s="99" t="s">
        <v>136</v>
      </c>
    </row>
    <row r="496" spans="1:44" s="99" customFormat="1" ht="21" customHeight="1" x14ac:dyDescent="0.35">
      <c r="A496" s="99">
        <v>424</v>
      </c>
      <c r="B496" s="126" t="str">
        <f t="shared" si="39"/>
        <v>RM-304L/1D-003X767</v>
      </c>
      <c r="C496" s="126" t="s">
        <v>43</v>
      </c>
      <c r="D496" s="126" t="s">
        <v>43</v>
      </c>
      <c r="E496" s="143" t="s">
        <v>1865</v>
      </c>
      <c r="F496" s="143" t="s">
        <v>1866</v>
      </c>
      <c r="G496" s="126" t="s">
        <v>230</v>
      </c>
      <c r="H496" s="126" t="s">
        <v>139</v>
      </c>
      <c r="I496" s="127">
        <v>3.48</v>
      </c>
      <c r="J496" s="127"/>
      <c r="K496" s="127"/>
      <c r="L496" s="127"/>
      <c r="M496" s="144">
        <v>767</v>
      </c>
      <c r="N496" s="129">
        <v>10.265000000000001</v>
      </c>
      <c r="O496" s="129"/>
      <c r="P496" s="129"/>
      <c r="Q496" s="130"/>
      <c r="R496" s="131"/>
      <c r="S496" s="131"/>
      <c r="T496" s="132"/>
      <c r="U496" s="132"/>
      <c r="V496" s="132"/>
      <c r="W496" s="132"/>
      <c r="X496" s="132"/>
      <c r="Y496" s="133" t="s">
        <v>1376</v>
      </c>
      <c r="Z496" s="126" t="s">
        <v>64</v>
      </c>
      <c r="AA496" s="134" t="s">
        <v>154</v>
      </c>
      <c r="AB496" s="134" t="s">
        <v>1516</v>
      </c>
      <c r="AC496" s="134"/>
      <c r="AD496" s="134">
        <v>44554</v>
      </c>
      <c r="AE496" s="134"/>
      <c r="AF496" s="134">
        <f t="shared" ca="1" si="40"/>
        <v>44963</v>
      </c>
      <c r="AG496" s="126">
        <f t="shared" ca="1" si="41"/>
        <v>409</v>
      </c>
      <c r="AH496" s="126" t="str">
        <f t="shared" si="42"/>
        <v/>
      </c>
      <c r="AI496" s="134"/>
      <c r="AJ496" s="143" t="s">
        <v>1864</v>
      </c>
      <c r="AK496" s="129">
        <v>10.265000000000001</v>
      </c>
      <c r="AL496" s="129">
        <v>10.275</v>
      </c>
      <c r="AM496" s="129">
        <v>10.299999999999999</v>
      </c>
      <c r="AN496" s="129">
        <v>10.305</v>
      </c>
      <c r="AO496" s="126" t="str">
        <f t="shared" si="43"/>
        <v/>
      </c>
      <c r="AR496" s="99" t="s">
        <v>136</v>
      </c>
    </row>
    <row r="497" spans="1:44" s="99" customFormat="1" ht="21" customHeight="1" x14ac:dyDescent="0.35">
      <c r="A497" s="99">
        <v>424</v>
      </c>
      <c r="B497" s="126" t="str">
        <f t="shared" si="39"/>
        <v>RM-304L/1D-003X766</v>
      </c>
      <c r="C497" s="126" t="s">
        <v>43</v>
      </c>
      <c r="D497" s="126" t="s">
        <v>43</v>
      </c>
      <c r="E497" s="143" t="s">
        <v>1867</v>
      </c>
      <c r="F497" s="143" t="s">
        <v>1868</v>
      </c>
      <c r="G497" s="126" t="s">
        <v>230</v>
      </c>
      <c r="H497" s="126" t="s">
        <v>139</v>
      </c>
      <c r="I497" s="127">
        <v>2.79</v>
      </c>
      <c r="J497" s="127"/>
      <c r="K497" s="127"/>
      <c r="L497" s="127"/>
      <c r="M497" s="144">
        <v>766</v>
      </c>
      <c r="N497" s="129">
        <v>10.404999999999999</v>
      </c>
      <c r="O497" s="129"/>
      <c r="P497" s="129"/>
      <c r="Q497" s="130"/>
      <c r="R497" s="131"/>
      <c r="S497" s="131"/>
      <c r="T497" s="132"/>
      <c r="U497" s="132"/>
      <c r="V497" s="132"/>
      <c r="W497" s="132"/>
      <c r="X497" s="132"/>
      <c r="Y497" s="133" t="s">
        <v>1376</v>
      </c>
      <c r="Z497" s="126" t="s">
        <v>64</v>
      </c>
      <c r="AA497" s="134" t="s">
        <v>154</v>
      </c>
      <c r="AB497" s="134" t="s">
        <v>1516</v>
      </c>
      <c r="AC497" s="134"/>
      <c r="AD497" s="134">
        <v>44554</v>
      </c>
      <c r="AE497" s="134"/>
      <c r="AF497" s="134">
        <f t="shared" ca="1" si="40"/>
        <v>44963</v>
      </c>
      <c r="AG497" s="126">
        <f t="shared" ca="1" si="41"/>
        <v>409</v>
      </c>
      <c r="AH497" s="126" t="str">
        <f t="shared" si="42"/>
        <v/>
      </c>
      <c r="AI497" s="134"/>
      <c r="AJ497" s="143" t="s">
        <v>1869</v>
      </c>
      <c r="AK497" s="129">
        <v>10.404999999999999</v>
      </c>
      <c r="AL497" s="129">
        <v>10.414999999999999</v>
      </c>
      <c r="AM497" s="129">
        <v>10.439999999999998</v>
      </c>
      <c r="AN497" s="129">
        <v>10.444999999999999</v>
      </c>
      <c r="AO497" s="126" t="str">
        <f t="shared" si="43"/>
        <v/>
      </c>
      <c r="AR497" s="99" t="s">
        <v>136</v>
      </c>
    </row>
    <row r="498" spans="1:44" s="99" customFormat="1" ht="21" customHeight="1" x14ac:dyDescent="0.35">
      <c r="A498" s="99">
        <v>424</v>
      </c>
      <c r="B498" s="126" t="str">
        <f t="shared" si="39"/>
        <v>RM-304L/1D-003X766</v>
      </c>
      <c r="C498" s="126" t="s">
        <v>43</v>
      </c>
      <c r="D498" s="126" t="s">
        <v>43</v>
      </c>
      <c r="E498" s="143" t="s">
        <v>1870</v>
      </c>
      <c r="F498" s="143" t="s">
        <v>1871</v>
      </c>
      <c r="G498" s="126" t="s">
        <v>230</v>
      </c>
      <c r="H498" s="126" t="s">
        <v>139</v>
      </c>
      <c r="I498" s="127">
        <v>2.77</v>
      </c>
      <c r="J498" s="127"/>
      <c r="K498" s="127"/>
      <c r="L498" s="127"/>
      <c r="M498" s="144">
        <v>766</v>
      </c>
      <c r="N498" s="129">
        <v>10.435</v>
      </c>
      <c r="O498" s="129"/>
      <c r="P498" s="129"/>
      <c r="Q498" s="130"/>
      <c r="R498" s="131"/>
      <c r="S498" s="131"/>
      <c r="T498" s="132"/>
      <c r="U498" s="132"/>
      <c r="V498" s="132"/>
      <c r="W498" s="132"/>
      <c r="X498" s="132"/>
      <c r="Y498" s="133" t="s">
        <v>1376</v>
      </c>
      <c r="Z498" s="126" t="s">
        <v>64</v>
      </c>
      <c r="AA498" s="134" t="s">
        <v>154</v>
      </c>
      <c r="AB498" s="134" t="s">
        <v>1516</v>
      </c>
      <c r="AC498" s="134"/>
      <c r="AD498" s="134">
        <v>44554</v>
      </c>
      <c r="AE498" s="134"/>
      <c r="AF498" s="134">
        <f t="shared" ca="1" si="40"/>
        <v>44963</v>
      </c>
      <c r="AG498" s="126">
        <f t="shared" ca="1" si="41"/>
        <v>409</v>
      </c>
      <c r="AH498" s="126" t="str">
        <f t="shared" si="42"/>
        <v/>
      </c>
      <c r="AI498" s="134"/>
      <c r="AJ498" s="143" t="s">
        <v>1869</v>
      </c>
      <c r="AK498" s="129">
        <v>10.435</v>
      </c>
      <c r="AL498" s="129">
        <v>10.445</v>
      </c>
      <c r="AM498" s="129">
        <v>10.469999999999999</v>
      </c>
      <c r="AN498" s="129">
        <v>10.475</v>
      </c>
      <c r="AO498" s="126" t="str">
        <f t="shared" si="43"/>
        <v/>
      </c>
      <c r="AR498" s="99" t="s">
        <v>136</v>
      </c>
    </row>
    <row r="499" spans="1:44" s="99" customFormat="1" ht="21" customHeight="1" x14ac:dyDescent="0.35">
      <c r="A499" s="99">
        <v>424</v>
      </c>
      <c r="B499" s="126" t="str">
        <f t="shared" si="39"/>
        <v>RM-304L/1D-004X763</v>
      </c>
      <c r="C499" s="126" t="s">
        <v>43</v>
      </c>
      <c r="D499" s="126" t="s">
        <v>43</v>
      </c>
      <c r="E499" s="143" t="s">
        <v>1872</v>
      </c>
      <c r="F499" s="143" t="s">
        <v>1873</v>
      </c>
      <c r="G499" s="126" t="s">
        <v>230</v>
      </c>
      <c r="H499" s="126" t="s">
        <v>139</v>
      </c>
      <c r="I499" s="127">
        <v>3.83</v>
      </c>
      <c r="J499" s="127"/>
      <c r="K499" s="127"/>
      <c r="L499" s="127"/>
      <c r="M499" s="144">
        <v>763</v>
      </c>
      <c r="N499" s="129">
        <v>11.52</v>
      </c>
      <c r="O499" s="129"/>
      <c r="P499" s="129"/>
      <c r="Q499" s="130"/>
      <c r="R499" s="131"/>
      <c r="S499" s="131"/>
      <c r="T499" s="132"/>
      <c r="U499" s="132"/>
      <c r="V499" s="132"/>
      <c r="W499" s="132"/>
      <c r="X499" s="132"/>
      <c r="Y499" s="133" t="s">
        <v>1376</v>
      </c>
      <c r="Z499" s="126" t="s">
        <v>64</v>
      </c>
      <c r="AA499" s="134" t="s">
        <v>154</v>
      </c>
      <c r="AB499" s="134" t="s">
        <v>1516</v>
      </c>
      <c r="AC499" s="134"/>
      <c r="AD499" s="134">
        <v>44554</v>
      </c>
      <c r="AE499" s="134"/>
      <c r="AF499" s="134">
        <f t="shared" ca="1" si="40"/>
        <v>44963</v>
      </c>
      <c r="AG499" s="126">
        <f t="shared" ca="1" si="41"/>
        <v>409</v>
      </c>
      <c r="AH499" s="126" t="str">
        <f t="shared" si="42"/>
        <v/>
      </c>
      <c r="AI499" s="134"/>
      <c r="AJ499" s="143" t="s">
        <v>1874</v>
      </c>
      <c r="AK499" s="129">
        <v>11.52</v>
      </c>
      <c r="AL499" s="129">
        <v>11.53</v>
      </c>
      <c r="AM499" s="129">
        <v>11.554999999999998</v>
      </c>
      <c r="AN499" s="129">
        <v>11.559999999999999</v>
      </c>
      <c r="AO499" s="126" t="str">
        <f t="shared" si="43"/>
        <v/>
      </c>
      <c r="AR499" s="99" t="s">
        <v>136</v>
      </c>
    </row>
    <row r="500" spans="1:44" s="99" customFormat="1" ht="21" customHeight="1" x14ac:dyDescent="0.35">
      <c r="A500" s="99">
        <v>424</v>
      </c>
      <c r="B500" s="126" t="str">
        <f t="shared" si="39"/>
        <v>RM-304L/1D-004X762</v>
      </c>
      <c r="C500" s="126" t="s">
        <v>43</v>
      </c>
      <c r="D500" s="126" t="s">
        <v>43</v>
      </c>
      <c r="E500" s="143" t="s">
        <v>1875</v>
      </c>
      <c r="F500" s="143" t="s">
        <v>1876</v>
      </c>
      <c r="G500" s="126" t="s">
        <v>230</v>
      </c>
      <c r="H500" s="126" t="s">
        <v>139</v>
      </c>
      <c r="I500" s="127">
        <v>3.84</v>
      </c>
      <c r="J500" s="127"/>
      <c r="K500" s="127"/>
      <c r="L500" s="127"/>
      <c r="M500" s="144">
        <v>762</v>
      </c>
      <c r="N500" s="129">
        <v>11.53</v>
      </c>
      <c r="O500" s="129"/>
      <c r="P500" s="129"/>
      <c r="Q500" s="130"/>
      <c r="R500" s="131"/>
      <c r="S500" s="131"/>
      <c r="T500" s="132"/>
      <c r="U500" s="132"/>
      <c r="V500" s="132"/>
      <c r="W500" s="132"/>
      <c r="X500" s="132"/>
      <c r="Y500" s="133" t="s">
        <v>1376</v>
      </c>
      <c r="Z500" s="126" t="s">
        <v>64</v>
      </c>
      <c r="AA500" s="134" t="s">
        <v>154</v>
      </c>
      <c r="AB500" s="134" t="s">
        <v>1516</v>
      </c>
      <c r="AC500" s="134"/>
      <c r="AD500" s="134">
        <v>44554</v>
      </c>
      <c r="AE500" s="134"/>
      <c r="AF500" s="134">
        <f t="shared" ca="1" si="40"/>
        <v>44963</v>
      </c>
      <c r="AG500" s="126">
        <f t="shared" ca="1" si="41"/>
        <v>409</v>
      </c>
      <c r="AH500" s="126" t="str">
        <f t="shared" si="42"/>
        <v/>
      </c>
      <c r="AI500" s="134"/>
      <c r="AJ500" s="143" t="s">
        <v>1874</v>
      </c>
      <c r="AK500" s="129">
        <v>11.53</v>
      </c>
      <c r="AL500" s="129">
        <v>11.54</v>
      </c>
      <c r="AM500" s="129">
        <v>11.564999999999998</v>
      </c>
      <c r="AN500" s="129">
        <v>11.569999999999999</v>
      </c>
      <c r="AO500" s="126" t="str">
        <f t="shared" si="43"/>
        <v/>
      </c>
      <c r="AR500" s="99" t="s">
        <v>136</v>
      </c>
    </row>
    <row r="501" spans="1:44" s="99" customFormat="1" ht="21" customHeight="1" x14ac:dyDescent="0.35">
      <c r="A501" s="99">
        <v>424</v>
      </c>
      <c r="B501" s="126" t="str">
        <f t="shared" si="39"/>
        <v>RM-304L/1D-003X767</v>
      </c>
      <c r="C501" s="126" t="s">
        <v>43</v>
      </c>
      <c r="D501" s="126" t="s">
        <v>43</v>
      </c>
      <c r="E501" s="143" t="s">
        <v>1877</v>
      </c>
      <c r="F501" s="143" t="s">
        <v>1878</v>
      </c>
      <c r="G501" s="126" t="s">
        <v>230</v>
      </c>
      <c r="H501" s="126" t="s">
        <v>139</v>
      </c>
      <c r="I501" s="127">
        <v>2.98</v>
      </c>
      <c r="J501" s="127"/>
      <c r="K501" s="127"/>
      <c r="L501" s="127"/>
      <c r="M501" s="144">
        <v>767</v>
      </c>
      <c r="N501" s="129">
        <v>10.335000000000001</v>
      </c>
      <c r="O501" s="129"/>
      <c r="P501" s="129"/>
      <c r="Q501" s="130"/>
      <c r="R501" s="131"/>
      <c r="S501" s="131"/>
      <c r="T501" s="132"/>
      <c r="U501" s="132"/>
      <c r="V501" s="132"/>
      <c r="W501" s="132"/>
      <c r="X501" s="132"/>
      <c r="Y501" s="133" t="s">
        <v>1376</v>
      </c>
      <c r="Z501" s="126" t="s">
        <v>64</v>
      </c>
      <c r="AA501" s="134" t="s">
        <v>154</v>
      </c>
      <c r="AB501" s="134" t="s">
        <v>1516</v>
      </c>
      <c r="AC501" s="134"/>
      <c r="AD501" s="134">
        <v>44554</v>
      </c>
      <c r="AE501" s="134"/>
      <c r="AF501" s="134">
        <f t="shared" ca="1" si="40"/>
        <v>44963</v>
      </c>
      <c r="AG501" s="126">
        <f t="shared" ca="1" si="41"/>
        <v>409</v>
      </c>
      <c r="AH501" s="126" t="str">
        <f t="shared" si="42"/>
        <v/>
      </c>
      <c r="AI501" s="134"/>
      <c r="AJ501" s="143" t="s">
        <v>1879</v>
      </c>
      <c r="AK501" s="129">
        <v>10.335000000000001</v>
      </c>
      <c r="AL501" s="129">
        <v>10.345000000000001</v>
      </c>
      <c r="AM501" s="129">
        <v>10.37</v>
      </c>
      <c r="AN501" s="129">
        <v>10.375</v>
      </c>
      <c r="AO501" s="126" t="str">
        <f t="shared" si="43"/>
        <v/>
      </c>
      <c r="AR501" s="99" t="s">
        <v>136</v>
      </c>
    </row>
    <row r="502" spans="1:44" s="99" customFormat="1" ht="21" customHeight="1" x14ac:dyDescent="0.35">
      <c r="A502" s="99">
        <v>424</v>
      </c>
      <c r="B502" s="126" t="str">
        <f t="shared" si="39"/>
        <v>RM-304L/1D-003X768</v>
      </c>
      <c r="C502" s="126" t="s">
        <v>43</v>
      </c>
      <c r="D502" s="126" t="s">
        <v>43</v>
      </c>
      <c r="E502" s="143" t="s">
        <v>1880</v>
      </c>
      <c r="F502" s="143" t="s">
        <v>1881</v>
      </c>
      <c r="G502" s="126" t="s">
        <v>230</v>
      </c>
      <c r="H502" s="126" t="s">
        <v>139</v>
      </c>
      <c r="I502" s="127">
        <v>2.99</v>
      </c>
      <c r="J502" s="127"/>
      <c r="K502" s="127"/>
      <c r="L502" s="127"/>
      <c r="M502" s="144">
        <v>768</v>
      </c>
      <c r="N502" s="129">
        <v>10.35</v>
      </c>
      <c r="O502" s="129"/>
      <c r="P502" s="129"/>
      <c r="Q502" s="130"/>
      <c r="R502" s="131"/>
      <c r="S502" s="131"/>
      <c r="T502" s="132"/>
      <c r="U502" s="132"/>
      <c r="V502" s="132"/>
      <c r="W502" s="132"/>
      <c r="X502" s="132"/>
      <c r="Y502" s="133" t="s">
        <v>1376</v>
      </c>
      <c r="Z502" s="126" t="s">
        <v>64</v>
      </c>
      <c r="AA502" s="134" t="s">
        <v>154</v>
      </c>
      <c r="AB502" s="134" t="s">
        <v>1516</v>
      </c>
      <c r="AC502" s="134"/>
      <c r="AD502" s="134">
        <v>44554</v>
      </c>
      <c r="AE502" s="134"/>
      <c r="AF502" s="134">
        <f t="shared" ca="1" si="40"/>
        <v>44963</v>
      </c>
      <c r="AG502" s="126">
        <f t="shared" ca="1" si="41"/>
        <v>409</v>
      </c>
      <c r="AH502" s="126" t="str">
        <f t="shared" si="42"/>
        <v/>
      </c>
      <c r="AI502" s="134"/>
      <c r="AJ502" s="143" t="s">
        <v>1879</v>
      </c>
      <c r="AK502" s="129">
        <v>10.35</v>
      </c>
      <c r="AL502" s="129">
        <v>10.36</v>
      </c>
      <c r="AM502" s="129">
        <v>10.384999999999998</v>
      </c>
      <c r="AN502" s="129">
        <v>10.389999999999999</v>
      </c>
      <c r="AO502" s="126" t="str">
        <f t="shared" si="43"/>
        <v/>
      </c>
      <c r="AR502" s="99" t="s">
        <v>136</v>
      </c>
    </row>
    <row r="503" spans="1:44" s="99" customFormat="1" ht="21" customHeight="1" x14ac:dyDescent="0.35">
      <c r="A503" s="99">
        <v>424</v>
      </c>
      <c r="B503" s="126" t="str">
        <f t="shared" si="39"/>
        <v>RM-304/1D-003X768</v>
      </c>
      <c r="C503" s="126" t="s">
        <v>43</v>
      </c>
      <c r="D503" s="126" t="s">
        <v>43</v>
      </c>
      <c r="E503" s="143" t="s">
        <v>1882</v>
      </c>
      <c r="F503" s="143" t="s">
        <v>1883</v>
      </c>
      <c r="G503" s="126">
        <v>304</v>
      </c>
      <c r="H503" s="126" t="s">
        <v>139</v>
      </c>
      <c r="I503" s="127">
        <v>3.4</v>
      </c>
      <c r="J503" s="127"/>
      <c r="K503" s="127"/>
      <c r="L503" s="127"/>
      <c r="M503" s="144">
        <v>768</v>
      </c>
      <c r="N503" s="129">
        <v>12</v>
      </c>
      <c r="O503" s="129"/>
      <c r="P503" s="129"/>
      <c r="Q503" s="130"/>
      <c r="R503" s="131"/>
      <c r="S503" s="131"/>
      <c r="T503" s="132"/>
      <c r="U503" s="132"/>
      <c r="V503" s="132"/>
      <c r="W503" s="132"/>
      <c r="X503" s="132"/>
      <c r="Y503" s="133" t="s">
        <v>1376</v>
      </c>
      <c r="Z503" s="126" t="s">
        <v>64</v>
      </c>
      <c r="AA503" s="134" t="s">
        <v>154</v>
      </c>
      <c r="AB503" s="134" t="s">
        <v>1516</v>
      </c>
      <c r="AC503" s="134"/>
      <c r="AD503" s="134">
        <v>44554</v>
      </c>
      <c r="AE503" s="134"/>
      <c r="AF503" s="134">
        <f t="shared" ca="1" si="40"/>
        <v>44963</v>
      </c>
      <c r="AG503" s="126">
        <f t="shared" ca="1" si="41"/>
        <v>409</v>
      </c>
      <c r="AH503" s="126" t="str">
        <f t="shared" si="42"/>
        <v/>
      </c>
      <c r="AI503" s="134"/>
      <c r="AJ503" s="143" t="s">
        <v>1884</v>
      </c>
      <c r="AK503" s="129">
        <v>12</v>
      </c>
      <c r="AL503" s="129">
        <v>12.01</v>
      </c>
      <c r="AM503" s="129">
        <v>12.034999999999998</v>
      </c>
      <c r="AN503" s="129">
        <v>12.04</v>
      </c>
      <c r="AO503" s="126" t="str">
        <f t="shared" si="43"/>
        <v/>
      </c>
      <c r="AR503" s="99" t="s">
        <v>136</v>
      </c>
    </row>
    <row r="504" spans="1:44" s="99" customFormat="1" ht="21" customHeight="1" x14ac:dyDescent="0.35">
      <c r="A504" s="99">
        <v>424</v>
      </c>
      <c r="B504" s="126" t="str">
        <f t="shared" si="39"/>
        <v>RM-304L/1D-004X770</v>
      </c>
      <c r="C504" s="126" t="s">
        <v>43</v>
      </c>
      <c r="D504" s="126" t="s">
        <v>43</v>
      </c>
      <c r="E504" s="143" t="s">
        <v>1885</v>
      </c>
      <c r="F504" s="143" t="s">
        <v>1886</v>
      </c>
      <c r="G504" s="126" t="s">
        <v>230</v>
      </c>
      <c r="H504" s="126" t="s">
        <v>139</v>
      </c>
      <c r="I504" s="127">
        <v>3.5</v>
      </c>
      <c r="J504" s="127"/>
      <c r="K504" s="127"/>
      <c r="L504" s="127"/>
      <c r="M504" s="144">
        <v>770</v>
      </c>
      <c r="N504" s="129">
        <v>10.47</v>
      </c>
      <c r="O504" s="129"/>
      <c r="P504" s="129"/>
      <c r="Q504" s="130"/>
      <c r="R504" s="131"/>
      <c r="S504" s="131"/>
      <c r="T504" s="132"/>
      <c r="U504" s="132"/>
      <c r="V504" s="132"/>
      <c r="W504" s="132"/>
      <c r="X504" s="132"/>
      <c r="Y504" s="133" t="s">
        <v>1376</v>
      </c>
      <c r="Z504" s="126" t="s">
        <v>64</v>
      </c>
      <c r="AA504" s="134" t="s">
        <v>154</v>
      </c>
      <c r="AB504" s="134" t="s">
        <v>1516</v>
      </c>
      <c r="AC504" s="134"/>
      <c r="AD504" s="134">
        <v>44554</v>
      </c>
      <c r="AE504" s="134"/>
      <c r="AF504" s="134">
        <f t="shared" ca="1" si="40"/>
        <v>44963</v>
      </c>
      <c r="AG504" s="126">
        <f t="shared" ca="1" si="41"/>
        <v>409</v>
      </c>
      <c r="AH504" s="126" t="str">
        <f t="shared" si="42"/>
        <v/>
      </c>
      <c r="AI504" s="134"/>
      <c r="AJ504" s="143" t="s">
        <v>1887</v>
      </c>
      <c r="AK504" s="129">
        <v>10.47</v>
      </c>
      <c r="AL504" s="129">
        <v>10.48</v>
      </c>
      <c r="AM504" s="129">
        <v>10.504999999999999</v>
      </c>
      <c r="AN504" s="129">
        <v>10.51</v>
      </c>
      <c r="AO504" s="126" t="str">
        <f t="shared" si="43"/>
        <v/>
      </c>
      <c r="AR504" s="99" t="s">
        <v>136</v>
      </c>
    </row>
    <row r="505" spans="1:44" s="99" customFormat="1" ht="21" customHeight="1" x14ac:dyDescent="0.35">
      <c r="A505" s="99">
        <v>424</v>
      </c>
      <c r="B505" s="126" t="str">
        <f t="shared" si="39"/>
        <v>RM-304L/1D-004X771</v>
      </c>
      <c r="C505" s="126" t="s">
        <v>43</v>
      </c>
      <c r="D505" s="126" t="s">
        <v>43</v>
      </c>
      <c r="E505" s="143" t="s">
        <v>1888</v>
      </c>
      <c r="F505" s="143" t="s">
        <v>1889</v>
      </c>
      <c r="G505" s="126" t="s">
        <v>230</v>
      </c>
      <c r="H505" s="126" t="s">
        <v>139</v>
      </c>
      <c r="I505" s="127">
        <v>3.5</v>
      </c>
      <c r="J505" s="127"/>
      <c r="K505" s="127"/>
      <c r="L505" s="127"/>
      <c r="M505" s="144">
        <v>771</v>
      </c>
      <c r="N505" s="129">
        <v>10.48</v>
      </c>
      <c r="O505" s="129"/>
      <c r="P505" s="129"/>
      <c r="Q505" s="130"/>
      <c r="R505" s="131"/>
      <c r="S505" s="131"/>
      <c r="T505" s="132"/>
      <c r="U505" s="132"/>
      <c r="V505" s="132"/>
      <c r="W505" s="132"/>
      <c r="X505" s="132"/>
      <c r="Y505" s="133" t="s">
        <v>1376</v>
      </c>
      <c r="Z505" s="126" t="s">
        <v>64</v>
      </c>
      <c r="AA505" s="134" t="s">
        <v>154</v>
      </c>
      <c r="AB505" s="134" t="s">
        <v>1516</v>
      </c>
      <c r="AC505" s="134"/>
      <c r="AD505" s="134">
        <v>44554</v>
      </c>
      <c r="AE505" s="134"/>
      <c r="AF505" s="134">
        <f t="shared" ca="1" si="40"/>
        <v>44963</v>
      </c>
      <c r="AG505" s="126">
        <f t="shared" ca="1" si="41"/>
        <v>409</v>
      </c>
      <c r="AH505" s="126" t="str">
        <f t="shared" si="42"/>
        <v/>
      </c>
      <c r="AI505" s="134"/>
      <c r="AJ505" s="143" t="s">
        <v>1887</v>
      </c>
      <c r="AK505" s="129">
        <v>10.48</v>
      </c>
      <c r="AL505" s="129">
        <v>10.49</v>
      </c>
      <c r="AM505" s="129">
        <v>10.514999999999999</v>
      </c>
      <c r="AN505" s="129">
        <v>10.52</v>
      </c>
      <c r="AO505" s="126" t="str">
        <f t="shared" si="43"/>
        <v/>
      </c>
      <c r="AR505" s="99" t="s">
        <v>136</v>
      </c>
    </row>
    <row r="506" spans="1:44" s="99" customFormat="1" ht="21" customHeight="1" x14ac:dyDescent="0.35">
      <c r="A506" s="99">
        <v>424</v>
      </c>
      <c r="B506" s="126" t="str">
        <f t="shared" ref="B506:B569" si="44">IF(C506="HOLD RM","HOLD RM",IF(C506="BAL","WIP",IF(C506="HOLD SLT","HOLD SLT",IF(C506="MILL","RM",IF(C506="RE SLT","WIP",IF(C506="RM","RM",IF(C506="RM BAL","RM",IF(C506="RM SLT","RM",IF(C506="RR","WIP",IF(C506="SKP","WIP",IF(C506="SLT","WIP",IF(C506="CTL","WIP",IF(C506="RM SLT RUST","RM SLT RUST",0)))))))))))))&amp;"-"&amp;G506&amp;"/"&amp;IF(H506="2B","2B",IF(H506="NO.1","1D",IF(H506="FH","FH",0)))&amp;"-"&amp;IF(J506="",(TEXT(I506,"0.00")),TEXT(J506,"0.00"))&amp;"X"&amp;M506</f>
        <v>RM-304/1D-004X767</v>
      </c>
      <c r="C506" s="126" t="s">
        <v>43</v>
      </c>
      <c r="D506" s="126" t="s">
        <v>43</v>
      </c>
      <c r="E506" s="143" t="s">
        <v>1890</v>
      </c>
      <c r="F506" s="143" t="s">
        <v>1891</v>
      </c>
      <c r="G506" s="126">
        <v>304</v>
      </c>
      <c r="H506" s="126" t="s">
        <v>139</v>
      </c>
      <c r="I506" s="127">
        <v>3.85</v>
      </c>
      <c r="J506" s="127"/>
      <c r="K506" s="127"/>
      <c r="L506" s="127"/>
      <c r="M506" s="144">
        <v>767</v>
      </c>
      <c r="N506" s="129">
        <v>10.404999999999999</v>
      </c>
      <c r="O506" s="129"/>
      <c r="P506" s="129"/>
      <c r="Q506" s="130"/>
      <c r="R506" s="131"/>
      <c r="S506" s="131"/>
      <c r="T506" s="132"/>
      <c r="U506" s="132"/>
      <c r="V506" s="132"/>
      <c r="W506" s="132"/>
      <c r="X506" s="132"/>
      <c r="Y506" s="133" t="s">
        <v>1376</v>
      </c>
      <c r="Z506" s="126" t="s">
        <v>64</v>
      </c>
      <c r="AA506" s="134" t="s">
        <v>154</v>
      </c>
      <c r="AB506" s="134" t="s">
        <v>1516</v>
      </c>
      <c r="AC506" s="134"/>
      <c r="AD506" s="134">
        <v>44554</v>
      </c>
      <c r="AE506" s="134"/>
      <c r="AF506" s="134">
        <f t="shared" ca="1" si="40"/>
        <v>44963</v>
      </c>
      <c r="AG506" s="126">
        <f t="shared" ca="1" si="41"/>
        <v>409</v>
      </c>
      <c r="AH506" s="126" t="str">
        <f t="shared" si="42"/>
        <v/>
      </c>
      <c r="AI506" s="134"/>
      <c r="AJ506" s="143" t="s">
        <v>1892</v>
      </c>
      <c r="AK506" s="129">
        <v>10.404999999999999</v>
      </c>
      <c r="AL506" s="129">
        <v>10.414999999999999</v>
      </c>
      <c r="AM506" s="129">
        <v>10.439999999999998</v>
      </c>
      <c r="AN506" s="129">
        <v>10.444999999999999</v>
      </c>
      <c r="AO506" s="126" t="str">
        <f t="shared" si="43"/>
        <v/>
      </c>
      <c r="AR506" s="99" t="s">
        <v>136</v>
      </c>
    </row>
    <row r="507" spans="1:44" s="99" customFormat="1" ht="21" customHeight="1" x14ac:dyDescent="0.35">
      <c r="A507" s="99">
        <v>424</v>
      </c>
      <c r="B507" s="126" t="str">
        <f t="shared" si="44"/>
        <v>RM-304/1D-004X767</v>
      </c>
      <c r="C507" s="126" t="s">
        <v>43</v>
      </c>
      <c r="D507" s="126" t="s">
        <v>43</v>
      </c>
      <c r="E507" s="143" t="s">
        <v>1893</v>
      </c>
      <c r="F507" s="143" t="s">
        <v>1894</v>
      </c>
      <c r="G507" s="126">
        <v>304</v>
      </c>
      <c r="H507" s="126" t="s">
        <v>139</v>
      </c>
      <c r="I507" s="127">
        <v>3.84</v>
      </c>
      <c r="J507" s="127"/>
      <c r="K507" s="127"/>
      <c r="L507" s="127"/>
      <c r="M507" s="144">
        <v>767</v>
      </c>
      <c r="N507" s="129">
        <v>10.43</v>
      </c>
      <c r="O507" s="129"/>
      <c r="P507" s="129"/>
      <c r="Q507" s="130"/>
      <c r="R507" s="131"/>
      <c r="S507" s="131"/>
      <c r="T507" s="132"/>
      <c r="U507" s="132"/>
      <c r="V507" s="132"/>
      <c r="W507" s="132"/>
      <c r="X507" s="132"/>
      <c r="Y507" s="133" t="s">
        <v>1376</v>
      </c>
      <c r="Z507" s="126" t="s">
        <v>64</v>
      </c>
      <c r="AA507" s="134" t="s">
        <v>154</v>
      </c>
      <c r="AB507" s="134" t="s">
        <v>1516</v>
      </c>
      <c r="AC507" s="134"/>
      <c r="AD507" s="134">
        <v>44554</v>
      </c>
      <c r="AE507" s="134"/>
      <c r="AF507" s="134">
        <f t="shared" ca="1" si="40"/>
        <v>44963</v>
      </c>
      <c r="AG507" s="126">
        <f t="shared" ca="1" si="41"/>
        <v>409</v>
      </c>
      <c r="AH507" s="126" t="str">
        <f t="shared" si="42"/>
        <v/>
      </c>
      <c r="AI507" s="134"/>
      <c r="AJ507" s="143" t="s">
        <v>1892</v>
      </c>
      <c r="AK507" s="129">
        <v>10.43</v>
      </c>
      <c r="AL507" s="129">
        <v>10.44</v>
      </c>
      <c r="AM507" s="129">
        <v>10.464999999999998</v>
      </c>
      <c r="AN507" s="129">
        <v>10.469999999999999</v>
      </c>
      <c r="AO507" s="126" t="str">
        <f t="shared" si="43"/>
        <v/>
      </c>
      <c r="AR507" s="99" t="s">
        <v>136</v>
      </c>
    </row>
    <row r="508" spans="1:44" s="99" customFormat="1" ht="21" customHeight="1" x14ac:dyDescent="0.35">
      <c r="A508" s="99">
        <v>424</v>
      </c>
      <c r="B508" s="126" t="str">
        <f t="shared" si="44"/>
        <v>RM-304L/1D-003X770</v>
      </c>
      <c r="C508" s="126" t="s">
        <v>43</v>
      </c>
      <c r="D508" s="126" t="s">
        <v>43</v>
      </c>
      <c r="E508" s="143" t="s">
        <v>1895</v>
      </c>
      <c r="F508" s="143" t="s">
        <v>1896</v>
      </c>
      <c r="G508" s="126" t="s">
        <v>230</v>
      </c>
      <c r="H508" s="126" t="s">
        <v>139</v>
      </c>
      <c r="I508" s="127">
        <v>2.92</v>
      </c>
      <c r="J508" s="127"/>
      <c r="K508" s="127"/>
      <c r="L508" s="127"/>
      <c r="M508" s="144">
        <v>770</v>
      </c>
      <c r="N508" s="129">
        <v>10.414999999999999</v>
      </c>
      <c r="O508" s="129"/>
      <c r="P508" s="129"/>
      <c r="Q508" s="130"/>
      <c r="R508" s="131"/>
      <c r="S508" s="131"/>
      <c r="T508" s="132"/>
      <c r="U508" s="132"/>
      <c r="V508" s="132"/>
      <c r="W508" s="132"/>
      <c r="X508" s="132"/>
      <c r="Y508" s="133" t="s">
        <v>1376</v>
      </c>
      <c r="Z508" s="126" t="s">
        <v>64</v>
      </c>
      <c r="AA508" s="134" t="s">
        <v>154</v>
      </c>
      <c r="AB508" s="134" t="s">
        <v>1516</v>
      </c>
      <c r="AC508" s="134"/>
      <c r="AD508" s="134">
        <v>44554</v>
      </c>
      <c r="AE508" s="134"/>
      <c r="AF508" s="134">
        <f t="shared" ca="1" si="40"/>
        <v>44963</v>
      </c>
      <c r="AG508" s="126">
        <f t="shared" ca="1" si="41"/>
        <v>409</v>
      </c>
      <c r="AH508" s="126" t="str">
        <f t="shared" si="42"/>
        <v/>
      </c>
      <c r="AI508" s="134"/>
      <c r="AJ508" s="143" t="s">
        <v>1897</v>
      </c>
      <c r="AK508" s="129">
        <v>10.414999999999999</v>
      </c>
      <c r="AL508" s="129">
        <v>10.425000000000001</v>
      </c>
      <c r="AM508" s="129">
        <v>10.45</v>
      </c>
      <c r="AN508" s="129">
        <v>10.455</v>
      </c>
      <c r="AO508" s="126" t="str">
        <f t="shared" si="43"/>
        <v/>
      </c>
      <c r="AR508" s="99" t="s">
        <v>136</v>
      </c>
    </row>
    <row r="509" spans="1:44" s="99" customFormat="1" ht="21" customHeight="1" x14ac:dyDescent="0.35">
      <c r="A509" s="99">
        <v>424</v>
      </c>
      <c r="B509" s="126" t="str">
        <f t="shared" si="44"/>
        <v>RM-304L/1D-003X771</v>
      </c>
      <c r="C509" s="126" t="s">
        <v>43</v>
      </c>
      <c r="D509" s="126" t="s">
        <v>43</v>
      </c>
      <c r="E509" s="143" t="s">
        <v>1898</v>
      </c>
      <c r="F509" s="143" t="s">
        <v>1899</v>
      </c>
      <c r="G509" s="126" t="s">
        <v>230</v>
      </c>
      <c r="H509" s="126" t="s">
        <v>139</v>
      </c>
      <c r="I509" s="127">
        <v>2.92</v>
      </c>
      <c r="J509" s="127"/>
      <c r="K509" s="127"/>
      <c r="L509" s="127"/>
      <c r="M509" s="144">
        <v>771</v>
      </c>
      <c r="N509" s="129">
        <v>10.44</v>
      </c>
      <c r="O509" s="129"/>
      <c r="P509" s="129"/>
      <c r="Q509" s="130"/>
      <c r="R509" s="131"/>
      <c r="S509" s="131"/>
      <c r="T509" s="132"/>
      <c r="U509" s="132"/>
      <c r="V509" s="132"/>
      <c r="W509" s="132"/>
      <c r="X509" s="132"/>
      <c r="Y509" s="133" t="s">
        <v>1376</v>
      </c>
      <c r="Z509" s="126" t="s">
        <v>64</v>
      </c>
      <c r="AA509" s="134" t="s">
        <v>154</v>
      </c>
      <c r="AB509" s="134" t="s">
        <v>1516</v>
      </c>
      <c r="AC509" s="134"/>
      <c r="AD509" s="134">
        <v>44554</v>
      </c>
      <c r="AE509" s="134"/>
      <c r="AF509" s="134">
        <f t="shared" ca="1" si="40"/>
        <v>44963</v>
      </c>
      <c r="AG509" s="126">
        <f t="shared" ca="1" si="41"/>
        <v>409</v>
      </c>
      <c r="AH509" s="126" t="str">
        <f t="shared" si="42"/>
        <v/>
      </c>
      <c r="AI509" s="134"/>
      <c r="AJ509" s="143" t="s">
        <v>1897</v>
      </c>
      <c r="AK509" s="129">
        <v>10.44</v>
      </c>
      <c r="AL509" s="129">
        <v>10.45</v>
      </c>
      <c r="AM509" s="129">
        <v>10.474999999999998</v>
      </c>
      <c r="AN509" s="129">
        <v>10.479999999999999</v>
      </c>
      <c r="AO509" s="126" t="str">
        <f t="shared" si="43"/>
        <v/>
      </c>
      <c r="AR509" s="99" t="s">
        <v>136</v>
      </c>
    </row>
    <row r="510" spans="1:44" s="99" customFormat="1" ht="21" customHeight="1" x14ac:dyDescent="0.35">
      <c r="A510" s="99">
        <v>424</v>
      </c>
      <c r="B510" s="126" t="str">
        <f t="shared" si="44"/>
        <v>RM-304L/1D-004X770</v>
      </c>
      <c r="C510" s="126" t="s">
        <v>43</v>
      </c>
      <c r="D510" s="126" t="s">
        <v>43</v>
      </c>
      <c r="E510" s="143" t="s">
        <v>1900</v>
      </c>
      <c r="F510" s="143" t="s">
        <v>1901</v>
      </c>
      <c r="G510" s="126" t="s">
        <v>230</v>
      </c>
      <c r="H510" s="126" t="s">
        <v>139</v>
      </c>
      <c r="I510" s="127">
        <v>3.5</v>
      </c>
      <c r="J510" s="127"/>
      <c r="K510" s="127"/>
      <c r="L510" s="127"/>
      <c r="M510" s="144">
        <v>770</v>
      </c>
      <c r="N510" s="129">
        <v>10.365</v>
      </c>
      <c r="O510" s="129"/>
      <c r="P510" s="129"/>
      <c r="Q510" s="130"/>
      <c r="R510" s="131"/>
      <c r="S510" s="131"/>
      <c r="T510" s="132"/>
      <c r="U510" s="132"/>
      <c r="V510" s="132"/>
      <c r="W510" s="132"/>
      <c r="X510" s="132"/>
      <c r="Y510" s="133" t="s">
        <v>1376</v>
      </c>
      <c r="Z510" s="126" t="s">
        <v>64</v>
      </c>
      <c r="AA510" s="134" t="s">
        <v>154</v>
      </c>
      <c r="AB510" s="134" t="s">
        <v>1516</v>
      </c>
      <c r="AC510" s="134"/>
      <c r="AD510" s="134">
        <v>44554</v>
      </c>
      <c r="AE510" s="134"/>
      <c r="AF510" s="134">
        <f t="shared" ca="1" si="40"/>
        <v>44963</v>
      </c>
      <c r="AG510" s="126">
        <f t="shared" ca="1" si="41"/>
        <v>409</v>
      </c>
      <c r="AH510" s="126" t="str">
        <f t="shared" si="42"/>
        <v/>
      </c>
      <c r="AI510" s="134"/>
      <c r="AJ510" s="143" t="s">
        <v>1902</v>
      </c>
      <c r="AK510" s="129">
        <v>10.365</v>
      </c>
      <c r="AL510" s="129">
        <v>10.375</v>
      </c>
      <c r="AM510" s="129">
        <v>10.399999999999999</v>
      </c>
      <c r="AN510" s="129">
        <v>10.404999999999999</v>
      </c>
      <c r="AO510" s="126" t="str">
        <f t="shared" si="43"/>
        <v/>
      </c>
      <c r="AR510" s="99" t="s">
        <v>136</v>
      </c>
    </row>
    <row r="511" spans="1:44" s="99" customFormat="1" ht="21" customHeight="1" x14ac:dyDescent="0.35">
      <c r="A511" s="99">
        <v>424</v>
      </c>
      <c r="B511" s="126" t="str">
        <f t="shared" si="44"/>
        <v>RM-304L/1D-003X770</v>
      </c>
      <c r="C511" s="126" t="s">
        <v>43</v>
      </c>
      <c r="D511" s="126" t="s">
        <v>43</v>
      </c>
      <c r="E511" s="143" t="s">
        <v>1903</v>
      </c>
      <c r="F511" s="143" t="s">
        <v>1904</v>
      </c>
      <c r="G511" s="126" t="s">
        <v>230</v>
      </c>
      <c r="H511" s="126" t="s">
        <v>139</v>
      </c>
      <c r="I511" s="127">
        <v>3.49</v>
      </c>
      <c r="J511" s="127"/>
      <c r="K511" s="127"/>
      <c r="L511" s="127"/>
      <c r="M511" s="144">
        <v>770</v>
      </c>
      <c r="N511" s="129">
        <v>10.36</v>
      </c>
      <c r="O511" s="129"/>
      <c r="P511" s="129"/>
      <c r="Q511" s="130"/>
      <c r="R511" s="131"/>
      <c r="S511" s="131"/>
      <c r="T511" s="132"/>
      <c r="U511" s="132"/>
      <c r="V511" s="132"/>
      <c r="W511" s="132"/>
      <c r="X511" s="132"/>
      <c r="Y511" s="133" t="s">
        <v>1376</v>
      </c>
      <c r="Z511" s="126" t="s">
        <v>64</v>
      </c>
      <c r="AA511" s="134" t="s">
        <v>154</v>
      </c>
      <c r="AB511" s="134" t="s">
        <v>1516</v>
      </c>
      <c r="AC511" s="134"/>
      <c r="AD511" s="134">
        <v>44554</v>
      </c>
      <c r="AE511" s="134"/>
      <c r="AF511" s="134">
        <f t="shared" ca="1" si="40"/>
        <v>44963</v>
      </c>
      <c r="AG511" s="126">
        <f t="shared" ca="1" si="41"/>
        <v>409</v>
      </c>
      <c r="AH511" s="126" t="str">
        <f t="shared" si="42"/>
        <v/>
      </c>
      <c r="AI511" s="134"/>
      <c r="AJ511" s="143" t="s">
        <v>1902</v>
      </c>
      <c r="AK511" s="129">
        <v>10.36</v>
      </c>
      <c r="AL511" s="129">
        <v>10.37</v>
      </c>
      <c r="AM511" s="129">
        <v>10.394999999999998</v>
      </c>
      <c r="AN511" s="129">
        <v>10.399999999999999</v>
      </c>
      <c r="AO511" s="126" t="str">
        <f t="shared" si="43"/>
        <v/>
      </c>
      <c r="AR511" s="99" t="s">
        <v>136</v>
      </c>
    </row>
    <row r="512" spans="1:44" s="99" customFormat="1" ht="21" customHeight="1" x14ac:dyDescent="0.35">
      <c r="A512" s="99">
        <v>424</v>
      </c>
      <c r="B512" s="126" t="str">
        <f t="shared" si="44"/>
        <v>RM-304L/1D-003X770</v>
      </c>
      <c r="C512" s="126" t="s">
        <v>43</v>
      </c>
      <c r="D512" s="126" t="s">
        <v>43</v>
      </c>
      <c r="E512" s="143" t="s">
        <v>1905</v>
      </c>
      <c r="F512" s="143" t="s">
        <v>1906</v>
      </c>
      <c r="G512" s="126" t="s">
        <v>230</v>
      </c>
      <c r="H512" s="126" t="s">
        <v>139</v>
      </c>
      <c r="I512" s="127">
        <v>3.1</v>
      </c>
      <c r="J512" s="127"/>
      <c r="K512" s="127"/>
      <c r="L512" s="127"/>
      <c r="M512" s="144">
        <v>770</v>
      </c>
      <c r="N512" s="129">
        <v>10.43</v>
      </c>
      <c r="O512" s="129"/>
      <c r="P512" s="129"/>
      <c r="Q512" s="130"/>
      <c r="R512" s="131"/>
      <c r="S512" s="131"/>
      <c r="T512" s="132"/>
      <c r="U512" s="132"/>
      <c r="V512" s="132"/>
      <c r="W512" s="132"/>
      <c r="X512" s="132"/>
      <c r="Y512" s="133" t="s">
        <v>1376</v>
      </c>
      <c r="Z512" s="126" t="s">
        <v>64</v>
      </c>
      <c r="AA512" s="134" t="s">
        <v>154</v>
      </c>
      <c r="AB512" s="134" t="s">
        <v>1516</v>
      </c>
      <c r="AC512" s="134"/>
      <c r="AD512" s="134">
        <v>44554</v>
      </c>
      <c r="AE512" s="134"/>
      <c r="AF512" s="134">
        <f t="shared" ca="1" si="40"/>
        <v>44963</v>
      </c>
      <c r="AG512" s="126">
        <f t="shared" ca="1" si="41"/>
        <v>409</v>
      </c>
      <c r="AH512" s="126" t="str">
        <f t="shared" si="42"/>
        <v/>
      </c>
      <c r="AI512" s="134"/>
      <c r="AJ512" s="143" t="s">
        <v>1907</v>
      </c>
      <c r="AK512" s="129">
        <v>10.43</v>
      </c>
      <c r="AL512" s="129">
        <v>10.44</v>
      </c>
      <c r="AM512" s="129">
        <v>10.464999999999998</v>
      </c>
      <c r="AN512" s="129">
        <v>10.469999999999999</v>
      </c>
      <c r="AO512" s="126" t="str">
        <f t="shared" si="43"/>
        <v/>
      </c>
      <c r="AR512" s="99" t="s">
        <v>136</v>
      </c>
    </row>
    <row r="513" spans="1:44" s="99" customFormat="1" ht="21" customHeight="1" x14ac:dyDescent="0.35">
      <c r="A513" s="99">
        <v>424</v>
      </c>
      <c r="B513" s="126" t="str">
        <f t="shared" si="44"/>
        <v>RM-304L/1D-003X770</v>
      </c>
      <c r="C513" s="126" t="s">
        <v>43</v>
      </c>
      <c r="D513" s="126" t="s">
        <v>43</v>
      </c>
      <c r="E513" s="143" t="s">
        <v>1908</v>
      </c>
      <c r="F513" s="143" t="s">
        <v>1909</v>
      </c>
      <c r="G513" s="126" t="s">
        <v>230</v>
      </c>
      <c r="H513" s="126" t="s">
        <v>139</v>
      </c>
      <c r="I513" s="127">
        <v>3.09</v>
      </c>
      <c r="J513" s="127"/>
      <c r="K513" s="127"/>
      <c r="L513" s="127"/>
      <c r="M513" s="144">
        <v>770</v>
      </c>
      <c r="N513" s="129">
        <v>10.43</v>
      </c>
      <c r="O513" s="129"/>
      <c r="P513" s="129"/>
      <c r="Q513" s="130"/>
      <c r="R513" s="131"/>
      <c r="S513" s="131"/>
      <c r="T513" s="132"/>
      <c r="U513" s="132"/>
      <c r="V513" s="132"/>
      <c r="W513" s="132"/>
      <c r="X513" s="132"/>
      <c r="Y513" s="133" t="s">
        <v>1376</v>
      </c>
      <c r="Z513" s="126" t="s">
        <v>64</v>
      </c>
      <c r="AA513" s="134" t="s">
        <v>154</v>
      </c>
      <c r="AB513" s="134" t="s">
        <v>1516</v>
      </c>
      <c r="AC513" s="134"/>
      <c r="AD513" s="134">
        <v>44554</v>
      </c>
      <c r="AE513" s="134"/>
      <c r="AF513" s="134">
        <f t="shared" ca="1" si="40"/>
        <v>44963</v>
      </c>
      <c r="AG513" s="126">
        <f t="shared" ca="1" si="41"/>
        <v>409</v>
      </c>
      <c r="AH513" s="126" t="str">
        <f t="shared" si="42"/>
        <v/>
      </c>
      <c r="AI513" s="134"/>
      <c r="AJ513" s="143" t="s">
        <v>1907</v>
      </c>
      <c r="AK513" s="129">
        <v>10.43</v>
      </c>
      <c r="AL513" s="129">
        <v>10.44</v>
      </c>
      <c r="AM513" s="129">
        <v>10.464999999999998</v>
      </c>
      <c r="AN513" s="129">
        <v>10.469999999999999</v>
      </c>
      <c r="AO513" s="126" t="str">
        <f t="shared" si="43"/>
        <v/>
      </c>
      <c r="AR513" s="99" t="s">
        <v>136</v>
      </c>
    </row>
    <row r="514" spans="1:44" s="99" customFormat="1" ht="21" customHeight="1" x14ac:dyDescent="0.35">
      <c r="A514" s="99">
        <v>424</v>
      </c>
      <c r="B514" s="126" t="str">
        <f t="shared" si="44"/>
        <v>RM-304L/1D-004X770</v>
      </c>
      <c r="C514" s="126" t="s">
        <v>43</v>
      </c>
      <c r="D514" s="126" t="s">
        <v>43</v>
      </c>
      <c r="E514" s="143" t="s">
        <v>1910</v>
      </c>
      <c r="F514" s="143" t="s">
        <v>1911</v>
      </c>
      <c r="G514" s="126" t="s">
        <v>230</v>
      </c>
      <c r="H514" s="126" t="s">
        <v>139</v>
      </c>
      <c r="I514" s="127">
        <v>3.86</v>
      </c>
      <c r="J514" s="127"/>
      <c r="K514" s="127"/>
      <c r="L514" s="127"/>
      <c r="M514" s="144">
        <v>770</v>
      </c>
      <c r="N514" s="129">
        <v>11.9</v>
      </c>
      <c r="O514" s="129"/>
      <c r="P514" s="129"/>
      <c r="Q514" s="130"/>
      <c r="R514" s="131"/>
      <c r="S514" s="131"/>
      <c r="T514" s="132"/>
      <c r="U514" s="132"/>
      <c r="V514" s="132"/>
      <c r="W514" s="132"/>
      <c r="X514" s="132"/>
      <c r="Y514" s="133" t="s">
        <v>1376</v>
      </c>
      <c r="Z514" s="126" t="s">
        <v>64</v>
      </c>
      <c r="AA514" s="134" t="s">
        <v>154</v>
      </c>
      <c r="AB514" s="134" t="s">
        <v>1516</v>
      </c>
      <c r="AC514" s="134"/>
      <c r="AD514" s="134">
        <v>44554</v>
      </c>
      <c r="AE514" s="134"/>
      <c r="AF514" s="134">
        <f t="shared" ca="1" si="40"/>
        <v>44963</v>
      </c>
      <c r="AG514" s="126">
        <f t="shared" ca="1" si="41"/>
        <v>409</v>
      </c>
      <c r="AH514" s="126" t="str">
        <f t="shared" si="42"/>
        <v/>
      </c>
      <c r="AI514" s="134"/>
      <c r="AJ514" s="143" t="s">
        <v>1912</v>
      </c>
      <c r="AK514" s="129">
        <v>11.9</v>
      </c>
      <c r="AL514" s="129">
        <v>11.91</v>
      </c>
      <c r="AM514" s="129">
        <v>11.934999999999999</v>
      </c>
      <c r="AN514" s="129">
        <v>11.94</v>
      </c>
      <c r="AO514" s="126" t="str">
        <f t="shared" si="43"/>
        <v/>
      </c>
      <c r="AR514" s="99" t="s">
        <v>136</v>
      </c>
    </row>
    <row r="515" spans="1:44" s="99" customFormat="1" ht="21" customHeight="1" x14ac:dyDescent="0.35">
      <c r="A515" s="99">
        <v>424</v>
      </c>
      <c r="B515" s="126" t="str">
        <f t="shared" si="44"/>
        <v>RM-304L/1D-004X772</v>
      </c>
      <c r="C515" s="126" t="s">
        <v>43</v>
      </c>
      <c r="D515" s="126" t="s">
        <v>43</v>
      </c>
      <c r="E515" s="143" t="s">
        <v>1913</v>
      </c>
      <c r="F515" s="143" t="s">
        <v>1914</v>
      </c>
      <c r="G515" s="126" t="s">
        <v>230</v>
      </c>
      <c r="H515" s="126" t="s">
        <v>139</v>
      </c>
      <c r="I515" s="127">
        <v>3.86</v>
      </c>
      <c r="J515" s="127"/>
      <c r="K515" s="127"/>
      <c r="L515" s="127"/>
      <c r="M515" s="144">
        <v>772</v>
      </c>
      <c r="N515" s="129">
        <v>11.94</v>
      </c>
      <c r="O515" s="129"/>
      <c r="P515" s="129"/>
      <c r="Q515" s="130"/>
      <c r="R515" s="131"/>
      <c r="S515" s="131"/>
      <c r="T515" s="132"/>
      <c r="U515" s="132"/>
      <c r="V515" s="132"/>
      <c r="W515" s="132"/>
      <c r="X515" s="132"/>
      <c r="Y515" s="133" t="s">
        <v>1376</v>
      </c>
      <c r="Z515" s="126" t="s">
        <v>64</v>
      </c>
      <c r="AA515" s="134" t="s">
        <v>154</v>
      </c>
      <c r="AB515" s="134" t="s">
        <v>1516</v>
      </c>
      <c r="AC515" s="134"/>
      <c r="AD515" s="134">
        <v>44554</v>
      </c>
      <c r="AE515" s="134"/>
      <c r="AF515" s="134">
        <f t="shared" ca="1" si="40"/>
        <v>44963</v>
      </c>
      <c r="AG515" s="126">
        <f t="shared" ca="1" si="41"/>
        <v>409</v>
      </c>
      <c r="AH515" s="126" t="str">
        <f t="shared" si="42"/>
        <v/>
      </c>
      <c r="AI515" s="134"/>
      <c r="AJ515" s="143" t="s">
        <v>1912</v>
      </c>
      <c r="AK515" s="129">
        <v>11.94</v>
      </c>
      <c r="AL515" s="129">
        <v>11.95</v>
      </c>
      <c r="AM515" s="129">
        <v>11.974999999999998</v>
      </c>
      <c r="AN515" s="129">
        <v>11.979999999999999</v>
      </c>
      <c r="AO515" s="126" t="str">
        <f t="shared" si="43"/>
        <v/>
      </c>
      <c r="AR515" s="99" t="s">
        <v>136</v>
      </c>
    </row>
    <row r="516" spans="1:44" s="99" customFormat="1" ht="21" customHeight="1" x14ac:dyDescent="0.35">
      <c r="A516" s="99">
        <v>424</v>
      </c>
      <c r="B516" s="126" t="str">
        <f t="shared" si="44"/>
        <v>RM-304/1D-003X770</v>
      </c>
      <c r="C516" s="126" t="s">
        <v>43</v>
      </c>
      <c r="D516" s="126" t="s">
        <v>43</v>
      </c>
      <c r="E516" s="143" t="s">
        <v>1915</v>
      </c>
      <c r="F516" s="143" t="s">
        <v>1916</v>
      </c>
      <c r="G516" s="126">
        <v>304</v>
      </c>
      <c r="H516" s="126" t="s">
        <v>139</v>
      </c>
      <c r="I516" s="127">
        <v>2.95</v>
      </c>
      <c r="J516" s="127"/>
      <c r="K516" s="127"/>
      <c r="L516" s="127"/>
      <c r="M516" s="144">
        <v>770</v>
      </c>
      <c r="N516" s="129">
        <v>11.975</v>
      </c>
      <c r="O516" s="129"/>
      <c r="P516" s="129"/>
      <c r="Q516" s="130"/>
      <c r="R516" s="131"/>
      <c r="S516" s="131"/>
      <c r="T516" s="132"/>
      <c r="U516" s="132"/>
      <c r="V516" s="132"/>
      <c r="W516" s="132"/>
      <c r="X516" s="132"/>
      <c r="Y516" s="133" t="s">
        <v>1376</v>
      </c>
      <c r="Z516" s="126" t="s">
        <v>64</v>
      </c>
      <c r="AA516" s="134" t="s">
        <v>154</v>
      </c>
      <c r="AB516" s="134" t="s">
        <v>1516</v>
      </c>
      <c r="AC516" s="134"/>
      <c r="AD516" s="134">
        <v>44554</v>
      </c>
      <c r="AE516" s="134"/>
      <c r="AF516" s="134">
        <f t="shared" ca="1" si="40"/>
        <v>44963</v>
      </c>
      <c r="AG516" s="126">
        <f t="shared" ca="1" si="41"/>
        <v>409</v>
      </c>
      <c r="AH516" s="126" t="str">
        <f t="shared" si="42"/>
        <v/>
      </c>
      <c r="AI516" s="134"/>
      <c r="AJ516" s="143" t="s">
        <v>1917</v>
      </c>
      <c r="AK516" s="129">
        <v>11.975</v>
      </c>
      <c r="AL516" s="129">
        <v>11.984999999999999</v>
      </c>
      <c r="AM516" s="129">
        <v>12.009999999999998</v>
      </c>
      <c r="AN516" s="129">
        <v>12.014999999999999</v>
      </c>
      <c r="AO516" s="126" t="str">
        <f t="shared" si="43"/>
        <v/>
      </c>
      <c r="AR516" s="99" t="s">
        <v>136</v>
      </c>
    </row>
    <row r="517" spans="1:44" s="99" customFormat="1" ht="21" customHeight="1" x14ac:dyDescent="0.35">
      <c r="A517" s="99">
        <v>424</v>
      </c>
      <c r="B517" s="126" t="str">
        <f t="shared" si="44"/>
        <v>RM-304/1D-003X770</v>
      </c>
      <c r="C517" s="126" t="s">
        <v>43</v>
      </c>
      <c r="D517" s="126" t="s">
        <v>43</v>
      </c>
      <c r="E517" s="143" t="s">
        <v>1918</v>
      </c>
      <c r="F517" s="143" t="s">
        <v>1919</v>
      </c>
      <c r="G517" s="126">
        <v>304</v>
      </c>
      <c r="H517" s="126" t="s">
        <v>139</v>
      </c>
      <c r="I517" s="127">
        <v>2.96</v>
      </c>
      <c r="J517" s="127"/>
      <c r="K517" s="127"/>
      <c r="L517" s="127"/>
      <c r="M517" s="144">
        <v>770</v>
      </c>
      <c r="N517" s="129">
        <v>11.96</v>
      </c>
      <c r="O517" s="129"/>
      <c r="P517" s="129"/>
      <c r="Q517" s="130"/>
      <c r="R517" s="131"/>
      <c r="S517" s="131"/>
      <c r="T517" s="132"/>
      <c r="U517" s="132"/>
      <c r="V517" s="132"/>
      <c r="W517" s="132"/>
      <c r="X517" s="132"/>
      <c r="Y517" s="133" t="s">
        <v>1376</v>
      </c>
      <c r="Z517" s="126" t="s">
        <v>64</v>
      </c>
      <c r="AA517" s="134" t="s">
        <v>154</v>
      </c>
      <c r="AB517" s="134" t="s">
        <v>1516</v>
      </c>
      <c r="AC517" s="134"/>
      <c r="AD517" s="134">
        <v>44554</v>
      </c>
      <c r="AE517" s="134"/>
      <c r="AF517" s="134">
        <f t="shared" ref="AF517:AF580" ca="1" si="45">TODAY()</f>
        <v>44963</v>
      </c>
      <c r="AG517" s="126">
        <f t="shared" ref="AG517:AG580" ca="1" si="46">IF(AD517&lt;&gt;0,AF517-AD517,0)</f>
        <v>409</v>
      </c>
      <c r="AH517" s="126" t="str">
        <f t="shared" ref="AH517:AH580" si="47">IF(ISNUMBER(V517)=TRUE,AF517-V517,IF(V517="","",(AF517)-(MID(RIGHT(V517,10),4,2)&amp;"/"&amp;LEFT((RIGHT(V517,10)),2)&amp;"/"&amp;RIGHT(V517,4))))</f>
        <v/>
      </c>
      <c r="AI517" s="134"/>
      <c r="AJ517" s="143" t="s">
        <v>1917</v>
      </c>
      <c r="AK517" s="129">
        <v>11.96</v>
      </c>
      <c r="AL517" s="129">
        <v>11.97</v>
      </c>
      <c r="AM517" s="129">
        <v>11.994999999999999</v>
      </c>
      <c r="AN517" s="129">
        <v>12</v>
      </c>
      <c r="AO517" s="126" t="str">
        <f t="shared" ref="AO517:AO580" si="48">IF(ISNUMBER(U517)=TRUE,AF517-U517,IF(U517="","",(AF517)-(MID(RIGHT(U517,10),4,2)&amp;"/"&amp;LEFT((RIGHT(U517,10)),2)&amp;"/"&amp;RIGHT(U517,4))))</f>
        <v/>
      </c>
      <c r="AR517" s="99" t="s">
        <v>136</v>
      </c>
    </row>
    <row r="518" spans="1:44" s="99" customFormat="1" ht="21" customHeight="1" x14ac:dyDescent="0.35">
      <c r="A518" s="99">
        <v>424</v>
      </c>
      <c r="B518" s="126" t="str">
        <f t="shared" si="44"/>
        <v>RM-304/1D-003X770</v>
      </c>
      <c r="C518" s="126" t="s">
        <v>43</v>
      </c>
      <c r="D518" s="126" t="s">
        <v>43</v>
      </c>
      <c r="E518" s="143" t="s">
        <v>1920</v>
      </c>
      <c r="F518" s="143" t="s">
        <v>1921</v>
      </c>
      <c r="G518" s="126">
        <v>304</v>
      </c>
      <c r="H518" s="126" t="s">
        <v>139</v>
      </c>
      <c r="I518" s="127">
        <v>2.95</v>
      </c>
      <c r="J518" s="127"/>
      <c r="K518" s="127"/>
      <c r="L518" s="127"/>
      <c r="M518" s="144">
        <v>770</v>
      </c>
      <c r="N518" s="129">
        <v>11.955</v>
      </c>
      <c r="O518" s="129"/>
      <c r="P518" s="129"/>
      <c r="Q518" s="130"/>
      <c r="R518" s="131"/>
      <c r="S518" s="131"/>
      <c r="T518" s="132"/>
      <c r="U518" s="132"/>
      <c r="V518" s="132"/>
      <c r="W518" s="132"/>
      <c r="X518" s="132"/>
      <c r="Y518" s="133" t="s">
        <v>1376</v>
      </c>
      <c r="Z518" s="126" t="s">
        <v>64</v>
      </c>
      <c r="AA518" s="134" t="s">
        <v>154</v>
      </c>
      <c r="AB518" s="134" t="s">
        <v>1516</v>
      </c>
      <c r="AC518" s="134"/>
      <c r="AD518" s="134">
        <v>44554</v>
      </c>
      <c r="AE518" s="134"/>
      <c r="AF518" s="134">
        <f t="shared" ca="1" si="45"/>
        <v>44963</v>
      </c>
      <c r="AG518" s="126">
        <f t="shared" ca="1" si="46"/>
        <v>409</v>
      </c>
      <c r="AH518" s="126" t="str">
        <f t="shared" si="47"/>
        <v/>
      </c>
      <c r="AI518" s="134"/>
      <c r="AJ518" s="143" t="s">
        <v>1922</v>
      </c>
      <c r="AK518" s="129">
        <v>11.955</v>
      </c>
      <c r="AL518" s="129">
        <v>11.965</v>
      </c>
      <c r="AM518" s="129">
        <v>11.989999999999998</v>
      </c>
      <c r="AN518" s="129">
        <v>11.994999999999999</v>
      </c>
      <c r="AO518" s="126" t="str">
        <f t="shared" si="48"/>
        <v/>
      </c>
      <c r="AR518" s="99" t="s">
        <v>136</v>
      </c>
    </row>
    <row r="519" spans="1:44" s="99" customFormat="1" ht="21" customHeight="1" x14ac:dyDescent="0.35">
      <c r="A519" s="99">
        <v>424</v>
      </c>
      <c r="B519" s="126" t="str">
        <f t="shared" si="44"/>
        <v>RM-304/1D-003X772</v>
      </c>
      <c r="C519" s="126" t="s">
        <v>43</v>
      </c>
      <c r="D519" s="126" t="s">
        <v>43</v>
      </c>
      <c r="E519" s="143" t="s">
        <v>1923</v>
      </c>
      <c r="F519" s="143" t="s">
        <v>1924</v>
      </c>
      <c r="G519" s="126">
        <v>304</v>
      </c>
      <c r="H519" s="126" t="s">
        <v>139</v>
      </c>
      <c r="I519" s="127">
        <v>2.95</v>
      </c>
      <c r="J519" s="127"/>
      <c r="K519" s="127"/>
      <c r="L519" s="127"/>
      <c r="M519" s="144">
        <v>772</v>
      </c>
      <c r="N519" s="129">
        <v>11.994999999999999</v>
      </c>
      <c r="O519" s="129"/>
      <c r="P519" s="129"/>
      <c r="Q519" s="130"/>
      <c r="R519" s="131"/>
      <c r="S519" s="131"/>
      <c r="T519" s="132"/>
      <c r="U519" s="132"/>
      <c r="V519" s="132"/>
      <c r="W519" s="132"/>
      <c r="X519" s="132"/>
      <c r="Y519" s="133" t="s">
        <v>1376</v>
      </c>
      <c r="Z519" s="126" t="s">
        <v>64</v>
      </c>
      <c r="AA519" s="134" t="s">
        <v>154</v>
      </c>
      <c r="AB519" s="134" t="s">
        <v>1516</v>
      </c>
      <c r="AC519" s="134"/>
      <c r="AD519" s="134">
        <v>44554</v>
      </c>
      <c r="AE519" s="134"/>
      <c r="AF519" s="134">
        <f t="shared" ca="1" si="45"/>
        <v>44963</v>
      </c>
      <c r="AG519" s="126">
        <f t="shared" ca="1" si="46"/>
        <v>409</v>
      </c>
      <c r="AH519" s="126" t="str">
        <f t="shared" si="47"/>
        <v/>
      </c>
      <c r="AI519" s="134"/>
      <c r="AJ519" s="143" t="s">
        <v>1922</v>
      </c>
      <c r="AK519" s="129">
        <v>11.994999999999999</v>
      </c>
      <c r="AL519" s="129">
        <v>12.005000000000001</v>
      </c>
      <c r="AM519" s="129">
        <v>12.03</v>
      </c>
      <c r="AN519" s="129">
        <v>12.035</v>
      </c>
      <c r="AO519" s="126" t="str">
        <f t="shared" si="48"/>
        <v/>
      </c>
      <c r="AR519" s="99" t="s">
        <v>136</v>
      </c>
    </row>
    <row r="520" spans="1:44" s="99" customFormat="1" ht="21" customHeight="1" x14ac:dyDescent="0.35">
      <c r="A520" s="99">
        <v>424</v>
      </c>
      <c r="B520" s="126" t="str">
        <f t="shared" si="44"/>
        <v>RM-304/1D-003X770</v>
      </c>
      <c r="C520" s="126" t="s">
        <v>43</v>
      </c>
      <c r="D520" s="126" t="s">
        <v>43</v>
      </c>
      <c r="E520" s="143" t="s">
        <v>1925</v>
      </c>
      <c r="F520" s="143" t="s">
        <v>1926</v>
      </c>
      <c r="G520" s="126">
        <v>304</v>
      </c>
      <c r="H520" s="126" t="s">
        <v>139</v>
      </c>
      <c r="I520" s="127">
        <v>2.85</v>
      </c>
      <c r="J520" s="127"/>
      <c r="K520" s="127"/>
      <c r="L520" s="127"/>
      <c r="M520" s="144">
        <v>770</v>
      </c>
      <c r="N520" s="129">
        <v>10.39</v>
      </c>
      <c r="O520" s="129"/>
      <c r="P520" s="129"/>
      <c r="Q520" s="130"/>
      <c r="R520" s="131"/>
      <c r="S520" s="131"/>
      <c r="T520" s="132"/>
      <c r="U520" s="132"/>
      <c r="V520" s="132"/>
      <c r="W520" s="132"/>
      <c r="X520" s="132"/>
      <c r="Y520" s="133" t="s">
        <v>1376</v>
      </c>
      <c r="Z520" s="126" t="s">
        <v>64</v>
      </c>
      <c r="AA520" s="134" t="s">
        <v>154</v>
      </c>
      <c r="AB520" s="134" t="s">
        <v>1516</v>
      </c>
      <c r="AC520" s="134"/>
      <c r="AD520" s="134">
        <v>44554</v>
      </c>
      <c r="AE520" s="134"/>
      <c r="AF520" s="134">
        <f t="shared" ca="1" si="45"/>
        <v>44963</v>
      </c>
      <c r="AG520" s="126">
        <f t="shared" ca="1" si="46"/>
        <v>409</v>
      </c>
      <c r="AH520" s="126" t="str">
        <f t="shared" si="47"/>
        <v/>
      </c>
      <c r="AI520" s="134"/>
      <c r="AJ520" s="143" t="s">
        <v>1927</v>
      </c>
      <c r="AK520" s="129">
        <v>10.39</v>
      </c>
      <c r="AL520" s="129">
        <v>10.4</v>
      </c>
      <c r="AM520" s="129">
        <v>10.424999999999999</v>
      </c>
      <c r="AN520" s="129">
        <v>10.43</v>
      </c>
      <c r="AO520" s="126" t="str">
        <f t="shared" si="48"/>
        <v/>
      </c>
      <c r="AR520" s="99" t="s">
        <v>136</v>
      </c>
    </row>
    <row r="521" spans="1:44" s="99" customFormat="1" ht="21" customHeight="1" x14ac:dyDescent="0.35">
      <c r="A521" s="99">
        <v>424</v>
      </c>
      <c r="B521" s="126" t="str">
        <f t="shared" si="44"/>
        <v>RM-304/1D-003X773</v>
      </c>
      <c r="C521" s="126" t="s">
        <v>43</v>
      </c>
      <c r="D521" s="126" t="s">
        <v>43</v>
      </c>
      <c r="E521" s="143" t="s">
        <v>1928</v>
      </c>
      <c r="F521" s="143" t="s">
        <v>1929</v>
      </c>
      <c r="G521" s="126">
        <v>304</v>
      </c>
      <c r="H521" s="126" t="s">
        <v>139</v>
      </c>
      <c r="I521" s="127">
        <v>2.85</v>
      </c>
      <c r="J521" s="127"/>
      <c r="K521" s="127"/>
      <c r="L521" s="127"/>
      <c r="M521" s="144">
        <v>773</v>
      </c>
      <c r="N521" s="129">
        <v>10.42</v>
      </c>
      <c r="O521" s="129"/>
      <c r="P521" s="129"/>
      <c r="Q521" s="130"/>
      <c r="R521" s="131"/>
      <c r="S521" s="131"/>
      <c r="T521" s="132"/>
      <c r="U521" s="132"/>
      <c r="V521" s="132"/>
      <c r="W521" s="132"/>
      <c r="X521" s="132"/>
      <c r="Y521" s="133" t="s">
        <v>1376</v>
      </c>
      <c r="Z521" s="126" t="s">
        <v>64</v>
      </c>
      <c r="AA521" s="134" t="s">
        <v>154</v>
      </c>
      <c r="AB521" s="134" t="s">
        <v>1516</v>
      </c>
      <c r="AC521" s="134"/>
      <c r="AD521" s="134">
        <v>44554</v>
      </c>
      <c r="AE521" s="134"/>
      <c r="AF521" s="134">
        <f t="shared" ca="1" si="45"/>
        <v>44963</v>
      </c>
      <c r="AG521" s="126">
        <f t="shared" ca="1" si="46"/>
        <v>409</v>
      </c>
      <c r="AH521" s="126" t="str">
        <f t="shared" si="47"/>
        <v/>
      </c>
      <c r="AI521" s="134"/>
      <c r="AJ521" s="143" t="s">
        <v>1927</v>
      </c>
      <c r="AK521" s="129">
        <v>10.42</v>
      </c>
      <c r="AL521" s="129">
        <v>10.43</v>
      </c>
      <c r="AM521" s="129">
        <v>10.454999999999998</v>
      </c>
      <c r="AN521" s="129">
        <v>10.459999999999999</v>
      </c>
      <c r="AO521" s="126" t="str">
        <f t="shared" si="48"/>
        <v/>
      </c>
      <c r="AR521" s="99" t="s">
        <v>136</v>
      </c>
    </row>
    <row r="522" spans="1:44" s="99" customFormat="1" ht="21" customHeight="1" x14ac:dyDescent="0.35">
      <c r="A522" s="99">
        <v>424</v>
      </c>
      <c r="B522" s="126" t="str">
        <f t="shared" si="44"/>
        <v>RM-304L/1D-003X770</v>
      </c>
      <c r="C522" s="126" t="s">
        <v>43</v>
      </c>
      <c r="D522" s="126" t="s">
        <v>43</v>
      </c>
      <c r="E522" s="143" t="s">
        <v>1930</v>
      </c>
      <c r="F522" s="143" t="s">
        <v>1931</v>
      </c>
      <c r="G522" s="126" t="s">
        <v>230</v>
      </c>
      <c r="H522" s="126" t="s">
        <v>139</v>
      </c>
      <c r="I522" s="127">
        <v>3.09</v>
      </c>
      <c r="J522" s="127"/>
      <c r="K522" s="127"/>
      <c r="L522" s="127"/>
      <c r="M522" s="144">
        <v>770</v>
      </c>
      <c r="N522" s="129">
        <v>10.23</v>
      </c>
      <c r="O522" s="129"/>
      <c r="P522" s="129"/>
      <c r="Q522" s="130"/>
      <c r="R522" s="131"/>
      <c r="S522" s="131"/>
      <c r="T522" s="132"/>
      <c r="U522" s="132"/>
      <c r="V522" s="132"/>
      <c r="W522" s="132"/>
      <c r="X522" s="132"/>
      <c r="Y522" s="133" t="s">
        <v>1376</v>
      </c>
      <c r="Z522" s="126" t="s">
        <v>64</v>
      </c>
      <c r="AA522" s="134" t="s">
        <v>154</v>
      </c>
      <c r="AB522" s="134" t="s">
        <v>1516</v>
      </c>
      <c r="AC522" s="134"/>
      <c r="AD522" s="134">
        <v>44554</v>
      </c>
      <c r="AE522" s="134"/>
      <c r="AF522" s="134">
        <f t="shared" ca="1" si="45"/>
        <v>44963</v>
      </c>
      <c r="AG522" s="126">
        <f t="shared" ca="1" si="46"/>
        <v>409</v>
      </c>
      <c r="AH522" s="126" t="str">
        <f t="shared" si="47"/>
        <v/>
      </c>
      <c r="AI522" s="134"/>
      <c r="AJ522" s="143" t="s">
        <v>1932</v>
      </c>
      <c r="AK522" s="129">
        <v>10.23</v>
      </c>
      <c r="AL522" s="129">
        <v>10.24</v>
      </c>
      <c r="AM522" s="129">
        <v>10.264999999999999</v>
      </c>
      <c r="AN522" s="129">
        <v>10.27</v>
      </c>
      <c r="AO522" s="126" t="str">
        <f t="shared" si="48"/>
        <v/>
      </c>
      <c r="AR522" s="99" t="s">
        <v>136</v>
      </c>
    </row>
    <row r="523" spans="1:44" s="99" customFormat="1" ht="21" customHeight="1" x14ac:dyDescent="0.35">
      <c r="A523" s="99">
        <v>424</v>
      </c>
      <c r="B523" s="126" t="str">
        <f t="shared" si="44"/>
        <v>RM-304L/1D-003X771</v>
      </c>
      <c r="C523" s="126" t="s">
        <v>43</v>
      </c>
      <c r="D523" s="126" t="s">
        <v>43</v>
      </c>
      <c r="E523" s="143" t="s">
        <v>1933</v>
      </c>
      <c r="F523" s="143" t="s">
        <v>1934</v>
      </c>
      <c r="G523" s="126" t="s">
        <v>230</v>
      </c>
      <c r="H523" s="126" t="s">
        <v>139</v>
      </c>
      <c r="I523" s="127">
        <v>3.09</v>
      </c>
      <c r="J523" s="127"/>
      <c r="K523" s="127"/>
      <c r="L523" s="127"/>
      <c r="M523" s="144">
        <v>771</v>
      </c>
      <c r="N523" s="129">
        <v>10.23</v>
      </c>
      <c r="O523" s="129"/>
      <c r="P523" s="129"/>
      <c r="Q523" s="130"/>
      <c r="R523" s="131"/>
      <c r="S523" s="131"/>
      <c r="T523" s="132"/>
      <c r="U523" s="132"/>
      <c r="V523" s="132"/>
      <c r="W523" s="132"/>
      <c r="X523" s="132"/>
      <c r="Y523" s="133" t="s">
        <v>1376</v>
      </c>
      <c r="Z523" s="126" t="s">
        <v>64</v>
      </c>
      <c r="AA523" s="134" t="s">
        <v>154</v>
      </c>
      <c r="AB523" s="134" t="s">
        <v>1516</v>
      </c>
      <c r="AC523" s="134"/>
      <c r="AD523" s="134">
        <v>44554</v>
      </c>
      <c r="AE523" s="134"/>
      <c r="AF523" s="134">
        <f t="shared" ca="1" si="45"/>
        <v>44963</v>
      </c>
      <c r="AG523" s="126">
        <f t="shared" ca="1" si="46"/>
        <v>409</v>
      </c>
      <c r="AH523" s="126" t="str">
        <f t="shared" si="47"/>
        <v/>
      </c>
      <c r="AI523" s="134"/>
      <c r="AJ523" s="143" t="s">
        <v>1932</v>
      </c>
      <c r="AK523" s="129">
        <v>10.23</v>
      </c>
      <c r="AL523" s="129">
        <v>10.24</v>
      </c>
      <c r="AM523" s="129">
        <v>10.264999999999999</v>
      </c>
      <c r="AN523" s="129">
        <v>10.27</v>
      </c>
      <c r="AO523" s="126" t="str">
        <f t="shared" si="48"/>
        <v/>
      </c>
      <c r="AR523" s="99" t="s">
        <v>136</v>
      </c>
    </row>
    <row r="524" spans="1:44" s="99" customFormat="1" ht="21" customHeight="1" x14ac:dyDescent="0.35">
      <c r="A524" s="99">
        <v>424</v>
      </c>
      <c r="B524" s="126" t="str">
        <f t="shared" si="44"/>
        <v>RM-304/1D-003X770</v>
      </c>
      <c r="C524" s="126" t="s">
        <v>43</v>
      </c>
      <c r="D524" s="126" t="s">
        <v>43</v>
      </c>
      <c r="E524" s="143" t="s">
        <v>1935</v>
      </c>
      <c r="F524" s="143" t="s">
        <v>1936</v>
      </c>
      <c r="G524" s="126">
        <v>304</v>
      </c>
      <c r="H524" s="126" t="s">
        <v>139</v>
      </c>
      <c r="I524" s="127">
        <v>2.84</v>
      </c>
      <c r="J524" s="127"/>
      <c r="K524" s="127"/>
      <c r="L524" s="127"/>
      <c r="M524" s="144">
        <v>770</v>
      </c>
      <c r="N524" s="129">
        <v>10.335000000000001</v>
      </c>
      <c r="O524" s="129"/>
      <c r="P524" s="129"/>
      <c r="Q524" s="130"/>
      <c r="R524" s="131"/>
      <c r="S524" s="131"/>
      <c r="T524" s="132"/>
      <c r="U524" s="132"/>
      <c r="V524" s="132"/>
      <c r="W524" s="132"/>
      <c r="X524" s="132"/>
      <c r="Y524" s="133" t="s">
        <v>1376</v>
      </c>
      <c r="Z524" s="126" t="s">
        <v>64</v>
      </c>
      <c r="AA524" s="134" t="s">
        <v>154</v>
      </c>
      <c r="AB524" s="134" t="s">
        <v>1516</v>
      </c>
      <c r="AC524" s="134"/>
      <c r="AD524" s="134">
        <v>44554</v>
      </c>
      <c r="AE524" s="134"/>
      <c r="AF524" s="134">
        <f t="shared" ca="1" si="45"/>
        <v>44963</v>
      </c>
      <c r="AG524" s="126">
        <f t="shared" ca="1" si="46"/>
        <v>409</v>
      </c>
      <c r="AH524" s="126" t="str">
        <f t="shared" si="47"/>
        <v/>
      </c>
      <c r="AI524" s="134"/>
      <c r="AJ524" s="143" t="s">
        <v>1937</v>
      </c>
      <c r="AK524" s="129">
        <v>10.335000000000001</v>
      </c>
      <c r="AL524" s="129">
        <v>10.345000000000001</v>
      </c>
      <c r="AM524" s="129">
        <v>10.37</v>
      </c>
      <c r="AN524" s="129">
        <v>10.375</v>
      </c>
      <c r="AO524" s="126" t="str">
        <f t="shared" si="48"/>
        <v/>
      </c>
      <c r="AR524" s="99" t="s">
        <v>136</v>
      </c>
    </row>
    <row r="525" spans="1:44" s="99" customFormat="1" ht="21" customHeight="1" x14ac:dyDescent="0.35">
      <c r="A525" s="99">
        <v>424</v>
      </c>
      <c r="B525" s="126" t="str">
        <f t="shared" si="44"/>
        <v>RM-304/1D-003X771</v>
      </c>
      <c r="C525" s="126" t="s">
        <v>43</v>
      </c>
      <c r="D525" s="126" t="s">
        <v>43</v>
      </c>
      <c r="E525" s="143" t="s">
        <v>1938</v>
      </c>
      <c r="F525" s="143" t="s">
        <v>1939</v>
      </c>
      <c r="G525" s="126">
        <v>304</v>
      </c>
      <c r="H525" s="126" t="s">
        <v>139</v>
      </c>
      <c r="I525" s="127">
        <v>2.83</v>
      </c>
      <c r="J525" s="127"/>
      <c r="K525" s="127"/>
      <c r="L525" s="127"/>
      <c r="M525" s="144">
        <v>771</v>
      </c>
      <c r="N525" s="129">
        <v>10.37</v>
      </c>
      <c r="O525" s="129"/>
      <c r="P525" s="129"/>
      <c r="Q525" s="130"/>
      <c r="R525" s="131"/>
      <c r="S525" s="131"/>
      <c r="T525" s="132"/>
      <c r="U525" s="132"/>
      <c r="V525" s="132"/>
      <c r="W525" s="132"/>
      <c r="X525" s="132"/>
      <c r="Y525" s="133" t="s">
        <v>1376</v>
      </c>
      <c r="Z525" s="126" t="s">
        <v>64</v>
      </c>
      <c r="AA525" s="134" t="s">
        <v>154</v>
      </c>
      <c r="AB525" s="134" t="s">
        <v>1516</v>
      </c>
      <c r="AC525" s="134"/>
      <c r="AD525" s="134">
        <v>44554</v>
      </c>
      <c r="AE525" s="134"/>
      <c r="AF525" s="134">
        <f t="shared" ca="1" si="45"/>
        <v>44963</v>
      </c>
      <c r="AG525" s="126">
        <f t="shared" ca="1" si="46"/>
        <v>409</v>
      </c>
      <c r="AH525" s="126" t="str">
        <f t="shared" si="47"/>
        <v/>
      </c>
      <c r="AI525" s="134"/>
      <c r="AJ525" s="143" t="s">
        <v>1937</v>
      </c>
      <c r="AK525" s="129">
        <v>10.37</v>
      </c>
      <c r="AL525" s="129">
        <v>10.38</v>
      </c>
      <c r="AM525" s="129">
        <v>10.404999999999999</v>
      </c>
      <c r="AN525" s="129">
        <v>10.41</v>
      </c>
      <c r="AO525" s="126" t="str">
        <f t="shared" si="48"/>
        <v/>
      </c>
      <c r="AR525" s="99" t="s">
        <v>136</v>
      </c>
    </row>
    <row r="526" spans="1:44" s="99" customFormat="1" ht="21" customHeight="1" x14ac:dyDescent="0.35">
      <c r="A526" s="99">
        <v>425</v>
      </c>
      <c r="B526" s="126" t="str">
        <f t="shared" si="44"/>
        <v>RM-304L/1D-004X768</v>
      </c>
      <c r="C526" s="126" t="s">
        <v>43</v>
      </c>
      <c r="D526" s="126" t="s">
        <v>43</v>
      </c>
      <c r="E526" s="143" t="s">
        <v>1940</v>
      </c>
      <c r="F526" s="143" t="s">
        <v>1941</v>
      </c>
      <c r="G526" s="126" t="s">
        <v>230</v>
      </c>
      <c r="H526" s="126" t="s">
        <v>139</v>
      </c>
      <c r="I526" s="127">
        <v>3.88</v>
      </c>
      <c r="J526" s="127"/>
      <c r="K526" s="127"/>
      <c r="L526" s="127"/>
      <c r="M526" s="144">
        <v>768</v>
      </c>
      <c r="N526" s="129">
        <v>10.435</v>
      </c>
      <c r="O526" s="129"/>
      <c r="P526" s="129"/>
      <c r="Q526" s="130"/>
      <c r="R526" s="131"/>
      <c r="S526" s="131"/>
      <c r="T526" s="132"/>
      <c r="U526" s="132"/>
      <c r="V526" s="132"/>
      <c r="W526" s="132"/>
      <c r="X526" s="132"/>
      <c r="Y526" s="133" t="s">
        <v>1942</v>
      </c>
      <c r="Z526" s="126" t="s">
        <v>64</v>
      </c>
      <c r="AA526" s="134" t="s">
        <v>154</v>
      </c>
      <c r="AB526" s="134" t="s">
        <v>1943</v>
      </c>
      <c r="AC526" s="134"/>
      <c r="AD526" s="134">
        <v>44585</v>
      </c>
      <c r="AE526" s="134"/>
      <c r="AF526" s="134">
        <f t="shared" ca="1" si="45"/>
        <v>44963</v>
      </c>
      <c r="AG526" s="126">
        <f t="shared" ca="1" si="46"/>
        <v>378</v>
      </c>
      <c r="AH526" s="126" t="str">
        <f t="shared" si="47"/>
        <v/>
      </c>
      <c r="AI526" s="134"/>
      <c r="AJ526" s="143" t="s">
        <v>1944</v>
      </c>
      <c r="AK526" s="129">
        <v>10.435</v>
      </c>
      <c r="AL526" s="129">
        <v>10.445</v>
      </c>
      <c r="AM526" s="129">
        <v>10.469999999999999</v>
      </c>
      <c r="AN526" s="129">
        <v>10.475</v>
      </c>
      <c r="AO526" s="126" t="str">
        <f t="shared" si="48"/>
        <v/>
      </c>
      <c r="AR526" s="99" t="s">
        <v>136</v>
      </c>
    </row>
    <row r="527" spans="1:44" s="99" customFormat="1" ht="21" customHeight="1" x14ac:dyDescent="0.35">
      <c r="A527" s="99">
        <v>425</v>
      </c>
      <c r="B527" s="126" t="str">
        <f t="shared" si="44"/>
        <v>RM-304L/1D-004X768</v>
      </c>
      <c r="C527" s="126" t="s">
        <v>43</v>
      </c>
      <c r="D527" s="126" t="s">
        <v>43</v>
      </c>
      <c r="E527" s="143" t="s">
        <v>1945</v>
      </c>
      <c r="F527" s="143" t="s">
        <v>1946</v>
      </c>
      <c r="G527" s="126" t="s">
        <v>230</v>
      </c>
      <c r="H527" s="126" t="s">
        <v>139</v>
      </c>
      <c r="I527" s="127">
        <v>3.85</v>
      </c>
      <c r="J527" s="127"/>
      <c r="K527" s="127"/>
      <c r="L527" s="127"/>
      <c r="M527" s="144">
        <v>768</v>
      </c>
      <c r="N527" s="129">
        <v>10.445</v>
      </c>
      <c r="O527" s="129"/>
      <c r="P527" s="129"/>
      <c r="Q527" s="130"/>
      <c r="R527" s="131"/>
      <c r="S527" s="131"/>
      <c r="T527" s="132"/>
      <c r="U527" s="132"/>
      <c r="V527" s="132"/>
      <c r="W527" s="132"/>
      <c r="X527" s="132"/>
      <c r="Y527" s="133" t="s">
        <v>1942</v>
      </c>
      <c r="Z527" s="126" t="s">
        <v>64</v>
      </c>
      <c r="AA527" s="134" t="s">
        <v>154</v>
      </c>
      <c r="AB527" s="134" t="s">
        <v>1943</v>
      </c>
      <c r="AC527" s="134"/>
      <c r="AD527" s="134">
        <v>44585</v>
      </c>
      <c r="AE527" s="134"/>
      <c r="AF527" s="134">
        <f t="shared" ca="1" si="45"/>
        <v>44963</v>
      </c>
      <c r="AG527" s="126">
        <f t="shared" ca="1" si="46"/>
        <v>378</v>
      </c>
      <c r="AH527" s="126" t="str">
        <f t="shared" si="47"/>
        <v/>
      </c>
      <c r="AI527" s="134"/>
      <c r="AJ527" s="143" t="s">
        <v>1944</v>
      </c>
      <c r="AK527" s="129">
        <v>10.445</v>
      </c>
      <c r="AL527" s="129">
        <v>10.455</v>
      </c>
      <c r="AM527" s="129">
        <v>10.479999999999999</v>
      </c>
      <c r="AN527" s="129">
        <v>10.484999999999999</v>
      </c>
      <c r="AO527" s="126" t="str">
        <f t="shared" si="48"/>
        <v/>
      </c>
      <c r="AR527" s="99" t="s">
        <v>136</v>
      </c>
    </row>
    <row r="528" spans="1:44" s="99" customFormat="1" ht="21" customHeight="1" x14ac:dyDescent="0.35">
      <c r="A528" s="99">
        <v>425</v>
      </c>
      <c r="B528" s="126" t="str">
        <f t="shared" si="44"/>
        <v>RM-304L/1D-004X769</v>
      </c>
      <c r="C528" s="126" t="s">
        <v>43</v>
      </c>
      <c r="D528" s="126" t="s">
        <v>43</v>
      </c>
      <c r="E528" s="143" t="s">
        <v>1947</v>
      </c>
      <c r="F528" s="143" t="s">
        <v>1948</v>
      </c>
      <c r="G528" s="126" t="s">
        <v>230</v>
      </c>
      <c r="H528" s="126" t="s">
        <v>139</v>
      </c>
      <c r="I528" s="127">
        <v>3.89</v>
      </c>
      <c r="J528" s="127"/>
      <c r="K528" s="127"/>
      <c r="L528" s="127"/>
      <c r="M528" s="144">
        <v>769</v>
      </c>
      <c r="N528" s="129">
        <v>10.41</v>
      </c>
      <c r="O528" s="129"/>
      <c r="P528" s="129"/>
      <c r="Q528" s="130"/>
      <c r="R528" s="131"/>
      <c r="S528" s="131"/>
      <c r="T528" s="132"/>
      <c r="U528" s="132"/>
      <c r="V528" s="132"/>
      <c r="W528" s="132"/>
      <c r="X528" s="132"/>
      <c r="Y528" s="133" t="s">
        <v>1942</v>
      </c>
      <c r="Z528" s="126" t="s">
        <v>64</v>
      </c>
      <c r="AA528" s="134" t="s">
        <v>154</v>
      </c>
      <c r="AB528" s="134" t="s">
        <v>1943</v>
      </c>
      <c r="AC528" s="134"/>
      <c r="AD528" s="134">
        <v>44585</v>
      </c>
      <c r="AE528" s="134"/>
      <c r="AF528" s="134">
        <f t="shared" ca="1" si="45"/>
        <v>44963</v>
      </c>
      <c r="AG528" s="126">
        <f t="shared" ca="1" si="46"/>
        <v>378</v>
      </c>
      <c r="AH528" s="126" t="str">
        <f t="shared" si="47"/>
        <v/>
      </c>
      <c r="AI528" s="134"/>
      <c r="AJ528" s="143" t="s">
        <v>1949</v>
      </c>
      <c r="AK528" s="129">
        <v>10.41</v>
      </c>
      <c r="AL528" s="129">
        <v>10.42</v>
      </c>
      <c r="AM528" s="129">
        <v>10.444999999999999</v>
      </c>
      <c r="AN528" s="129">
        <v>10.45</v>
      </c>
      <c r="AO528" s="126" t="str">
        <f t="shared" si="48"/>
        <v/>
      </c>
      <c r="AR528" s="99" t="s">
        <v>136</v>
      </c>
    </row>
    <row r="529" spans="1:44" s="99" customFormat="1" ht="21" customHeight="1" x14ac:dyDescent="0.35">
      <c r="A529" s="99">
        <v>425</v>
      </c>
      <c r="B529" s="126" t="str">
        <f t="shared" si="44"/>
        <v>RM-304L/1D-004X768</v>
      </c>
      <c r="C529" s="126" t="s">
        <v>43</v>
      </c>
      <c r="D529" s="126" t="s">
        <v>43</v>
      </c>
      <c r="E529" s="143" t="s">
        <v>1950</v>
      </c>
      <c r="F529" s="143" t="s">
        <v>1951</v>
      </c>
      <c r="G529" s="126" t="s">
        <v>230</v>
      </c>
      <c r="H529" s="126" t="s">
        <v>139</v>
      </c>
      <c r="I529" s="127">
        <v>3.89</v>
      </c>
      <c r="J529" s="127"/>
      <c r="K529" s="127"/>
      <c r="L529" s="127"/>
      <c r="M529" s="144">
        <v>768</v>
      </c>
      <c r="N529" s="129">
        <v>10.414999999999999</v>
      </c>
      <c r="O529" s="129"/>
      <c r="P529" s="129"/>
      <c r="Q529" s="130"/>
      <c r="R529" s="131"/>
      <c r="S529" s="131"/>
      <c r="T529" s="132"/>
      <c r="U529" s="132"/>
      <c r="V529" s="132"/>
      <c r="W529" s="132"/>
      <c r="X529" s="132"/>
      <c r="Y529" s="133" t="s">
        <v>1942</v>
      </c>
      <c r="Z529" s="126" t="s">
        <v>64</v>
      </c>
      <c r="AA529" s="134" t="s">
        <v>154</v>
      </c>
      <c r="AB529" s="134" t="s">
        <v>1943</v>
      </c>
      <c r="AC529" s="134"/>
      <c r="AD529" s="134">
        <v>44585</v>
      </c>
      <c r="AE529" s="134"/>
      <c r="AF529" s="134">
        <f t="shared" ca="1" si="45"/>
        <v>44963</v>
      </c>
      <c r="AG529" s="126">
        <f t="shared" ca="1" si="46"/>
        <v>378</v>
      </c>
      <c r="AH529" s="126" t="str">
        <f t="shared" si="47"/>
        <v/>
      </c>
      <c r="AI529" s="134"/>
      <c r="AJ529" s="143" t="s">
        <v>1949</v>
      </c>
      <c r="AK529" s="129">
        <v>10.414999999999999</v>
      </c>
      <c r="AL529" s="129">
        <v>10.425000000000001</v>
      </c>
      <c r="AM529" s="129">
        <v>10.45</v>
      </c>
      <c r="AN529" s="129">
        <v>10.455</v>
      </c>
      <c r="AO529" s="126" t="str">
        <f t="shared" si="48"/>
        <v/>
      </c>
      <c r="AR529" s="99" t="s">
        <v>136</v>
      </c>
    </row>
    <row r="530" spans="1:44" s="99" customFormat="1" ht="21" customHeight="1" x14ac:dyDescent="0.35">
      <c r="A530" s="99">
        <v>425</v>
      </c>
      <c r="B530" s="126" t="str">
        <f t="shared" si="44"/>
        <v>RM-304L/1D-003X767</v>
      </c>
      <c r="C530" s="126" t="s">
        <v>43</v>
      </c>
      <c r="D530" s="126" t="s">
        <v>43</v>
      </c>
      <c r="E530" s="143" t="s">
        <v>1952</v>
      </c>
      <c r="F530" s="143" t="s">
        <v>1953</v>
      </c>
      <c r="G530" s="126" t="s">
        <v>230</v>
      </c>
      <c r="H530" s="126" t="s">
        <v>139</v>
      </c>
      <c r="I530" s="127">
        <v>3.2</v>
      </c>
      <c r="J530" s="127"/>
      <c r="K530" s="127"/>
      <c r="L530" s="127"/>
      <c r="M530" s="144">
        <v>767</v>
      </c>
      <c r="N530" s="129">
        <v>12.135</v>
      </c>
      <c r="O530" s="129"/>
      <c r="P530" s="129"/>
      <c r="Q530" s="130"/>
      <c r="R530" s="131"/>
      <c r="S530" s="131"/>
      <c r="T530" s="132"/>
      <c r="U530" s="132"/>
      <c r="V530" s="132"/>
      <c r="W530" s="132"/>
      <c r="X530" s="132"/>
      <c r="Y530" s="133" t="s">
        <v>1942</v>
      </c>
      <c r="Z530" s="126" t="s">
        <v>64</v>
      </c>
      <c r="AA530" s="134" t="s">
        <v>154</v>
      </c>
      <c r="AB530" s="134" t="s">
        <v>1943</v>
      </c>
      <c r="AC530" s="134"/>
      <c r="AD530" s="134">
        <v>44585</v>
      </c>
      <c r="AE530" s="134"/>
      <c r="AF530" s="134">
        <f t="shared" ca="1" si="45"/>
        <v>44963</v>
      </c>
      <c r="AG530" s="126">
        <f t="shared" ca="1" si="46"/>
        <v>378</v>
      </c>
      <c r="AH530" s="126" t="str">
        <f t="shared" si="47"/>
        <v/>
      </c>
      <c r="AI530" s="134"/>
      <c r="AJ530" s="143" t="s">
        <v>1954</v>
      </c>
      <c r="AK530" s="129">
        <v>12.135</v>
      </c>
      <c r="AL530" s="129">
        <v>12.145</v>
      </c>
      <c r="AM530" s="129">
        <v>12.169999999999998</v>
      </c>
      <c r="AN530" s="129">
        <v>12.174999999999999</v>
      </c>
      <c r="AO530" s="126" t="str">
        <f t="shared" si="48"/>
        <v/>
      </c>
      <c r="AR530" s="99" t="s">
        <v>136</v>
      </c>
    </row>
    <row r="531" spans="1:44" s="99" customFormat="1" ht="21" customHeight="1" x14ac:dyDescent="0.35">
      <c r="A531" s="99">
        <v>425</v>
      </c>
      <c r="B531" s="126" t="str">
        <f t="shared" si="44"/>
        <v>RM-304L/1D-003X768</v>
      </c>
      <c r="C531" s="126" t="s">
        <v>43</v>
      </c>
      <c r="D531" s="126" t="s">
        <v>43</v>
      </c>
      <c r="E531" s="143" t="s">
        <v>1955</v>
      </c>
      <c r="F531" s="143" t="s">
        <v>1956</v>
      </c>
      <c r="G531" s="126" t="s">
        <v>230</v>
      </c>
      <c r="H531" s="126" t="s">
        <v>139</v>
      </c>
      <c r="I531" s="127">
        <v>3.19</v>
      </c>
      <c r="J531" s="127"/>
      <c r="K531" s="127"/>
      <c r="L531" s="127"/>
      <c r="M531" s="144">
        <v>768</v>
      </c>
      <c r="N531" s="129">
        <v>12.164999999999999</v>
      </c>
      <c r="O531" s="129"/>
      <c r="P531" s="129"/>
      <c r="Q531" s="130"/>
      <c r="R531" s="131"/>
      <c r="S531" s="131"/>
      <c r="T531" s="132"/>
      <c r="U531" s="132"/>
      <c r="V531" s="132"/>
      <c r="W531" s="132"/>
      <c r="X531" s="132"/>
      <c r="Y531" s="133" t="s">
        <v>1942</v>
      </c>
      <c r="Z531" s="126" t="s">
        <v>64</v>
      </c>
      <c r="AA531" s="134" t="s">
        <v>154</v>
      </c>
      <c r="AB531" s="134" t="s">
        <v>1943</v>
      </c>
      <c r="AC531" s="134"/>
      <c r="AD531" s="134">
        <v>44585</v>
      </c>
      <c r="AE531" s="134"/>
      <c r="AF531" s="134">
        <f t="shared" ca="1" si="45"/>
        <v>44963</v>
      </c>
      <c r="AG531" s="126">
        <f t="shared" ca="1" si="46"/>
        <v>378</v>
      </c>
      <c r="AH531" s="126" t="str">
        <f t="shared" si="47"/>
        <v/>
      </c>
      <c r="AI531" s="134"/>
      <c r="AJ531" s="143" t="s">
        <v>1954</v>
      </c>
      <c r="AK531" s="129">
        <v>12.164999999999999</v>
      </c>
      <c r="AL531" s="129">
        <v>12.175000000000001</v>
      </c>
      <c r="AM531" s="129">
        <v>12.2</v>
      </c>
      <c r="AN531" s="129">
        <v>12.205</v>
      </c>
      <c r="AO531" s="126" t="str">
        <f t="shared" si="48"/>
        <v/>
      </c>
      <c r="AR531" s="99" t="s">
        <v>136</v>
      </c>
    </row>
    <row r="532" spans="1:44" s="99" customFormat="1" ht="21" customHeight="1" x14ac:dyDescent="0.35">
      <c r="A532" s="99">
        <v>425</v>
      </c>
      <c r="B532" s="126" t="str">
        <f t="shared" si="44"/>
        <v>RM-304/1D-004X774</v>
      </c>
      <c r="C532" s="126" t="s">
        <v>43</v>
      </c>
      <c r="D532" s="126" t="s">
        <v>43</v>
      </c>
      <c r="E532" s="143" t="s">
        <v>1957</v>
      </c>
      <c r="F532" s="143" t="s">
        <v>1958</v>
      </c>
      <c r="G532" s="126">
        <v>304</v>
      </c>
      <c r="H532" s="126" t="s">
        <v>139</v>
      </c>
      <c r="I532" s="127">
        <v>4</v>
      </c>
      <c r="J532" s="127"/>
      <c r="K532" s="127"/>
      <c r="L532" s="127"/>
      <c r="M532" s="144">
        <v>774</v>
      </c>
      <c r="N532" s="129">
        <v>10.465</v>
      </c>
      <c r="O532" s="129"/>
      <c r="P532" s="129"/>
      <c r="Q532" s="130"/>
      <c r="R532" s="131"/>
      <c r="S532" s="131"/>
      <c r="T532" s="132"/>
      <c r="U532" s="132"/>
      <c r="V532" s="132"/>
      <c r="W532" s="132"/>
      <c r="X532" s="132"/>
      <c r="Y532" s="133" t="s">
        <v>1942</v>
      </c>
      <c r="Z532" s="126" t="s">
        <v>64</v>
      </c>
      <c r="AA532" s="134" t="s">
        <v>154</v>
      </c>
      <c r="AB532" s="134" t="s">
        <v>1943</v>
      </c>
      <c r="AC532" s="134"/>
      <c r="AD532" s="134">
        <v>44585</v>
      </c>
      <c r="AE532" s="134"/>
      <c r="AF532" s="134">
        <f t="shared" ca="1" si="45"/>
        <v>44963</v>
      </c>
      <c r="AG532" s="126">
        <f t="shared" ca="1" si="46"/>
        <v>378</v>
      </c>
      <c r="AH532" s="126" t="str">
        <f t="shared" si="47"/>
        <v/>
      </c>
      <c r="AI532" s="134"/>
      <c r="AJ532" s="143" t="s">
        <v>1959</v>
      </c>
      <c r="AK532" s="129">
        <v>10.465</v>
      </c>
      <c r="AL532" s="129">
        <v>10.475</v>
      </c>
      <c r="AM532" s="129">
        <v>10.499999999999998</v>
      </c>
      <c r="AN532" s="129">
        <v>10.504999999999999</v>
      </c>
      <c r="AO532" s="126" t="str">
        <f t="shared" si="48"/>
        <v/>
      </c>
      <c r="AR532" s="99" t="s">
        <v>136</v>
      </c>
    </row>
    <row r="533" spans="1:44" s="99" customFormat="1" ht="21" customHeight="1" x14ac:dyDescent="0.35">
      <c r="A533" s="99">
        <v>425</v>
      </c>
      <c r="B533" s="126" t="str">
        <f t="shared" si="44"/>
        <v>RM-304/1D-004X775</v>
      </c>
      <c r="C533" s="126" t="s">
        <v>43</v>
      </c>
      <c r="D533" s="126" t="s">
        <v>43</v>
      </c>
      <c r="E533" s="143" t="s">
        <v>1960</v>
      </c>
      <c r="F533" s="143" t="s">
        <v>1961</v>
      </c>
      <c r="G533" s="126">
        <v>304</v>
      </c>
      <c r="H533" s="126" t="s">
        <v>139</v>
      </c>
      <c r="I533" s="127">
        <v>4</v>
      </c>
      <c r="J533" s="127"/>
      <c r="K533" s="127"/>
      <c r="L533" s="127"/>
      <c r="M533" s="144">
        <v>775</v>
      </c>
      <c r="N533" s="129">
        <v>10.475</v>
      </c>
      <c r="O533" s="129"/>
      <c r="P533" s="129"/>
      <c r="Q533" s="130"/>
      <c r="R533" s="131"/>
      <c r="S533" s="131"/>
      <c r="T533" s="132"/>
      <c r="U533" s="132"/>
      <c r="V533" s="132"/>
      <c r="W533" s="132"/>
      <c r="X533" s="132"/>
      <c r="Y533" s="133" t="s">
        <v>1942</v>
      </c>
      <c r="Z533" s="126" t="s">
        <v>64</v>
      </c>
      <c r="AA533" s="134" t="s">
        <v>154</v>
      </c>
      <c r="AB533" s="134" t="s">
        <v>1943</v>
      </c>
      <c r="AC533" s="134"/>
      <c r="AD533" s="134">
        <v>44585</v>
      </c>
      <c r="AE533" s="134"/>
      <c r="AF533" s="134">
        <f t="shared" ca="1" si="45"/>
        <v>44963</v>
      </c>
      <c r="AG533" s="126">
        <f t="shared" ca="1" si="46"/>
        <v>378</v>
      </c>
      <c r="AH533" s="126" t="str">
        <f t="shared" si="47"/>
        <v/>
      </c>
      <c r="AI533" s="134"/>
      <c r="AJ533" s="143" t="s">
        <v>1959</v>
      </c>
      <c r="AK533" s="129">
        <v>10.475</v>
      </c>
      <c r="AL533" s="129">
        <v>10.484999999999999</v>
      </c>
      <c r="AM533" s="129">
        <v>10.509999999999998</v>
      </c>
      <c r="AN533" s="129">
        <v>10.514999999999999</v>
      </c>
      <c r="AO533" s="126" t="str">
        <f t="shared" si="48"/>
        <v/>
      </c>
      <c r="AR533" s="99" t="s">
        <v>136</v>
      </c>
    </row>
    <row r="534" spans="1:44" s="99" customFormat="1" ht="21" customHeight="1" x14ac:dyDescent="0.35">
      <c r="A534" s="99">
        <v>425</v>
      </c>
      <c r="B534" s="126" t="str">
        <f t="shared" si="44"/>
        <v>RM-304/1D-003X766</v>
      </c>
      <c r="C534" s="126" t="s">
        <v>43</v>
      </c>
      <c r="D534" s="126" t="s">
        <v>43</v>
      </c>
      <c r="E534" s="143" t="s">
        <v>1962</v>
      </c>
      <c r="F534" s="143" t="s">
        <v>1963</v>
      </c>
      <c r="G534" s="126">
        <v>304</v>
      </c>
      <c r="H534" s="126" t="s">
        <v>139</v>
      </c>
      <c r="I534" s="127">
        <v>2.92</v>
      </c>
      <c r="J534" s="127"/>
      <c r="K534" s="127"/>
      <c r="L534" s="127"/>
      <c r="M534" s="144">
        <v>766</v>
      </c>
      <c r="N534" s="129">
        <v>12.095000000000001</v>
      </c>
      <c r="O534" s="129"/>
      <c r="P534" s="129"/>
      <c r="Q534" s="130"/>
      <c r="R534" s="131"/>
      <c r="S534" s="131"/>
      <c r="T534" s="132"/>
      <c r="U534" s="132"/>
      <c r="V534" s="132"/>
      <c r="W534" s="132"/>
      <c r="X534" s="132"/>
      <c r="Y534" s="133" t="s">
        <v>1942</v>
      </c>
      <c r="Z534" s="126" t="s">
        <v>64</v>
      </c>
      <c r="AA534" s="134" t="s">
        <v>154</v>
      </c>
      <c r="AB534" s="134" t="s">
        <v>1943</v>
      </c>
      <c r="AC534" s="134"/>
      <c r="AD534" s="134">
        <v>44585</v>
      </c>
      <c r="AE534" s="134"/>
      <c r="AF534" s="134">
        <f t="shared" ca="1" si="45"/>
        <v>44963</v>
      </c>
      <c r="AG534" s="126">
        <f t="shared" ca="1" si="46"/>
        <v>378</v>
      </c>
      <c r="AH534" s="126" t="str">
        <f t="shared" si="47"/>
        <v/>
      </c>
      <c r="AI534" s="134"/>
      <c r="AJ534" s="143" t="s">
        <v>1964</v>
      </c>
      <c r="AK534" s="129">
        <v>12.095000000000001</v>
      </c>
      <c r="AL534" s="129">
        <v>12.105</v>
      </c>
      <c r="AM534" s="129">
        <v>12.129999999999999</v>
      </c>
      <c r="AN534" s="129">
        <v>12.135</v>
      </c>
      <c r="AO534" s="126" t="str">
        <f t="shared" si="48"/>
        <v/>
      </c>
      <c r="AR534" s="99" t="s">
        <v>136</v>
      </c>
    </row>
    <row r="535" spans="1:44" s="99" customFormat="1" ht="21" customHeight="1" x14ac:dyDescent="0.35">
      <c r="A535" s="99">
        <v>425</v>
      </c>
      <c r="B535" s="126" t="str">
        <f t="shared" si="44"/>
        <v>RM-304/1D-003X767</v>
      </c>
      <c r="C535" s="126" t="s">
        <v>43</v>
      </c>
      <c r="D535" s="126" t="s">
        <v>43</v>
      </c>
      <c r="E535" s="143" t="s">
        <v>1965</v>
      </c>
      <c r="F535" s="143" t="s">
        <v>1966</v>
      </c>
      <c r="G535" s="126">
        <v>304</v>
      </c>
      <c r="H535" s="126" t="s">
        <v>139</v>
      </c>
      <c r="I535" s="127">
        <v>2.92</v>
      </c>
      <c r="J535" s="127"/>
      <c r="K535" s="127"/>
      <c r="L535" s="127"/>
      <c r="M535" s="144">
        <v>767</v>
      </c>
      <c r="N535" s="129">
        <v>12.095000000000001</v>
      </c>
      <c r="O535" s="129"/>
      <c r="P535" s="129"/>
      <c r="Q535" s="130"/>
      <c r="R535" s="131"/>
      <c r="S535" s="131"/>
      <c r="T535" s="132"/>
      <c r="U535" s="132"/>
      <c r="V535" s="132"/>
      <c r="W535" s="132"/>
      <c r="X535" s="132"/>
      <c r="Y535" s="133" t="s">
        <v>1942</v>
      </c>
      <c r="Z535" s="126" t="s">
        <v>64</v>
      </c>
      <c r="AA535" s="134" t="s">
        <v>154</v>
      </c>
      <c r="AB535" s="134" t="s">
        <v>1943</v>
      </c>
      <c r="AC535" s="134"/>
      <c r="AD535" s="134">
        <v>44585</v>
      </c>
      <c r="AE535" s="134"/>
      <c r="AF535" s="134">
        <f t="shared" ca="1" si="45"/>
        <v>44963</v>
      </c>
      <c r="AG535" s="126">
        <f t="shared" ca="1" si="46"/>
        <v>378</v>
      </c>
      <c r="AH535" s="126" t="str">
        <f t="shared" si="47"/>
        <v/>
      </c>
      <c r="AI535" s="134"/>
      <c r="AJ535" s="143" t="s">
        <v>1964</v>
      </c>
      <c r="AK535" s="129">
        <v>12.095000000000001</v>
      </c>
      <c r="AL535" s="129">
        <v>12.105</v>
      </c>
      <c r="AM535" s="129">
        <v>12.129999999999999</v>
      </c>
      <c r="AN535" s="129">
        <v>12.135</v>
      </c>
      <c r="AO535" s="126" t="str">
        <f t="shared" si="48"/>
        <v/>
      </c>
      <c r="AR535" s="99" t="s">
        <v>136</v>
      </c>
    </row>
    <row r="536" spans="1:44" s="99" customFormat="1" ht="21" customHeight="1" x14ac:dyDescent="0.35">
      <c r="A536" s="99">
        <v>425</v>
      </c>
      <c r="B536" s="126" t="str">
        <f t="shared" si="44"/>
        <v>RM-304L/1D-003X768</v>
      </c>
      <c r="C536" s="126" t="s">
        <v>43</v>
      </c>
      <c r="D536" s="126" t="s">
        <v>43</v>
      </c>
      <c r="E536" s="143" t="s">
        <v>1967</v>
      </c>
      <c r="F536" s="143" t="s">
        <v>1968</v>
      </c>
      <c r="G536" s="126" t="s">
        <v>230</v>
      </c>
      <c r="H536" s="126" t="s">
        <v>139</v>
      </c>
      <c r="I536" s="127">
        <v>2.82</v>
      </c>
      <c r="J536" s="127"/>
      <c r="K536" s="127"/>
      <c r="L536" s="127"/>
      <c r="M536" s="144">
        <v>768</v>
      </c>
      <c r="N536" s="129">
        <v>10.47</v>
      </c>
      <c r="O536" s="129"/>
      <c r="P536" s="129"/>
      <c r="Q536" s="130"/>
      <c r="R536" s="131"/>
      <c r="S536" s="131"/>
      <c r="T536" s="132"/>
      <c r="U536" s="132"/>
      <c r="V536" s="132"/>
      <c r="W536" s="132"/>
      <c r="X536" s="132"/>
      <c r="Y536" s="133" t="s">
        <v>1942</v>
      </c>
      <c r="Z536" s="126" t="s">
        <v>64</v>
      </c>
      <c r="AA536" s="134" t="s">
        <v>154</v>
      </c>
      <c r="AB536" s="134" t="s">
        <v>1943</v>
      </c>
      <c r="AC536" s="134"/>
      <c r="AD536" s="134">
        <v>44585</v>
      </c>
      <c r="AE536" s="134"/>
      <c r="AF536" s="134">
        <f t="shared" ca="1" si="45"/>
        <v>44963</v>
      </c>
      <c r="AG536" s="126">
        <f t="shared" ca="1" si="46"/>
        <v>378</v>
      </c>
      <c r="AH536" s="126" t="str">
        <f t="shared" si="47"/>
        <v/>
      </c>
      <c r="AI536" s="134"/>
      <c r="AJ536" s="143" t="s">
        <v>1969</v>
      </c>
      <c r="AK536" s="129">
        <v>10.47</v>
      </c>
      <c r="AL536" s="129">
        <v>10.48</v>
      </c>
      <c r="AM536" s="129">
        <v>10.504999999999999</v>
      </c>
      <c r="AN536" s="129">
        <v>10.51</v>
      </c>
      <c r="AO536" s="126" t="str">
        <f t="shared" si="48"/>
        <v/>
      </c>
      <c r="AR536" s="99" t="s">
        <v>136</v>
      </c>
    </row>
    <row r="537" spans="1:44" s="99" customFormat="1" ht="21" customHeight="1" x14ac:dyDescent="0.35">
      <c r="A537" s="99">
        <v>425</v>
      </c>
      <c r="B537" s="126" t="str">
        <f t="shared" si="44"/>
        <v>RM-304L/1D-003X768</v>
      </c>
      <c r="C537" s="126" t="s">
        <v>43</v>
      </c>
      <c r="D537" s="126" t="s">
        <v>43</v>
      </c>
      <c r="E537" s="143" t="s">
        <v>1970</v>
      </c>
      <c r="F537" s="143" t="s">
        <v>1971</v>
      </c>
      <c r="G537" s="126" t="s">
        <v>230</v>
      </c>
      <c r="H537" s="126" t="s">
        <v>139</v>
      </c>
      <c r="I537" s="127">
        <v>2.81</v>
      </c>
      <c r="J537" s="127"/>
      <c r="K537" s="127"/>
      <c r="L537" s="127"/>
      <c r="M537" s="144">
        <v>768</v>
      </c>
      <c r="N537" s="129">
        <v>10.475</v>
      </c>
      <c r="O537" s="129"/>
      <c r="P537" s="129"/>
      <c r="Q537" s="130"/>
      <c r="R537" s="131"/>
      <c r="S537" s="131"/>
      <c r="T537" s="132"/>
      <c r="U537" s="132"/>
      <c r="V537" s="132"/>
      <c r="W537" s="132"/>
      <c r="X537" s="132"/>
      <c r="Y537" s="133" t="s">
        <v>1942</v>
      </c>
      <c r="Z537" s="126" t="s">
        <v>64</v>
      </c>
      <c r="AA537" s="134" t="s">
        <v>154</v>
      </c>
      <c r="AB537" s="134" t="s">
        <v>1943</v>
      </c>
      <c r="AC537" s="134"/>
      <c r="AD537" s="134">
        <v>44585</v>
      </c>
      <c r="AE537" s="134"/>
      <c r="AF537" s="134">
        <f t="shared" ca="1" si="45"/>
        <v>44963</v>
      </c>
      <c r="AG537" s="126">
        <f t="shared" ca="1" si="46"/>
        <v>378</v>
      </c>
      <c r="AH537" s="126" t="str">
        <f t="shared" si="47"/>
        <v/>
      </c>
      <c r="AI537" s="134"/>
      <c r="AJ537" s="143" t="s">
        <v>1969</v>
      </c>
      <c r="AK537" s="129">
        <v>10.475</v>
      </c>
      <c r="AL537" s="129">
        <v>10.484999999999999</v>
      </c>
      <c r="AM537" s="129">
        <v>10.509999999999998</v>
      </c>
      <c r="AN537" s="129">
        <v>10.514999999999999</v>
      </c>
      <c r="AO537" s="126" t="str">
        <f t="shared" si="48"/>
        <v/>
      </c>
      <c r="AR537" s="99" t="s">
        <v>136</v>
      </c>
    </row>
    <row r="538" spans="1:44" s="99" customFormat="1" ht="21" customHeight="1" x14ac:dyDescent="0.35">
      <c r="A538" s="99">
        <v>425</v>
      </c>
      <c r="B538" s="126" t="str">
        <f t="shared" si="44"/>
        <v>RM-304L/1D-003X766</v>
      </c>
      <c r="C538" s="126" t="s">
        <v>43</v>
      </c>
      <c r="D538" s="126" t="s">
        <v>43</v>
      </c>
      <c r="E538" s="143" t="s">
        <v>1972</v>
      </c>
      <c r="F538" s="143" t="s">
        <v>1973</v>
      </c>
      <c r="G538" s="126" t="s">
        <v>230</v>
      </c>
      <c r="H538" s="126" t="s">
        <v>139</v>
      </c>
      <c r="I538" s="127">
        <v>3.2</v>
      </c>
      <c r="J538" s="127"/>
      <c r="K538" s="127"/>
      <c r="L538" s="127"/>
      <c r="M538" s="144">
        <v>766</v>
      </c>
      <c r="N538" s="129">
        <v>11.895</v>
      </c>
      <c r="O538" s="129"/>
      <c r="P538" s="129"/>
      <c r="Q538" s="130"/>
      <c r="R538" s="131"/>
      <c r="S538" s="131"/>
      <c r="T538" s="132"/>
      <c r="U538" s="132"/>
      <c r="V538" s="132"/>
      <c r="W538" s="132"/>
      <c r="X538" s="132"/>
      <c r="Y538" s="133" t="s">
        <v>1942</v>
      </c>
      <c r="Z538" s="126" t="s">
        <v>64</v>
      </c>
      <c r="AA538" s="134" t="s">
        <v>154</v>
      </c>
      <c r="AB538" s="134" t="s">
        <v>1943</v>
      </c>
      <c r="AC538" s="134"/>
      <c r="AD538" s="134">
        <v>44585</v>
      </c>
      <c r="AE538" s="134"/>
      <c r="AF538" s="134">
        <f t="shared" ca="1" si="45"/>
        <v>44963</v>
      </c>
      <c r="AG538" s="126">
        <f t="shared" ca="1" si="46"/>
        <v>378</v>
      </c>
      <c r="AH538" s="126" t="str">
        <f t="shared" si="47"/>
        <v/>
      </c>
      <c r="AI538" s="134"/>
      <c r="AJ538" s="143" t="s">
        <v>1974</v>
      </c>
      <c r="AK538" s="129">
        <v>11.895</v>
      </c>
      <c r="AL538" s="129">
        <v>11.904999999999999</v>
      </c>
      <c r="AM538" s="129">
        <v>11.929999999999998</v>
      </c>
      <c r="AN538" s="129">
        <v>11.934999999999999</v>
      </c>
      <c r="AO538" s="126" t="str">
        <f t="shared" si="48"/>
        <v/>
      </c>
      <c r="AR538" s="99" t="s">
        <v>136</v>
      </c>
    </row>
    <row r="539" spans="1:44" s="99" customFormat="1" ht="21" customHeight="1" x14ac:dyDescent="0.35">
      <c r="A539" s="99">
        <v>425</v>
      </c>
      <c r="B539" s="126" t="str">
        <f t="shared" si="44"/>
        <v>RM-304L/1D-003X766</v>
      </c>
      <c r="C539" s="126" t="s">
        <v>43</v>
      </c>
      <c r="D539" s="126" t="s">
        <v>43</v>
      </c>
      <c r="E539" s="143" t="s">
        <v>1975</v>
      </c>
      <c r="F539" s="143" t="s">
        <v>1976</v>
      </c>
      <c r="G539" s="126" t="s">
        <v>230</v>
      </c>
      <c r="H539" s="126" t="s">
        <v>139</v>
      </c>
      <c r="I539" s="127">
        <v>3.2</v>
      </c>
      <c r="J539" s="127"/>
      <c r="K539" s="127"/>
      <c r="L539" s="127"/>
      <c r="M539" s="144">
        <v>766</v>
      </c>
      <c r="N539" s="129">
        <v>11.904999999999999</v>
      </c>
      <c r="O539" s="129"/>
      <c r="P539" s="129"/>
      <c r="Q539" s="130"/>
      <c r="R539" s="131"/>
      <c r="S539" s="131"/>
      <c r="T539" s="132"/>
      <c r="U539" s="132"/>
      <c r="V539" s="132"/>
      <c r="W539" s="132"/>
      <c r="X539" s="132"/>
      <c r="Y539" s="133" t="s">
        <v>1942</v>
      </c>
      <c r="Z539" s="126" t="s">
        <v>64</v>
      </c>
      <c r="AA539" s="134" t="s">
        <v>154</v>
      </c>
      <c r="AB539" s="134" t="s">
        <v>1943</v>
      </c>
      <c r="AC539" s="134"/>
      <c r="AD539" s="134">
        <v>44585</v>
      </c>
      <c r="AE539" s="134"/>
      <c r="AF539" s="134">
        <f t="shared" ca="1" si="45"/>
        <v>44963</v>
      </c>
      <c r="AG539" s="126">
        <f t="shared" ca="1" si="46"/>
        <v>378</v>
      </c>
      <c r="AH539" s="126" t="str">
        <f t="shared" si="47"/>
        <v/>
      </c>
      <c r="AI539" s="134"/>
      <c r="AJ539" s="143" t="s">
        <v>1974</v>
      </c>
      <c r="AK539" s="129">
        <v>11.904999999999999</v>
      </c>
      <c r="AL539" s="129">
        <v>11.914999999999999</v>
      </c>
      <c r="AM539" s="129">
        <v>11.939999999999998</v>
      </c>
      <c r="AN539" s="129">
        <v>11.944999999999999</v>
      </c>
      <c r="AO539" s="126" t="str">
        <f t="shared" si="48"/>
        <v/>
      </c>
      <c r="AR539" s="99" t="s">
        <v>136</v>
      </c>
    </row>
    <row r="540" spans="1:44" s="99" customFormat="1" ht="21" customHeight="1" x14ac:dyDescent="0.35">
      <c r="A540" s="99">
        <v>425</v>
      </c>
      <c r="B540" s="126" t="str">
        <f t="shared" si="44"/>
        <v>RM-304L/1D-004X767</v>
      </c>
      <c r="C540" s="126" t="s">
        <v>43</v>
      </c>
      <c r="D540" s="126" t="s">
        <v>43</v>
      </c>
      <c r="E540" s="143" t="s">
        <v>1977</v>
      </c>
      <c r="F540" s="143" t="s">
        <v>1978</v>
      </c>
      <c r="G540" s="126" t="s">
        <v>230</v>
      </c>
      <c r="H540" s="126" t="s">
        <v>139</v>
      </c>
      <c r="I540" s="127">
        <v>3.89</v>
      </c>
      <c r="J540" s="127"/>
      <c r="K540" s="127"/>
      <c r="L540" s="127"/>
      <c r="M540" s="144">
        <v>767</v>
      </c>
      <c r="N540" s="129">
        <v>10.414999999999999</v>
      </c>
      <c r="O540" s="129"/>
      <c r="P540" s="129"/>
      <c r="Q540" s="130"/>
      <c r="R540" s="131"/>
      <c r="S540" s="131"/>
      <c r="T540" s="132"/>
      <c r="U540" s="132"/>
      <c r="V540" s="132"/>
      <c r="W540" s="132"/>
      <c r="X540" s="132"/>
      <c r="Y540" s="133" t="s">
        <v>1942</v>
      </c>
      <c r="Z540" s="126" t="s">
        <v>64</v>
      </c>
      <c r="AA540" s="134" t="s">
        <v>154</v>
      </c>
      <c r="AB540" s="134" t="s">
        <v>1943</v>
      </c>
      <c r="AC540" s="134"/>
      <c r="AD540" s="134">
        <v>44585</v>
      </c>
      <c r="AE540" s="134"/>
      <c r="AF540" s="134">
        <f t="shared" ca="1" si="45"/>
        <v>44963</v>
      </c>
      <c r="AG540" s="126">
        <f t="shared" ca="1" si="46"/>
        <v>378</v>
      </c>
      <c r="AH540" s="126" t="str">
        <f t="shared" si="47"/>
        <v/>
      </c>
      <c r="AI540" s="134"/>
      <c r="AJ540" s="143" t="s">
        <v>1979</v>
      </c>
      <c r="AK540" s="129">
        <v>10.414999999999999</v>
      </c>
      <c r="AL540" s="129">
        <v>10.425000000000001</v>
      </c>
      <c r="AM540" s="129">
        <v>10.45</v>
      </c>
      <c r="AN540" s="129">
        <v>10.455</v>
      </c>
      <c r="AO540" s="126" t="str">
        <f t="shared" si="48"/>
        <v/>
      </c>
      <c r="AR540" s="99" t="s">
        <v>136</v>
      </c>
    </row>
    <row r="541" spans="1:44" s="99" customFormat="1" ht="21" customHeight="1" x14ac:dyDescent="0.35">
      <c r="A541" s="99">
        <v>425</v>
      </c>
      <c r="B541" s="126" t="str">
        <f t="shared" si="44"/>
        <v>RM-304L/1D-004X768</v>
      </c>
      <c r="C541" s="126" t="s">
        <v>43</v>
      </c>
      <c r="D541" s="126" t="s">
        <v>43</v>
      </c>
      <c r="E541" s="143" t="s">
        <v>1980</v>
      </c>
      <c r="F541" s="143" t="s">
        <v>1981</v>
      </c>
      <c r="G541" s="126" t="s">
        <v>230</v>
      </c>
      <c r="H541" s="126" t="s">
        <v>139</v>
      </c>
      <c r="I541" s="127">
        <v>3.89</v>
      </c>
      <c r="J541" s="127"/>
      <c r="K541" s="127"/>
      <c r="L541" s="127"/>
      <c r="M541" s="144">
        <v>768</v>
      </c>
      <c r="N541" s="129">
        <v>10.41</v>
      </c>
      <c r="O541" s="129"/>
      <c r="P541" s="129"/>
      <c r="Q541" s="130"/>
      <c r="R541" s="131"/>
      <c r="S541" s="131"/>
      <c r="T541" s="132"/>
      <c r="U541" s="132"/>
      <c r="V541" s="132"/>
      <c r="W541" s="132"/>
      <c r="X541" s="132"/>
      <c r="Y541" s="133" t="s">
        <v>1942</v>
      </c>
      <c r="Z541" s="126" t="s">
        <v>64</v>
      </c>
      <c r="AA541" s="134" t="s">
        <v>154</v>
      </c>
      <c r="AB541" s="134" t="s">
        <v>1943</v>
      </c>
      <c r="AC541" s="134"/>
      <c r="AD541" s="134">
        <v>44585</v>
      </c>
      <c r="AE541" s="134"/>
      <c r="AF541" s="134">
        <f t="shared" ca="1" si="45"/>
        <v>44963</v>
      </c>
      <c r="AG541" s="126">
        <f t="shared" ca="1" si="46"/>
        <v>378</v>
      </c>
      <c r="AH541" s="126" t="str">
        <f t="shared" si="47"/>
        <v/>
      </c>
      <c r="AI541" s="134"/>
      <c r="AJ541" s="143" t="s">
        <v>1979</v>
      </c>
      <c r="AK541" s="129">
        <v>10.41</v>
      </c>
      <c r="AL541" s="129">
        <v>10.42</v>
      </c>
      <c r="AM541" s="129">
        <v>10.444999999999999</v>
      </c>
      <c r="AN541" s="129">
        <v>10.45</v>
      </c>
      <c r="AO541" s="126" t="str">
        <f t="shared" si="48"/>
        <v/>
      </c>
      <c r="AR541" s="99" t="s">
        <v>136</v>
      </c>
    </row>
    <row r="542" spans="1:44" s="99" customFormat="1" ht="21" customHeight="1" x14ac:dyDescent="0.35">
      <c r="A542" s="99">
        <v>425</v>
      </c>
      <c r="B542" s="126" t="str">
        <f t="shared" si="44"/>
        <v>RM-304L/1D-004X767</v>
      </c>
      <c r="C542" s="126" t="s">
        <v>43</v>
      </c>
      <c r="D542" s="126" t="s">
        <v>43</v>
      </c>
      <c r="E542" s="143" t="s">
        <v>1982</v>
      </c>
      <c r="F542" s="143" t="s">
        <v>1983</v>
      </c>
      <c r="G542" s="126" t="s">
        <v>230</v>
      </c>
      <c r="H542" s="126" t="s">
        <v>139</v>
      </c>
      <c r="I542" s="127">
        <v>3.88</v>
      </c>
      <c r="J542" s="127"/>
      <c r="K542" s="127"/>
      <c r="L542" s="127"/>
      <c r="M542" s="144">
        <v>767</v>
      </c>
      <c r="N542" s="129">
        <v>10.41</v>
      </c>
      <c r="O542" s="129"/>
      <c r="P542" s="129"/>
      <c r="Q542" s="130"/>
      <c r="R542" s="131"/>
      <c r="S542" s="131"/>
      <c r="T542" s="132"/>
      <c r="U542" s="132"/>
      <c r="V542" s="132"/>
      <c r="W542" s="132"/>
      <c r="X542" s="132"/>
      <c r="Y542" s="133" t="s">
        <v>1942</v>
      </c>
      <c r="Z542" s="126" t="s">
        <v>64</v>
      </c>
      <c r="AA542" s="134" t="s">
        <v>154</v>
      </c>
      <c r="AB542" s="134" t="s">
        <v>1943</v>
      </c>
      <c r="AC542" s="134"/>
      <c r="AD542" s="134">
        <v>44585</v>
      </c>
      <c r="AE542" s="134"/>
      <c r="AF542" s="134">
        <f t="shared" ca="1" si="45"/>
        <v>44963</v>
      </c>
      <c r="AG542" s="126">
        <f t="shared" ca="1" si="46"/>
        <v>378</v>
      </c>
      <c r="AH542" s="126" t="str">
        <f t="shared" si="47"/>
        <v/>
      </c>
      <c r="AI542" s="134"/>
      <c r="AJ542" s="143" t="s">
        <v>1984</v>
      </c>
      <c r="AK542" s="129">
        <v>10.41</v>
      </c>
      <c r="AL542" s="129">
        <v>10.42</v>
      </c>
      <c r="AM542" s="129">
        <v>10.444999999999999</v>
      </c>
      <c r="AN542" s="129">
        <v>10.45</v>
      </c>
      <c r="AO542" s="126" t="str">
        <f t="shared" si="48"/>
        <v/>
      </c>
      <c r="AR542" s="99" t="s">
        <v>136</v>
      </c>
    </row>
    <row r="543" spans="1:44" s="99" customFormat="1" ht="21" customHeight="1" x14ac:dyDescent="0.35">
      <c r="A543" s="99">
        <v>425</v>
      </c>
      <c r="B543" s="126" t="str">
        <f t="shared" si="44"/>
        <v>RM-304L/1D-004X767</v>
      </c>
      <c r="C543" s="126" t="s">
        <v>43</v>
      </c>
      <c r="D543" s="126" t="s">
        <v>43</v>
      </c>
      <c r="E543" s="143" t="s">
        <v>1985</v>
      </c>
      <c r="F543" s="143" t="s">
        <v>1986</v>
      </c>
      <c r="G543" s="126" t="s">
        <v>230</v>
      </c>
      <c r="H543" s="126" t="s">
        <v>139</v>
      </c>
      <c r="I543" s="127">
        <v>3.88</v>
      </c>
      <c r="J543" s="127"/>
      <c r="K543" s="127"/>
      <c r="L543" s="127"/>
      <c r="M543" s="144">
        <v>767</v>
      </c>
      <c r="N543" s="129">
        <v>10.404999999999999</v>
      </c>
      <c r="O543" s="129"/>
      <c r="P543" s="129"/>
      <c r="Q543" s="130"/>
      <c r="R543" s="131"/>
      <c r="S543" s="131"/>
      <c r="T543" s="132"/>
      <c r="U543" s="132"/>
      <c r="V543" s="132"/>
      <c r="W543" s="132"/>
      <c r="X543" s="132"/>
      <c r="Y543" s="133" t="s">
        <v>1942</v>
      </c>
      <c r="Z543" s="126" t="s">
        <v>64</v>
      </c>
      <c r="AA543" s="134" t="s">
        <v>154</v>
      </c>
      <c r="AB543" s="134" t="s">
        <v>1943</v>
      </c>
      <c r="AC543" s="134"/>
      <c r="AD543" s="134">
        <v>44585</v>
      </c>
      <c r="AE543" s="134"/>
      <c r="AF543" s="134">
        <f t="shared" ca="1" si="45"/>
        <v>44963</v>
      </c>
      <c r="AG543" s="126">
        <f t="shared" ca="1" si="46"/>
        <v>378</v>
      </c>
      <c r="AH543" s="126" t="str">
        <f t="shared" si="47"/>
        <v/>
      </c>
      <c r="AI543" s="134"/>
      <c r="AJ543" s="143" t="s">
        <v>1984</v>
      </c>
      <c r="AK543" s="129">
        <v>10.404999999999999</v>
      </c>
      <c r="AL543" s="129">
        <v>10.414999999999999</v>
      </c>
      <c r="AM543" s="129">
        <v>10.439999999999998</v>
      </c>
      <c r="AN543" s="129">
        <v>10.444999999999999</v>
      </c>
      <c r="AO543" s="126" t="str">
        <f t="shared" si="48"/>
        <v/>
      </c>
      <c r="AR543" s="99" t="s">
        <v>136</v>
      </c>
    </row>
    <row r="544" spans="1:44" s="99" customFormat="1" ht="21" customHeight="1" x14ac:dyDescent="0.35">
      <c r="A544" s="99">
        <v>425</v>
      </c>
      <c r="B544" s="126" t="str">
        <f t="shared" si="44"/>
        <v>RM-304L/1D-004X768</v>
      </c>
      <c r="C544" s="126" t="s">
        <v>43</v>
      </c>
      <c r="D544" s="126" t="s">
        <v>43</v>
      </c>
      <c r="E544" s="143" t="s">
        <v>1987</v>
      </c>
      <c r="F544" s="143" t="s">
        <v>1988</v>
      </c>
      <c r="G544" s="126" t="s">
        <v>230</v>
      </c>
      <c r="H544" s="126" t="s">
        <v>139</v>
      </c>
      <c r="I544" s="127">
        <v>3.88</v>
      </c>
      <c r="J544" s="127"/>
      <c r="K544" s="127"/>
      <c r="L544" s="127"/>
      <c r="M544" s="144">
        <v>768</v>
      </c>
      <c r="N544" s="129">
        <v>10.445</v>
      </c>
      <c r="O544" s="129"/>
      <c r="P544" s="129"/>
      <c r="Q544" s="130"/>
      <c r="R544" s="131"/>
      <c r="S544" s="131"/>
      <c r="T544" s="132"/>
      <c r="U544" s="132"/>
      <c r="V544" s="132"/>
      <c r="W544" s="132"/>
      <c r="X544" s="132"/>
      <c r="Y544" s="133" t="s">
        <v>1942</v>
      </c>
      <c r="Z544" s="126" t="s">
        <v>64</v>
      </c>
      <c r="AA544" s="134" t="s">
        <v>154</v>
      </c>
      <c r="AB544" s="134" t="s">
        <v>1943</v>
      </c>
      <c r="AC544" s="134"/>
      <c r="AD544" s="134">
        <v>44585</v>
      </c>
      <c r="AE544" s="134"/>
      <c r="AF544" s="134">
        <f t="shared" ca="1" si="45"/>
        <v>44963</v>
      </c>
      <c r="AG544" s="126">
        <f t="shared" ca="1" si="46"/>
        <v>378</v>
      </c>
      <c r="AH544" s="126" t="str">
        <f t="shared" si="47"/>
        <v/>
      </c>
      <c r="AI544" s="134"/>
      <c r="AJ544" s="143" t="s">
        <v>1989</v>
      </c>
      <c r="AK544" s="129">
        <v>10.445</v>
      </c>
      <c r="AL544" s="129">
        <v>10.455</v>
      </c>
      <c r="AM544" s="129">
        <v>10.479999999999999</v>
      </c>
      <c r="AN544" s="129">
        <v>10.484999999999999</v>
      </c>
      <c r="AO544" s="126" t="str">
        <f t="shared" si="48"/>
        <v/>
      </c>
      <c r="AR544" s="99" t="s">
        <v>136</v>
      </c>
    </row>
    <row r="545" spans="1:44" s="99" customFormat="1" ht="21" customHeight="1" x14ac:dyDescent="0.35">
      <c r="A545" s="99">
        <v>425</v>
      </c>
      <c r="B545" s="126" t="str">
        <f t="shared" si="44"/>
        <v>RM-304L/1D-004X767</v>
      </c>
      <c r="C545" s="126" t="s">
        <v>43</v>
      </c>
      <c r="D545" s="126" t="s">
        <v>43</v>
      </c>
      <c r="E545" s="143" t="s">
        <v>1990</v>
      </c>
      <c r="F545" s="143" t="s">
        <v>1991</v>
      </c>
      <c r="G545" s="126" t="s">
        <v>230</v>
      </c>
      <c r="H545" s="126" t="s">
        <v>139</v>
      </c>
      <c r="I545" s="127">
        <v>3.89</v>
      </c>
      <c r="J545" s="127"/>
      <c r="K545" s="127"/>
      <c r="L545" s="127"/>
      <c r="M545" s="144">
        <v>767</v>
      </c>
      <c r="N545" s="129">
        <v>10.42</v>
      </c>
      <c r="O545" s="129"/>
      <c r="P545" s="129"/>
      <c r="Q545" s="130"/>
      <c r="R545" s="131"/>
      <c r="S545" s="131"/>
      <c r="T545" s="132"/>
      <c r="U545" s="132"/>
      <c r="V545" s="132"/>
      <c r="W545" s="132"/>
      <c r="X545" s="132"/>
      <c r="Y545" s="133" t="s">
        <v>1942</v>
      </c>
      <c r="Z545" s="126" t="s">
        <v>64</v>
      </c>
      <c r="AA545" s="134" t="s">
        <v>154</v>
      </c>
      <c r="AB545" s="134" t="s">
        <v>1943</v>
      </c>
      <c r="AC545" s="134"/>
      <c r="AD545" s="134">
        <v>44585</v>
      </c>
      <c r="AE545" s="134"/>
      <c r="AF545" s="134">
        <f t="shared" ca="1" si="45"/>
        <v>44963</v>
      </c>
      <c r="AG545" s="126">
        <f t="shared" ca="1" si="46"/>
        <v>378</v>
      </c>
      <c r="AH545" s="126" t="str">
        <f t="shared" si="47"/>
        <v/>
      </c>
      <c r="AI545" s="134"/>
      <c r="AJ545" s="143" t="s">
        <v>1989</v>
      </c>
      <c r="AK545" s="129">
        <v>10.42</v>
      </c>
      <c r="AL545" s="129">
        <v>10.43</v>
      </c>
      <c r="AM545" s="129">
        <v>10.454999999999998</v>
      </c>
      <c r="AN545" s="129">
        <v>10.459999999999999</v>
      </c>
      <c r="AO545" s="126" t="str">
        <f t="shared" si="48"/>
        <v/>
      </c>
      <c r="AR545" s="99" t="s">
        <v>136</v>
      </c>
    </row>
    <row r="546" spans="1:44" s="99" customFormat="1" ht="21" customHeight="1" x14ac:dyDescent="0.35">
      <c r="A546" s="99">
        <v>425</v>
      </c>
      <c r="B546" s="126" t="str">
        <f t="shared" si="44"/>
        <v>RM-304/1D-004X767</v>
      </c>
      <c r="C546" s="126" t="s">
        <v>43</v>
      </c>
      <c r="D546" s="126" t="s">
        <v>43</v>
      </c>
      <c r="E546" s="143" t="s">
        <v>1992</v>
      </c>
      <c r="F546" s="143" t="s">
        <v>1993</v>
      </c>
      <c r="G546" s="126">
        <v>304</v>
      </c>
      <c r="H546" s="126" t="s">
        <v>139</v>
      </c>
      <c r="I546" s="127">
        <v>3.79</v>
      </c>
      <c r="J546" s="127"/>
      <c r="K546" s="127"/>
      <c r="L546" s="127"/>
      <c r="M546" s="144">
        <v>767</v>
      </c>
      <c r="N546" s="129">
        <v>10.455</v>
      </c>
      <c r="O546" s="129"/>
      <c r="P546" s="129"/>
      <c r="Q546" s="130"/>
      <c r="R546" s="131"/>
      <c r="S546" s="131"/>
      <c r="T546" s="132"/>
      <c r="U546" s="132"/>
      <c r="V546" s="132"/>
      <c r="W546" s="132"/>
      <c r="X546" s="132"/>
      <c r="Y546" s="133" t="s">
        <v>1942</v>
      </c>
      <c r="Z546" s="126" t="s">
        <v>64</v>
      </c>
      <c r="AA546" s="134" t="s">
        <v>154</v>
      </c>
      <c r="AB546" s="134" t="s">
        <v>1943</v>
      </c>
      <c r="AC546" s="134"/>
      <c r="AD546" s="134">
        <v>44585</v>
      </c>
      <c r="AE546" s="134"/>
      <c r="AF546" s="134">
        <f t="shared" ca="1" si="45"/>
        <v>44963</v>
      </c>
      <c r="AG546" s="126">
        <f t="shared" ca="1" si="46"/>
        <v>378</v>
      </c>
      <c r="AH546" s="126" t="str">
        <f t="shared" si="47"/>
        <v/>
      </c>
      <c r="AI546" s="134"/>
      <c r="AJ546" s="143" t="s">
        <v>1994</v>
      </c>
      <c r="AK546" s="129">
        <v>10.455</v>
      </c>
      <c r="AL546" s="129">
        <v>10.465</v>
      </c>
      <c r="AM546" s="129">
        <v>10.489999999999998</v>
      </c>
      <c r="AN546" s="129">
        <v>10.494999999999999</v>
      </c>
      <c r="AO546" s="126" t="str">
        <f t="shared" si="48"/>
        <v/>
      </c>
      <c r="AR546" s="99" t="s">
        <v>136</v>
      </c>
    </row>
    <row r="547" spans="1:44" s="99" customFormat="1" ht="21" customHeight="1" x14ac:dyDescent="0.35">
      <c r="A547" s="99">
        <v>425</v>
      </c>
      <c r="B547" s="126" t="str">
        <f t="shared" si="44"/>
        <v>RM-304/1D-004X768</v>
      </c>
      <c r="C547" s="126" t="s">
        <v>43</v>
      </c>
      <c r="D547" s="126" t="s">
        <v>43</v>
      </c>
      <c r="E547" s="143" t="s">
        <v>1995</v>
      </c>
      <c r="F547" s="143" t="s">
        <v>1996</v>
      </c>
      <c r="G547" s="126">
        <v>304</v>
      </c>
      <c r="H547" s="126" t="s">
        <v>139</v>
      </c>
      <c r="I547" s="127">
        <v>3.79</v>
      </c>
      <c r="J547" s="127"/>
      <c r="K547" s="127"/>
      <c r="L547" s="127"/>
      <c r="M547" s="144">
        <v>768</v>
      </c>
      <c r="N547" s="129">
        <v>10.47</v>
      </c>
      <c r="O547" s="129"/>
      <c r="P547" s="129"/>
      <c r="Q547" s="130"/>
      <c r="R547" s="131"/>
      <c r="S547" s="131"/>
      <c r="T547" s="132"/>
      <c r="U547" s="132"/>
      <c r="V547" s="132"/>
      <c r="W547" s="132"/>
      <c r="X547" s="132"/>
      <c r="Y547" s="133" t="s">
        <v>1942</v>
      </c>
      <c r="Z547" s="126" t="s">
        <v>64</v>
      </c>
      <c r="AA547" s="134" t="s">
        <v>154</v>
      </c>
      <c r="AB547" s="134" t="s">
        <v>1943</v>
      </c>
      <c r="AC547" s="134"/>
      <c r="AD547" s="134">
        <v>44585</v>
      </c>
      <c r="AE547" s="134"/>
      <c r="AF547" s="134">
        <f t="shared" ca="1" si="45"/>
        <v>44963</v>
      </c>
      <c r="AG547" s="126">
        <f t="shared" ca="1" si="46"/>
        <v>378</v>
      </c>
      <c r="AH547" s="126" t="str">
        <f t="shared" si="47"/>
        <v/>
      </c>
      <c r="AI547" s="134"/>
      <c r="AJ547" s="143" t="s">
        <v>1994</v>
      </c>
      <c r="AK547" s="129">
        <v>10.47</v>
      </c>
      <c r="AL547" s="129">
        <v>10.48</v>
      </c>
      <c r="AM547" s="129">
        <v>10.504999999999999</v>
      </c>
      <c r="AN547" s="129">
        <v>10.51</v>
      </c>
      <c r="AO547" s="126" t="str">
        <f t="shared" si="48"/>
        <v/>
      </c>
      <c r="AR547" s="99" t="s">
        <v>136</v>
      </c>
    </row>
    <row r="548" spans="1:44" s="99" customFormat="1" ht="21" customHeight="1" x14ac:dyDescent="0.35">
      <c r="A548" s="99">
        <v>425</v>
      </c>
      <c r="B548" s="126" t="str">
        <f t="shared" si="44"/>
        <v>RM-304L/1D-004X767</v>
      </c>
      <c r="C548" s="126" t="s">
        <v>43</v>
      </c>
      <c r="D548" s="126" t="s">
        <v>43</v>
      </c>
      <c r="E548" s="143" t="s">
        <v>1997</v>
      </c>
      <c r="F548" s="143" t="s">
        <v>1998</v>
      </c>
      <c r="G548" s="126" t="s">
        <v>230</v>
      </c>
      <c r="H548" s="126" t="s">
        <v>139</v>
      </c>
      <c r="I548" s="127">
        <v>3.8</v>
      </c>
      <c r="J548" s="127"/>
      <c r="K548" s="127"/>
      <c r="L548" s="127"/>
      <c r="M548" s="144">
        <v>767</v>
      </c>
      <c r="N548" s="129">
        <v>12.095000000000001</v>
      </c>
      <c r="O548" s="129"/>
      <c r="P548" s="129"/>
      <c r="Q548" s="130"/>
      <c r="R548" s="131"/>
      <c r="S548" s="131"/>
      <c r="T548" s="132"/>
      <c r="U548" s="132"/>
      <c r="V548" s="132"/>
      <c r="W548" s="132"/>
      <c r="X548" s="132"/>
      <c r="Y548" s="133" t="s">
        <v>1942</v>
      </c>
      <c r="Z548" s="126" t="s">
        <v>64</v>
      </c>
      <c r="AA548" s="134" t="s">
        <v>154</v>
      </c>
      <c r="AB548" s="134" t="s">
        <v>1943</v>
      </c>
      <c r="AC548" s="134"/>
      <c r="AD548" s="134">
        <v>44585</v>
      </c>
      <c r="AE548" s="134"/>
      <c r="AF548" s="134">
        <f t="shared" ca="1" si="45"/>
        <v>44963</v>
      </c>
      <c r="AG548" s="126">
        <f t="shared" ca="1" si="46"/>
        <v>378</v>
      </c>
      <c r="AH548" s="126" t="str">
        <f t="shared" si="47"/>
        <v/>
      </c>
      <c r="AI548" s="134"/>
      <c r="AJ548" s="143" t="s">
        <v>1999</v>
      </c>
      <c r="AK548" s="129">
        <v>12.095000000000001</v>
      </c>
      <c r="AL548" s="129">
        <v>12.105</v>
      </c>
      <c r="AM548" s="129">
        <v>12.129999999999999</v>
      </c>
      <c r="AN548" s="129">
        <v>12.135</v>
      </c>
      <c r="AO548" s="126" t="str">
        <f t="shared" si="48"/>
        <v/>
      </c>
      <c r="AR548" s="99" t="s">
        <v>136</v>
      </c>
    </row>
    <row r="549" spans="1:44" s="99" customFormat="1" ht="21" customHeight="1" x14ac:dyDescent="0.35">
      <c r="A549" s="99">
        <v>425</v>
      </c>
      <c r="B549" s="126" t="str">
        <f t="shared" si="44"/>
        <v>RM-304L/1D-004X767</v>
      </c>
      <c r="C549" s="126" t="s">
        <v>43</v>
      </c>
      <c r="D549" s="126" t="s">
        <v>43</v>
      </c>
      <c r="E549" s="143" t="s">
        <v>2000</v>
      </c>
      <c r="F549" s="143" t="s">
        <v>2001</v>
      </c>
      <c r="G549" s="126" t="s">
        <v>230</v>
      </c>
      <c r="H549" s="126" t="s">
        <v>139</v>
      </c>
      <c r="I549" s="127">
        <v>3.79</v>
      </c>
      <c r="J549" s="127"/>
      <c r="K549" s="127"/>
      <c r="L549" s="127"/>
      <c r="M549" s="144">
        <v>767</v>
      </c>
      <c r="N549" s="129">
        <v>12.08</v>
      </c>
      <c r="O549" s="129"/>
      <c r="P549" s="129"/>
      <c r="Q549" s="130"/>
      <c r="R549" s="131"/>
      <c r="S549" s="131"/>
      <c r="T549" s="132"/>
      <c r="U549" s="132"/>
      <c r="V549" s="132"/>
      <c r="W549" s="132"/>
      <c r="X549" s="132"/>
      <c r="Y549" s="133" t="s">
        <v>1942</v>
      </c>
      <c r="Z549" s="126" t="s">
        <v>64</v>
      </c>
      <c r="AA549" s="134" t="s">
        <v>154</v>
      </c>
      <c r="AB549" s="134" t="s">
        <v>1943</v>
      </c>
      <c r="AC549" s="134"/>
      <c r="AD549" s="134">
        <v>44585</v>
      </c>
      <c r="AE549" s="134"/>
      <c r="AF549" s="134">
        <f t="shared" ca="1" si="45"/>
        <v>44963</v>
      </c>
      <c r="AG549" s="126">
        <f t="shared" ca="1" si="46"/>
        <v>378</v>
      </c>
      <c r="AH549" s="126" t="str">
        <f t="shared" si="47"/>
        <v/>
      </c>
      <c r="AI549" s="134"/>
      <c r="AJ549" s="143" t="s">
        <v>1999</v>
      </c>
      <c r="AK549" s="129">
        <v>12.08</v>
      </c>
      <c r="AL549" s="129">
        <v>12.09</v>
      </c>
      <c r="AM549" s="129">
        <v>12.114999999999998</v>
      </c>
      <c r="AN549" s="129">
        <v>12.12</v>
      </c>
      <c r="AO549" s="126" t="str">
        <f t="shared" si="48"/>
        <v/>
      </c>
      <c r="AR549" s="99" t="s">
        <v>136</v>
      </c>
    </row>
    <row r="550" spans="1:44" s="99" customFormat="1" ht="21" customHeight="1" x14ac:dyDescent="0.35">
      <c r="A550" s="99">
        <v>425</v>
      </c>
      <c r="B550" s="126" t="str">
        <f t="shared" si="44"/>
        <v>RM-304/1D-004X767</v>
      </c>
      <c r="C550" s="126" t="s">
        <v>43</v>
      </c>
      <c r="D550" s="126" t="s">
        <v>43</v>
      </c>
      <c r="E550" s="143" t="s">
        <v>2002</v>
      </c>
      <c r="F550" s="143" t="s">
        <v>2003</v>
      </c>
      <c r="G550" s="126">
        <v>304</v>
      </c>
      <c r="H550" s="126" t="s">
        <v>139</v>
      </c>
      <c r="I550" s="127">
        <v>3.8</v>
      </c>
      <c r="J550" s="127"/>
      <c r="K550" s="127"/>
      <c r="L550" s="127"/>
      <c r="M550" s="144">
        <v>767</v>
      </c>
      <c r="N550" s="129">
        <v>10.38</v>
      </c>
      <c r="O550" s="129"/>
      <c r="P550" s="129"/>
      <c r="Q550" s="130"/>
      <c r="R550" s="131"/>
      <c r="S550" s="131"/>
      <c r="T550" s="132"/>
      <c r="U550" s="132"/>
      <c r="V550" s="132"/>
      <c r="W550" s="132"/>
      <c r="X550" s="132"/>
      <c r="Y550" s="133" t="s">
        <v>1942</v>
      </c>
      <c r="Z550" s="126" t="s">
        <v>64</v>
      </c>
      <c r="AA550" s="134" t="s">
        <v>154</v>
      </c>
      <c r="AB550" s="134" t="s">
        <v>1943</v>
      </c>
      <c r="AC550" s="134"/>
      <c r="AD550" s="134">
        <v>44585</v>
      </c>
      <c r="AE550" s="134"/>
      <c r="AF550" s="134">
        <f t="shared" ca="1" si="45"/>
        <v>44963</v>
      </c>
      <c r="AG550" s="126">
        <f t="shared" ca="1" si="46"/>
        <v>378</v>
      </c>
      <c r="AH550" s="126" t="str">
        <f t="shared" si="47"/>
        <v/>
      </c>
      <c r="AI550" s="134"/>
      <c r="AJ550" s="143" t="s">
        <v>2004</v>
      </c>
      <c r="AK550" s="129">
        <v>10.38</v>
      </c>
      <c r="AL550" s="129">
        <v>10.39</v>
      </c>
      <c r="AM550" s="129">
        <v>10.414999999999999</v>
      </c>
      <c r="AN550" s="129">
        <v>10.42</v>
      </c>
      <c r="AO550" s="126" t="str">
        <f t="shared" si="48"/>
        <v/>
      </c>
      <c r="AR550" s="99" t="s">
        <v>136</v>
      </c>
    </row>
    <row r="551" spans="1:44" s="99" customFormat="1" ht="21" customHeight="1" x14ac:dyDescent="0.35">
      <c r="A551" s="99">
        <v>425</v>
      </c>
      <c r="B551" s="126" t="str">
        <f t="shared" si="44"/>
        <v>RM-304/1D-004X767</v>
      </c>
      <c r="C551" s="126" t="s">
        <v>43</v>
      </c>
      <c r="D551" s="126" t="s">
        <v>43</v>
      </c>
      <c r="E551" s="143" t="s">
        <v>2005</v>
      </c>
      <c r="F551" s="143" t="s">
        <v>2006</v>
      </c>
      <c r="G551" s="126">
        <v>304</v>
      </c>
      <c r="H551" s="126" t="s">
        <v>139</v>
      </c>
      <c r="I551" s="127">
        <v>3.79</v>
      </c>
      <c r="J551" s="127"/>
      <c r="K551" s="127"/>
      <c r="L551" s="127"/>
      <c r="M551" s="144">
        <v>767</v>
      </c>
      <c r="N551" s="129">
        <v>10.395</v>
      </c>
      <c r="O551" s="129"/>
      <c r="P551" s="129"/>
      <c r="Q551" s="130"/>
      <c r="R551" s="131"/>
      <c r="S551" s="131"/>
      <c r="T551" s="132"/>
      <c r="U551" s="132"/>
      <c r="V551" s="132"/>
      <c r="W551" s="132"/>
      <c r="X551" s="132"/>
      <c r="Y551" s="133" t="s">
        <v>1942</v>
      </c>
      <c r="Z551" s="126" t="s">
        <v>64</v>
      </c>
      <c r="AA551" s="134" t="s">
        <v>154</v>
      </c>
      <c r="AB551" s="134" t="s">
        <v>1943</v>
      </c>
      <c r="AC551" s="134"/>
      <c r="AD551" s="134">
        <v>44585</v>
      </c>
      <c r="AE551" s="134"/>
      <c r="AF551" s="134">
        <f t="shared" ca="1" si="45"/>
        <v>44963</v>
      </c>
      <c r="AG551" s="126">
        <f t="shared" ca="1" si="46"/>
        <v>378</v>
      </c>
      <c r="AH551" s="126" t="str">
        <f t="shared" si="47"/>
        <v/>
      </c>
      <c r="AI551" s="134"/>
      <c r="AJ551" s="143" t="s">
        <v>2004</v>
      </c>
      <c r="AK551" s="129">
        <v>10.395</v>
      </c>
      <c r="AL551" s="129">
        <v>10.404999999999999</v>
      </c>
      <c r="AM551" s="129">
        <v>10.429999999999998</v>
      </c>
      <c r="AN551" s="129">
        <v>10.434999999999999</v>
      </c>
      <c r="AO551" s="126" t="str">
        <f t="shared" si="48"/>
        <v/>
      </c>
      <c r="AR551" s="99" t="s">
        <v>136</v>
      </c>
    </row>
    <row r="552" spans="1:44" s="99" customFormat="1" ht="21" customHeight="1" x14ac:dyDescent="0.35">
      <c r="A552" s="99">
        <v>425</v>
      </c>
      <c r="B552" s="126" t="str">
        <f t="shared" si="44"/>
        <v>RM-304L/1D-004X768</v>
      </c>
      <c r="C552" s="126" t="s">
        <v>43</v>
      </c>
      <c r="D552" s="126" t="s">
        <v>43</v>
      </c>
      <c r="E552" s="143" t="s">
        <v>2007</v>
      </c>
      <c r="F552" s="143" t="s">
        <v>2008</v>
      </c>
      <c r="G552" s="126" t="s">
        <v>230</v>
      </c>
      <c r="H552" s="126" t="s">
        <v>139</v>
      </c>
      <c r="I552" s="127">
        <v>3.8</v>
      </c>
      <c r="J552" s="127"/>
      <c r="K552" s="127"/>
      <c r="L552" s="127"/>
      <c r="M552" s="144">
        <v>768</v>
      </c>
      <c r="N552" s="129">
        <v>10.28</v>
      </c>
      <c r="O552" s="129"/>
      <c r="P552" s="129"/>
      <c r="Q552" s="130"/>
      <c r="R552" s="131"/>
      <c r="S552" s="131"/>
      <c r="T552" s="132"/>
      <c r="U552" s="132"/>
      <c r="V552" s="132"/>
      <c r="W552" s="132"/>
      <c r="X552" s="132"/>
      <c r="Y552" s="133" t="s">
        <v>1942</v>
      </c>
      <c r="Z552" s="126" t="s">
        <v>64</v>
      </c>
      <c r="AA552" s="134" t="s">
        <v>154</v>
      </c>
      <c r="AB552" s="134" t="s">
        <v>1943</v>
      </c>
      <c r="AC552" s="134"/>
      <c r="AD552" s="134">
        <v>44585</v>
      </c>
      <c r="AE552" s="134"/>
      <c r="AF552" s="134">
        <f t="shared" ca="1" si="45"/>
        <v>44963</v>
      </c>
      <c r="AG552" s="126">
        <f t="shared" ca="1" si="46"/>
        <v>378</v>
      </c>
      <c r="AH552" s="126" t="str">
        <f t="shared" si="47"/>
        <v/>
      </c>
      <c r="AI552" s="134"/>
      <c r="AJ552" s="143" t="s">
        <v>2009</v>
      </c>
      <c r="AK552" s="129">
        <v>10.28</v>
      </c>
      <c r="AL552" s="129">
        <v>10.29</v>
      </c>
      <c r="AM552" s="129">
        <v>10.314999999999998</v>
      </c>
      <c r="AN552" s="129">
        <v>10.319999999999999</v>
      </c>
      <c r="AO552" s="126" t="str">
        <f t="shared" si="48"/>
        <v/>
      </c>
      <c r="AR552" s="99" t="s">
        <v>136</v>
      </c>
    </row>
    <row r="553" spans="1:44" s="99" customFormat="1" ht="21" customHeight="1" x14ac:dyDescent="0.35">
      <c r="A553" s="99">
        <v>425</v>
      </c>
      <c r="B553" s="126" t="str">
        <f t="shared" si="44"/>
        <v>RM-304L/1D-004X767</v>
      </c>
      <c r="C553" s="126" t="s">
        <v>43</v>
      </c>
      <c r="D553" s="126" t="s">
        <v>43</v>
      </c>
      <c r="E553" s="143" t="s">
        <v>2010</v>
      </c>
      <c r="F553" s="143" t="s">
        <v>2011</v>
      </c>
      <c r="G553" s="126" t="s">
        <v>230</v>
      </c>
      <c r="H553" s="126" t="s">
        <v>139</v>
      </c>
      <c r="I553" s="127">
        <v>3.8</v>
      </c>
      <c r="J553" s="127"/>
      <c r="K553" s="127"/>
      <c r="L553" s="127"/>
      <c r="M553" s="144">
        <v>767</v>
      </c>
      <c r="N553" s="129">
        <v>10.265000000000001</v>
      </c>
      <c r="O553" s="129"/>
      <c r="P553" s="129"/>
      <c r="Q553" s="130"/>
      <c r="R553" s="131"/>
      <c r="S553" s="131"/>
      <c r="T553" s="132"/>
      <c r="U553" s="132"/>
      <c r="V553" s="132"/>
      <c r="W553" s="132"/>
      <c r="X553" s="132"/>
      <c r="Y553" s="133" t="s">
        <v>1942</v>
      </c>
      <c r="Z553" s="126" t="s">
        <v>64</v>
      </c>
      <c r="AA553" s="134" t="s">
        <v>154</v>
      </c>
      <c r="AB553" s="134" t="s">
        <v>1943</v>
      </c>
      <c r="AC553" s="134"/>
      <c r="AD553" s="134">
        <v>44585</v>
      </c>
      <c r="AE553" s="134"/>
      <c r="AF553" s="134">
        <f t="shared" ca="1" si="45"/>
        <v>44963</v>
      </c>
      <c r="AG553" s="126">
        <f t="shared" ca="1" si="46"/>
        <v>378</v>
      </c>
      <c r="AH553" s="126" t="str">
        <f t="shared" si="47"/>
        <v/>
      </c>
      <c r="AI553" s="134"/>
      <c r="AJ553" s="143" t="s">
        <v>2009</v>
      </c>
      <c r="AK553" s="129">
        <v>10.265000000000001</v>
      </c>
      <c r="AL553" s="129">
        <v>10.275</v>
      </c>
      <c r="AM553" s="129">
        <v>10.299999999999999</v>
      </c>
      <c r="AN553" s="129">
        <v>10.305</v>
      </c>
      <c r="AO553" s="126" t="str">
        <f t="shared" si="48"/>
        <v/>
      </c>
      <c r="AR553" s="99" t="s">
        <v>136</v>
      </c>
    </row>
    <row r="554" spans="1:44" s="99" customFormat="1" ht="21" customHeight="1" x14ac:dyDescent="0.35">
      <c r="A554" s="99">
        <v>425</v>
      </c>
      <c r="B554" s="126" t="str">
        <f t="shared" si="44"/>
        <v>RM-304L/1D-004X767</v>
      </c>
      <c r="C554" s="126" t="s">
        <v>43</v>
      </c>
      <c r="D554" s="126" t="s">
        <v>43</v>
      </c>
      <c r="E554" s="143" t="s">
        <v>2012</v>
      </c>
      <c r="F554" s="143" t="s">
        <v>2013</v>
      </c>
      <c r="G554" s="126" t="s">
        <v>230</v>
      </c>
      <c r="H554" s="126" t="s">
        <v>139</v>
      </c>
      <c r="I554" s="127">
        <v>3.9</v>
      </c>
      <c r="J554" s="127"/>
      <c r="K554" s="127"/>
      <c r="L554" s="127"/>
      <c r="M554" s="144">
        <v>767</v>
      </c>
      <c r="N554" s="129">
        <v>10.46</v>
      </c>
      <c r="O554" s="129"/>
      <c r="P554" s="129"/>
      <c r="Q554" s="130"/>
      <c r="R554" s="131"/>
      <c r="S554" s="131"/>
      <c r="T554" s="132"/>
      <c r="U554" s="132"/>
      <c r="V554" s="132"/>
      <c r="W554" s="132"/>
      <c r="X554" s="132"/>
      <c r="Y554" s="133" t="s">
        <v>1942</v>
      </c>
      <c r="Z554" s="126" t="s">
        <v>64</v>
      </c>
      <c r="AA554" s="134" t="s">
        <v>154</v>
      </c>
      <c r="AB554" s="134" t="s">
        <v>1943</v>
      </c>
      <c r="AC554" s="134"/>
      <c r="AD554" s="134">
        <v>44585</v>
      </c>
      <c r="AE554" s="134"/>
      <c r="AF554" s="134">
        <f t="shared" ca="1" si="45"/>
        <v>44963</v>
      </c>
      <c r="AG554" s="126">
        <f t="shared" ca="1" si="46"/>
        <v>378</v>
      </c>
      <c r="AH554" s="126" t="str">
        <f t="shared" si="47"/>
        <v/>
      </c>
      <c r="AI554" s="134"/>
      <c r="AJ554" s="143" t="s">
        <v>2014</v>
      </c>
      <c r="AK554" s="129">
        <v>10.46</v>
      </c>
      <c r="AL554" s="129">
        <v>10.47</v>
      </c>
      <c r="AM554" s="129">
        <v>10.494999999999999</v>
      </c>
      <c r="AN554" s="129">
        <v>10.5</v>
      </c>
      <c r="AO554" s="126" t="str">
        <f t="shared" si="48"/>
        <v/>
      </c>
      <c r="AR554" s="99" t="s">
        <v>136</v>
      </c>
    </row>
    <row r="555" spans="1:44" s="99" customFormat="1" ht="21" customHeight="1" x14ac:dyDescent="0.35">
      <c r="A555" s="99">
        <v>425</v>
      </c>
      <c r="B555" s="126" t="str">
        <f t="shared" si="44"/>
        <v>RM-304L/1D-004X767</v>
      </c>
      <c r="C555" s="126" t="s">
        <v>43</v>
      </c>
      <c r="D555" s="126" t="s">
        <v>43</v>
      </c>
      <c r="E555" s="143" t="s">
        <v>2015</v>
      </c>
      <c r="F555" s="143" t="s">
        <v>2016</v>
      </c>
      <c r="G555" s="126" t="s">
        <v>230</v>
      </c>
      <c r="H555" s="126" t="s">
        <v>139</v>
      </c>
      <c r="I555" s="127">
        <v>3.89</v>
      </c>
      <c r="J555" s="127"/>
      <c r="K555" s="127"/>
      <c r="L555" s="127"/>
      <c r="M555" s="144">
        <v>767</v>
      </c>
      <c r="N555" s="129">
        <v>10.465</v>
      </c>
      <c r="O555" s="129"/>
      <c r="P555" s="129"/>
      <c r="Q555" s="130"/>
      <c r="R555" s="131"/>
      <c r="S555" s="131"/>
      <c r="T555" s="132"/>
      <c r="U555" s="132"/>
      <c r="V555" s="132"/>
      <c r="W555" s="132"/>
      <c r="X555" s="132"/>
      <c r="Y555" s="133" t="s">
        <v>1942</v>
      </c>
      <c r="Z555" s="126" t="s">
        <v>64</v>
      </c>
      <c r="AA555" s="134" t="s">
        <v>154</v>
      </c>
      <c r="AB555" s="134" t="s">
        <v>1943</v>
      </c>
      <c r="AC555" s="134"/>
      <c r="AD555" s="134">
        <v>44585</v>
      </c>
      <c r="AE555" s="134"/>
      <c r="AF555" s="134">
        <f t="shared" ca="1" si="45"/>
        <v>44963</v>
      </c>
      <c r="AG555" s="126">
        <f t="shared" ca="1" si="46"/>
        <v>378</v>
      </c>
      <c r="AH555" s="126" t="str">
        <f t="shared" si="47"/>
        <v/>
      </c>
      <c r="AI555" s="134"/>
      <c r="AJ555" s="143" t="s">
        <v>2014</v>
      </c>
      <c r="AK555" s="129">
        <v>10.465</v>
      </c>
      <c r="AL555" s="129">
        <v>10.475</v>
      </c>
      <c r="AM555" s="129">
        <v>10.499999999999998</v>
      </c>
      <c r="AN555" s="129">
        <v>10.504999999999999</v>
      </c>
      <c r="AO555" s="126" t="str">
        <f t="shared" si="48"/>
        <v/>
      </c>
      <c r="AR555" s="99" t="s">
        <v>136</v>
      </c>
    </row>
    <row r="556" spans="1:44" s="99" customFormat="1" ht="21" customHeight="1" x14ac:dyDescent="0.35">
      <c r="A556" s="99">
        <v>425</v>
      </c>
      <c r="B556" s="126" t="str">
        <f t="shared" si="44"/>
        <v>RM-304/1D-003X768</v>
      </c>
      <c r="C556" s="126" t="s">
        <v>43</v>
      </c>
      <c r="D556" s="126" t="s">
        <v>43</v>
      </c>
      <c r="E556" s="143" t="s">
        <v>2017</v>
      </c>
      <c r="F556" s="143" t="s">
        <v>2018</v>
      </c>
      <c r="G556" s="126">
        <v>304</v>
      </c>
      <c r="H556" s="126" t="s">
        <v>139</v>
      </c>
      <c r="I556" s="127">
        <v>3.2</v>
      </c>
      <c r="J556" s="127"/>
      <c r="K556" s="127"/>
      <c r="L556" s="127"/>
      <c r="M556" s="144">
        <v>768</v>
      </c>
      <c r="N556" s="129">
        <v>9.9749999999999996</v>
      </c>
      <c r="O556" s="129"/>
      <c r="P556" s="129"/>
      <c r="Q556" s="130"/>
      <c r="R556" s="131"/>
      <c r="S556" s="131"/>
      <c r="T556" s="132"/>
      <c r="U556" s="132"/>
      <c r="V556" s="132"/>
      <c r="W556" s="132"/>
      <c r="X556" s="132"/>
      <c r="Y556" s="133" t="s">
        <v>1942</v>
      </c>
      <c r="Z556" s="126" t="s">
        <v>64</v>
      </c>
      <c r="AA556" s="134" t="s">
        <v>154</v>
      </c>
      <c r="AB556" s="134" t="s">
        <v>1943</v>
      </c>
      <c r="AC556" s="134"/>
      <c r="AD556" s="134">
        <v>44585</v>
      </c>
      <c r="AE556" s="134"/>
      <c r="AF556" s="134">
        <f t="shared" ca="1" si="45"/>
        <v>44963</v>
      </c>
      <c r="AG556" s="126">
        <f t="shared" ca="1" si="46"/>
        <v>378</v>
      </c>
      <c r="AH556" s="126" t="str">
        <f t="shared" si="47"/>
        <v/>
      </c>
      <c r="AI556" s="134"/>
      <c r="AJ556" s="143" t="s">
        <v>2019</v>
      </c>
      <c r="AK556" s="129">
        <v>9.9749999999999996</v>
      </c>
      <c r="AL556" s="129">
        <v>9.9849999999999994</v>
      </c>
      <c r="AM556" s="129">
        <v>10.009999999999998</v>
      </c>
      <c r="AN556" s="129">
        <v>10.014999999999999</v>
      </c>
      <c r="AO556" s="126" t="str">
        <f t="shared" si="48"/>
        <v/>
      </c>
      <c r="AR556" s="99" t="s">
        <v>136</v>
      </c>
    </row>
    <row r="557" spans="1:44" s="99" customFormat="1" ht="21" customHeight="1" x14ac:dyDescent="0.35">
      <c r="A557" s="99">
        <v>425</v>
      </c>
      <c r="B557" s="126" t="str">
        <f t="shared" si="44"/>
        <v>RM-304/1D-003X767</v>
      </c>
      <c r="C557" s="126" t="s">
        <v>43</v>
      </c>
      <c r="D557" s="126" t="s">
        <v>43</v>
      </c>
      <c r="E557" s="143" t="s">
        <v>2020</v>
      </c>
      <c r="F557" s="143" t="s">
        <v>2021</v>
      </c>
      <c r="G557" s="126">
        <v>304</v>
      </c>
      <c r="H557" s="126" t="s">
        <v>139</v>
      </c>
      <c r="I557" s="127">
        <v>3.2</v>
      </c>
      <c r="J557" s="127"/>
      <c r="K557" s="127"/>
      <c r="L557" s="127"/>
      <c r="M557" s="144">
        <v>767</v>
      </c>
      <c r="N557" s="129">
        <v>9.9</v>
      </c>
      <c r="O557" s="129"/>
      <c r="P557" s="129"/>
      <c r="Q557" s="130"/>
      <c r="R557" s="131"/>
      <c r="S557" s="131"/>
      <c r="T557" s="132"/>
      <c r="U557" s="132"/>
      <c r="V557" s="132"/>
      <c r="W557" s="132"/>
      <c r="X557" s="132"/>
      <c r="Y557" s="133" t="s">
        <v>1942</v>
      </c>
      <c r="Z557" s="126" t="s">
        <v>64</v>
      </c>
      <c r="AA557" s="134" t="s">
        <v>154</v>
      </c>
      <c r="AB557" s="134" t="s">
        <v>1943</v>
      </c>
      <c r="AC557" s="134"/>
      <c r="AD557" s="134">
        <v>44585</v>
      </c>
      <c r="AE557" s="134"/>
      <c r="AF557" s="134">
        <f t="shared" ca="1" si="45"/>
        <v>44963</v>
      </c>
      <c r="AG557" s="126">
        <f t="shared" ca="1" si="46"/>
        <v>378</v>
      </c>
      <c r="AH557" s="126" t="str">
        <f t="shared" si="47"/>
        <v/>
      </c>
      <c r="AI557" s="134"/>
      <c r="AJ557" s="143" t="s">
        <v>2019</v>
      </c>
      <c r="AK557" s="129">
        <v>9.9</v>
      </c>
      <c r="AL557" s="129">
        <v>9.91</v>
      </c>
      <c r="AM557" s="129">
        <v>9.9349999999999987</v>
      </c>
      <c r="AN557" s="129">
        <v>9.94</v>
      </c>
      <c r="AO557" s="126" t="str">
        <f t="shared" si="48"/>
        <v/>
      </c>
      <c r="AR557" s="99" t="s">
        <v>136</v>
      </c>
    </row>
    <row r="558" spans="1:44" s="99" customFormat="1" ht="21" customHeight="1" x14ac:dyDescent="0.35">
      <c r="A558" s="99">
        <v>425</v>
      </c>
      <c r="B558" s="126" t="str">
        <f t="shared" si="44"/>
        <v>RM-304/1D-004X767</v>
      </c>
      <c r="C558" s="126" t="s">
        <v>43</v>
      </c>
      <c r="D558" s="126" t="s">
        <v>43</v>
      </c>
      <c r="E558" s="143" t="s">
        <v>2022</v>
      </c>
      <c r="F558" s="143" t="s">
        <v>2023</v>
      </c>
      <c r="G558" s="126">
        <v>304</v>
      </c>
      <c r="H558" s="126" t="s">
        <v>139</v>
      </c>
      <c r="I558" s="127">
        <v>3.8</v>
      </c>
      <c r="J558" s="127"/>
      <c r="K558" s="127"/>
      <c r="L558" s="127"/>
      <c r="M558" s="144">
        <v>767</v>
      </c>
      <c r="N558" s="129">
        <v>10.42</v>
      </c>
      <c r="O558" s="129"/>
      <c r="P558" s="129"/>
      <c r="Q558" s="130"/>
      <c r="R558" s="131"/>
      <c r="S558" s="131"/>
      <c r="T558" s="132"/>
      <c r="U558" s="132"/>
      <c r="V558" s="132"/>
      <c r="W558" s="132"/>
      <c r="X558" s="132"/>
      <c r="Y558" s="133" t="s">
        <v>1942</v>
      </c>
      <c r="Z558" s="126" t="s">
        <v>64</v>
      </c>
      <c r="AA558" s="134" t="s">
        <v>154</v>
      </c>
      <c r="AB558" s="134" t="s">
        <v>1943</v>
      </c>
      <c r="AC558" s="134"/>
      <c r="AD558" s="134">
        <v>44585</v>
      </c>
      <c r="AE558" s="134"/>
      <c r="AF558" s="134">
        <f t="shared" ca="1" si="45"/>
        <v>44963</v>
      </c>
      <c r="AG558" s="126">
        <f t="shared" ca="1" si="46"/>
        <v>378</v>
      </c>
      <c r="AH558" s="126" t="str">
        <f t="shared" si="47"/>
        <v/>
      </c>
      <c r="AI558" s="134"/>
      <c r="AJ558" s="143" t="s">
        <v>2024</v>
      </c>
      <c r="AK558" s="129">
        <v>10.42</v>
      </c>
      <c r="AL558" s="129">
        <v>10.43</v>
      </c>
      <c r="AM558" s="129">
        <v>10.454999999999998</v>
      </c>
      <c r="AN558" s="129">
        <v>10.459999999999999</v>
      </c>
      <c r="AO558" s="126" t="str">
        <f t="shared" si="48"/>
        <v/>
      </c>
      <c r="AR558" s="99" t="s">
        <v>136</v>
      </c>
    </row>
    <row r="559" spans="1:44" s="99" customFormat="1" ht="21" customHeight="1" x14ac:dyDescent="0.35">
      <c r="A559" s="99">
        <v>425</v>
      </c>
      <c r="B559" s="126" t="str">
        <f t="shared" si="44"/>
        <v>RM-304/1D-004X767</v>
      </c>
      <c r="C559" s="126" t="s">
        <v>43</v>
      </c>
      <c r="D559" s="126" t="s">
        <v>43</v>
      </c>
      <c r="E559" s="143" t="s">
        <v>2025</v>
      </c>
      <c r="F559" s="143" t="s">
        <v>2026</v>
      </c>
      <c r="G559" s="126">
        <v>304</v>
      </c>
      <c r="H559" s="126" t="s">
        <v>139</v>
      </c>
      <c r="I559" s="127">
        <v>3.79</v>
      </c>
      <c r="J559" s="127"/>
      <c r="K559" s="127"/>
      <c r="L559" s="127"/>
      <c r="M559" s="144">
        <v>767</v>
      </c>
      <c r="N559" s="129">
        <v>10.43</v>
      </c>
      <c r="O559" s="129"/>
      <c r="P559" s="129"/>
      <c r="Q559" s="130"/>
      <c r="R559" s="131"/>
      <c r="S559" s="131"/>
      <c r="T559" s="132"/>
      <c r="U559" s="132"/>
      <c r="V559" s="132"/>
      <c r="W559" s="132"/>
      <c r="X559" s="132"/>
      <c r="Y559" s="133" t="s">
        <v>1942</v>
      </c>
      <c r="Z559" s="126" t="s">
        <v>64</v>
      </c>
      <c r="AA559" s="134" t="s">
        <v>154</v>
      </c>
      <c r="AB559" s="134" t="s">
        <v>1943</v>
      </c>
      <c r="AC559" s="134"/>
      <c r="AD559" s="134">
        <v>44585</v>
      </c>
      <c r="AE559" s="134"/>
      <c r="AF559" s="134">
        <f t="shared" ca="1" si="45"/>
        <v>44963</v>
      </c>
      <c r="AG559" s="126">
        <f t="shared" ca="1" si="46"/>
        <v>378</v>
      </c>
      <c r="AH559" s="126" t="str">
        <f t="shared" si="47"/>
        <v/>
      </c>
      <c r="AI559" s="134"/>
      <c r="AJ559" s="143" t="s">
        <v>2024</v>
      </c>
      <c r="AK559" s="129">
        <v>10.43</v>
      </c>
      <c r="AL559" s="129">
        <v>10.44</v>
      </c>
      <c r="AM559" s="129">
        <v>10.464999999999998</v>
      </c>
      <c r="AN559" s="129">
        <v>10.469999999999999</v>
      </c>
      <c r="AO559" s="126" t="str">
        <f t="shared" si="48"/>
        <v/>
      </c>
      <c r="AR559" s="99" t="s">
        <v>136</v>
      </c>
    </row>
    <row r="560" spans="1:44" s="99" customFormat="1" ht="21" customHeight="1" x14ac:dyDescent="0.35">
      <c r="A560" s="99">
        <v>425</v>
      </c>
      <c r="B560" s="126" t="str">
        <f t="shared" si="44"/>
        <v>RM-304/1D-004X767</v>
      </c>
      <c r="C560" s="126" t="s">
        <v>43</v>
      </c>
      <c r="D560" s="126" t="s">
        <v>43</v>
      </c>
      <c r="E560" s="143" t="s">
        <v>2027</v>
      </c>
      <c r="F560" s="143" t="s">
        <v>2028</v>
      </c>
      <c r="G560" s="126">
        <v>304</v>
      </c>
      <c r="H560" s="126" t="s">
        <v>139</v>
      </c>
      <c r="I560" s="127">
        <v>3.8</v>
      </c>
      <c r="J560" s="127"/>
      <c r="K560" s="127"/>
      <c r="L560" s="127"/>
      <c r="M560" s="144">
        <v>767</v>
      </c>
      <c r="N560" s="129">
        <v>10.4</v>
      </c>
      <c r="O560" s="129"/>
      <c r="P560" s="129"/>
      <c r="Q560" s="130"/>
      <c r="R560" s="131"/>
      <c r="S560" s="131"/>
      <c r="T560" s="132"/>
      <c r="U560" s="132"/>
      <c r="V560" s="132"/>
      <c r="W560" s="132"/>
      <c r="X560" s="132"/>
      <c r="Y560" s="133" t="s">
        <v>1942</v>
      </c>
      <c r="Z560" s="126" t="s">
        <v>64</v>
      </c>
      <c r="AA560" s="134" t="s">
        <v>154</v>
      </c>
      <c r="AB560" s="134" t="s">
        <v>1943</v>
      </c>
      <c r="AC560" s="134"/>
      <c r="AD560" s="134">
        <v>44585</v>
      </c>
      <c r="AE560" s="134"/>
      <c r="AF560" s="134">
        <f t="shared" ca="1" si="45"/>
        <v>44963</v>
      </c>
      <c r="AG560" s="126">
        <f t="shared" ca="1" si="46"/>
        <v>378</v>
      </c>
      <c r="AH560" s="126" t="str">
        <f t="shared" si="47"/>
        <v/>
      </c>
      <c r="AI560" s="134"/>
      <c r="AJ560" s="143" t="s">
        <v>2029</v>
      </c>
      <c r="AK560" s="129">
        <v>10.4</v>
      </c>
      <c r="AL560" s="129">
        <v>10.41</v>
      </c>
      <c r="AM560" s="129">
        <v>10.434999999999999</v>
      </c>
      <c r="AN560" s="129">
        <v>10.44</v>
      </c>
      <c r="AO560" s="126" t="str">
        <f t="shared" si="48"/>
        <v/>
      </c>
      <c r="AR560" s="99" t="s">
        <v>136</v>
      </c>
    </row>
    <row r="561" spans="1:44" s="99" customFormat="1" ht="21" customHeight="1" x14ac:dyDescent="0.35">
      <c r="A561" s="99">
        <v>425</v>
      </c>
      <c r="B561" s="126" t="str">
        <f t="shared" si="44"/>
        <v>RM-304/1D-004X766</v>
      </c>
      <c r="C561" s="126" t="s">
        <v>43</v>
      </c>
      <c r="D561" s="126" t="s">
        <v>43</v>
      </c>
      <c r="E561" s="143" t="s">
        <v>2030</v>
      </c>
      <c r="F561" s="143" t="s">
        <v>2031</v>
      </c>
      <c r="G561" s="126">
        <v>304</v>
      </c>
      <c r="H561" s="126" t="s">
        <v>139</v>
      </c>
      <c r="I561" s="127">
        <v>3.81</v>
      </c>
      <c r="J561" s="127"/>
      <c r="K561" s="127"/>
      <c r="L561" s="127"/>
      <c r="M561" s="144">
        <v>766</v>
      </c>
      <c r="N561" s="129">
        <v>10.395</v>
      </c>
      <c r="O561" s="129"/>
      <c r="P561" s="129"/>
      <c r="Q561" s="130"/>
      <c r="R561" s="131"/>
      <c r="S561" s="131"/>
      <c r="T561" s="132"/>
      <c r="U561" s="132"/>
      <c r="V561" s="132"/>
      <c r="W561" s="132"/>
      <c r="X561" s="132"/>
      <c r="Y561" s="133" t="s">
        <v>1942</v>
      </c>
      <c r="Z561" s="126" t="s">
        <v>64</v>
      </c>
      <c r="AA561" s="134" t="s">
        <v>154</v>
      </c>
      <c r="AB561" s="134" t="s">
        <v>1943</v>
      </c>
      <c r="AC561" s="134"/>
      <c r="AD561" s="134">
        <v>44585</v>
      </c>
      <c r="AE561" s="134"/>
      <c r="AF561" s="134">
        <f t="shared" ca="1" si="45"/>
        <v>44963</v>
      </c>
      <c r="AG561" s="126">
        <f t="shared" ca="1" si="46"/>
        <v>378</v>
      </c>
      <c r="AH561" s="126" t="str">
        <f t="shared" si="47"/>
        <v/>
      </c>
      <c r="AI561" s="134"/>
      <c r="AJ561" s="143" t="s">
        <v>2029</v>
      </c>
      <c r="AK561" s="129">
        <v>10.395</v>
      </c>
      <c r="AL561" s="129">
        <v>10.404999999999999</v>
      </c>
      <c r="AM561" s="129">
        <v>10.429999999999998</v>
      </c>
      <c r="AN561" s="129">
        <v>10.434999999999999</v>
      </c>
      <c r="AO561" s="126" t="str">
        <f t="shared" si="48"/>
        <v/>
      </c>
      <c r="AR561" s="99" t="s">
        <v>136</v>
      </c>
    </row>
    <row r="562" spans="1:44" s="99" customFormat="1" ht="21" customHeight="1" x14ac:dyDescent="0.35">
      <c r="A562" s="99">
        <v>425</v>
      </c>
      <c r="B562" s="126" t="str">
        <f t="shared" si="44"/>
        <v>RM-304/1D-004X767</v>
      </c>
      <c r="C562" s="126" t="s">
        <v>43</v>
      </c>
      <c r="D562" s="126" t="s">
        <v>43</v>
      </c>
      <c r="E562" s="143" t="s">
        <v>2032</v>
      </c>
      <c r="F562" s="143" t="s">
        <v>2033</v>
      </c>
      <c r="G562" s="126">
        <v>304</v>
      </c>
      <c r="H562" s="126" t="s">
        <v>139</v>
      </c>
      <c r="I562" s="127">
        <v>3.8</v>
      </c>
      <c r="J562" s="127"/>
      <c r="K562" s="127"/>
      <c r="L562" s="127"/>
      <c r="M562" s="144">
        <v>767</v>
      </c>
      <c r="N562" s="129">
        <v>10.43</v>
      </c>
      <c r="O562" s="129"/>
      <c r="P562" s="129"/>
      <c r="Q562" s="130"/>
      <c r="R562" s="131"/>
      <c r="S562" s="131"/>
      <c r="T562" s="132"/>
      <c r="U562" s="132"/>
      <c r="V562" s="132"/>
      <c r="W562" s="132"/>
      <c r="X562" s="132"/>
      <c r="Y562" s="133" t="s">
        <v>1942</v>
      </c>
      <c r="Z562" s="126" t="s">
        <v>64</v>
      </c>
      <c r="AA562" s="134" t="s">
        <v>154</v>
      </c>
      <c r="AB562" s="134" t="s">
        <v>1943</v>
      </c>
      <c r="AC562" s="134"/>
      <c r="AD562" s="134">
        <v>44585</v>
      </c>
      <c r="AE562" s="134"/>
      <c r="AF562" s="134">
        <f t="shared" ca="1" si="45"/>
        <v>44963</v>
      </c>
      <c r="AG562" s="126">
        <f t="shared" ca="1" si="46"/>
        <v>378</v>
      </c>
      <c r="AH562" s="126" t="str">
        <f t="shared" si="47"/>
        <v/>
      </c>
      <c r="AI562" s="134"/>
      <c r="AJ562" s="143" t="s">
        <v>2034</v>
      </c>
      <c r="AK562" s="129">
        <v>10.43</v>
      </c>
      <c r="AL562" s="129">
        <v>10.44</v>
      </c>
      <c r="AM562" s="129">
        <v>10.464999999999998</v>
      </c>
      <c r="AN562" s="129">
        <v>10.469999999999999</v>
      </c>
      <c r="AO562" s="126" t="str">
        <f t="shared" si="48"/>
        <v/>
      </c>
      <c r="AR562" s="99" t="s">
        <v>136</v>
      </c>
    </row>
    <row r="563" spans="1:44" s="99" customFormat="1" ht="21" customHeight="1" x14ac:dyDescent="0.35">
      <c r="A563" s="99">
        <v>425</v>
      </c>
      <c r="B563" s="126" t="str">
        <f t="shared" si="44"/>
        <v>RM-304/1D-004X768</v>
      </c>
      <c r="C563" s="126" t="s">
        <v>43</v>
      </c>
      <c r="D563" s="126" t="s">
        <v>43</v>
      </c>
      <c r="E563" s="143" t="s">
        <v>2035</v>
      </c>
      <c r="F563" s="143" t="s">
        <v>2036</v>
      </c>
      <c r="G563" s="126">
        <v>304</v>
      </c>
      <c r="H563" s="126" t="s">
        <v>139</v>
      </c>
      <c r="I563" s="127">
        <v>3.79</v>
      </c>
      <c r="J563" s="127"/>
      <c r="K563" s="127"/>
      <c r="L563" s="127"/>
      <c r="M563" s="144">
        <v>768</v>
      </c>
      <c r="N563" s="129">
        <v>10.455</v>
      </c>
      <c r="O563" s="129"/>
      <c r="P563" s="129"/>
      <c r="Q563" s="130"/>
      <c r="R563" s="131"/>
      <c r="S563" s="131"/>
      <c r="T563" s="132"/>
      <c r="U563" s="132"/>
      <c r="V563" s="132"/>
      <c r="W563" s="132"/>
      <c r="X563" s="132"/>
      <c r="Y563" s="133" t="s">
        <v>1942</v>
      </c>
      <c r="Z563" s="126" t="s">
        <v>64</v>
      </c>
      <c r="AA563" s="134" t="s">
        <v>154</v>
      </c>
      <c r="AB563" s="134" t="s">
        <v>1943</v>
      </c>
      <c r="AC563" s="134"/>
      <c r="AD563" s="134">
        <v>44585</v>
      </c>
      <c r="AE563" s="134"/>
      <c r="AF563" s="134">
        <f t="shared" ca="1" si="45"/>
        <v>44963</v>
      </c>
      <c r="AG563" s="126">
        <f t="shared" ca="1" si="46"/>
        <v>378</v>
      </c>
      <c r="AH563" s="126" t="str">
        <f t="shared" si="47"/>
        <v/>
      </c>
      <c r="AI563" s="134"/>
      <c r="AJ563" s="143" t="s">
        <v>2034</v>
      </c>
      <c r="AK563" s="129">
        <v>10.455</v>
      </c>
      <c r="AL563" s="129">
        <v>10.465</v>
      </c>
      <c r="AM563" s="129">
        <v>10.489999999999998</v>
      </c>
      <c r="AN563" s="129">
        <v>10.494999999999999</v>
      </c>
      <c r="AO563" s="126" t="str">
        <f t="shared" si="48"/>
        <v/>
      </c>
      <c r="AR563" s="99" t="s">
        <v>136</v>
      </c>
    </row>
    <row r="564" spans="1:44" s="99" customFormat="1" ht="21" customHeight="1" x14ac:dyDescent="0.35">
      <c r="A564" s="99">
        <v>425</v>
      </c>
      <c r="B564" s="126" t="str">
        <f t="shared" si="44"/>
        <v>RM-304L/1D-004X768</v>
      </c>
      <c r="C564" s="126" t="s">
        <v>43</v>
      </c>
      <c r="D564" s="126" t="s">
        <v>43</v>
      </c>
      <c r="E564" s="143" t="s">
        <v>2037</v>
      </c>
      <c r="F564" s="143" t="s">
        <v>2038</v>
      </c>
      <c r="G564" s="126" t="s">
        <v>230</v>
      </c>
      <c r="H564" s="126" t="s">
        <v>139</v>
      </c>
      <c r="I564" s="127">
        <v>3.76</v>
      </c>
      <c r="J564" s="127"/>
      <c r="K564" s="127"/>
      <c r="L564" s="127"/>
      <c r="M564" s="144">
        <v>768</v>
      </c>
      <c r="N564" s="129">
        <v>10.119999999999999</v>
      </c>
      <c r="O564" s="129"/>
      <c r="P564" s="129"/>
      <c r="Q564" s="130"/>
      <c r="R564" s="131"/>
      <c r="S564" s="131"/>
      <c r="T564" s="132"/>
      <c r="U564" s="132"/>
      <c r="V564" s="132"/>
      <c r="W564" s="132"/>
      <c r="X564" s="132"/>
      <c r="Y564" s="133" t="s">
        <v>1942</v>
      </c>
      <c r="Z564" s="126" t="s">
        <v>64</v>
      </c>
      <c r="AA564" s="134" t="s">
        <v>154</v>
      </c>
      <c r="AB564" s="134" t="s">
        <v>1943</v>
      </c>
      <c r="AC564" s="134"/>
      <c r="AD564" s="134">
        <v>44585</v>
      </c>
      <c r="AE564" s="134"/>
      <c r="AF564" s="134">
        <f t="shared" ca="1" si="45"/>
        <v>44963</v>
      </c>
      <c r="AG564" s="126">
        <f t="shared" ca="1" si="46"/>
        <v>378</v>
      </c>
      <c r="AH564" s="126" t="str">
        <f t="shared" si="47"/>
        <v/>
      </c>
      <c r="AI564" s="134"/>
      <c r="AJ564" s="143" t="s">
        <v>2039</v>
      </c>
      <c r="AK564" s="129">
        <v>10.119999999999999</v>
      </c>
      <c r="AL564" s="129">
        <v>10.130000000000001</v>
      </c>
      <c r="AM564" s="129">
        <v>10.154999999999999</v>
      </c>
      <c r="AN564" s="129">
        <v>10.16</v>
      </c>
      <c r="AO564" s="126" t="str">
        <f t="shared" si="48"/>
        <v/>
      </c>
      <c r="AR564" s="99" t="s">
        <v>136</v>
      </c>
    </row>
    <row r="565" spans="1:44" s="99" customFormat="1" ht="21" customHeight="1" x14ac:dyDescent="0.35">
      <c r="A565" s="99">
        <v>425</v>
      </c>
      <c r="B565" s="126" t="str">
        <f t="shared" si="44"/>
        <v>RM-304L/1D-004X767</v>
      </c>
      <c r="C565" s="126" t="s">
        <v>43</v>
      </c>
      <c r="D565" s="126" t="s">
        <v>43</v>
      </c>
      <c r="E565" s="143" t="s">
        <v>2040</v>
      </c>
      <c r="F565" s="143" t="s">
        <v>2041</v>
      </c>
      <c r="G565" s="126" t="s">
        <v>230</v>
      </c>
      <c r="H565" s="126" t="s">
        <v>139</v>
      </c>
      <c r="I565" s="127">
        <v>3.76</v>
      </c>
      <c r="J565" s="127"/>
      <c r="K565" s="127"/>
      <c r="L565" s="127"/>
      <c r="M565" s="144">
        <v>767</v>
      </c>
      <c r="N565" s="129">
        <v>10.115</v>
      </c>
      <c r="O565" s="129"/>
      <c r="P565" s="129"/>
      <c r="Q565" s="130"/>
      <c r="R565" s="131"/>
      <c r="S565" s="131"/>
      <c r="T565" s="132"/>
      <c r="U565" s="132"/>
      <c r="V565" s="132"/>
      <c r="W565" s="132"/>
      <c r="X565" s="132"/>
      <c r="Y565" s="133" t="s">
        <v>1942</v>
      </c>
      <c r="Z565" s="126" t="s">
        <v>64</v>
      </c>
      <c r="AA565" s="134" t="s">
        <v>154</v>
      </c>
      <c r="AB565" s="134" t="s">
        <v>1943</v>
      </c>
      <c r="AC565" s="134"/>
      <c r="AD565" s="134">
        <v>44585</v>
      </c>
      <c r="AE565" s="134"/>
      <c r="AF565" s="134">
        <f t="shared" ca="1" si="45"/>
        <v>44963</v>
      </c>
      <c r="AG565" s="126">
        <f t="shared" ca="1" si="46"/>
        <v>378</v>
      </c>
      <c r="AH565" s="126" t="str">
        <f t="shared" si="47"/>
        <v/>
      </c>
      <c r="AI565" s="134"/>
      <c r="AJ565" s="143" t="s">
        <v>2039</v>
      </c>
      <c r="AK565" s="129">
        <v>10.115</v>
      </c>
      <c r="AL565" s="129">
        <v>10.125</v>
      </c>
      <c r="AM565" s="129">
        <v>10.149999999999999</v>
      </c>
      <c r="AN565" s="129">
        <v>10.154999999999999</v>
      </c>
      <c r="AO565" s="126" t="str">
        <f t="shared" si="48"/>
        <v/>
      </c>
      <c r="AR565" s="99" t="s">
        <v>136</v>
      </c>
    </row>
    <row r="566" spans="1:44" s="99" customFormat="1" ht="21" customHeight="1" x14ac:dyDescent="0.35">
      <c r="A566" s="99">
        <v>425</v>
      </c>
      <c r="B566" s="126" t="str">
        <f t="shared" si="44"/>
        <v>RM-304L/1D-004X767</v>
      </c>
      <c r="C566" s="126" t="s">
        <v>43</v>
      </c>
      <c r="D566" s="126" t="s">
        <v>43</v>
      </c>
      <c r="E566" s="143" t="s">
        <v>2042</v>
      </c>
      <c r="F566" s="143" t="s">
        <v>2043</v>
      </c>
      <c r="G566" s="126" t="s">
        <v>230</v>
      </c>
      <c r="H566" s="126" t="s">
        <v>139</v>
      </c>
      <c r="I566" s="127">
        <v>3.88</v>
      </c>
      <c r="J566" s="127"/>
      <c r="K566" s="127"/>
      <c r="L566" s="127"/>
      <c r="M566" s="144">
        <v>767</v>
      </c>
      <c r="N566" s="129">
        <v>10.45</v>
      </c>
      <c r="O566" s="129"/>
      <c r="P566" s="129"/>
      <c r="Q566" s="130"/>
      <c r="R566" s="131"/>
      <c r="S566" s="131"/>
      <c r="T566" s="132"/>
      <c r="U566" s="132"/>
      <c r="V566" s="132"/>
      <c r="W566" s="132"/>
      <c r="X566" s="132"/>
      <c r="Y566" s="133" t="s">
        <v>1942</v>
      </c>
      <c r="Z566" s="126" t="s">
        <v>64</v>
      </c>
      <c r="AA566" s="134" t="s">
        <v>154</v>
      </c>
      <c r="AB566" s="134" t="s">
        <v>1943</v>
      </c>
      <c r="AC566" s="134"/>
      <c r="AD566" s="134">
        <v>44585</v>
      </c>
      <c r="AE566" s="134"/>
      <c r="AF566" s="134">
        <f t="shared" ca="1" si="45"/>
        <v>44963</v>
      </c>
      <c r="AG566" s="126">
        <f t="shared" ca="1" si="46"/>
        <v>378</v>
      </c>
      <c r="AH566" s="126" t="str">
        <f t="shared" si="47"/>
        <v/>
      </c>
      <c r="AI566" s="134"/>
      <c r="AJ566" s="143" t="s">
        <v>2044</v>
      </c>
      <c r="AK566" s="129">
        <v>10.45</v>
      </c>
      <c r="AL566" s="129">
        <v>10.46</v>
      </c>
      <c r="AM566" s="129">
        <v>10.484999999999999</v>
      </c>
      <c r="AN566" s="129">
        <v>10.49</v>
      </c>
      <c r="AO566" s="126" t="str">
        <f t="shared" si="48"/>
        <v/>
      </c>
      <c r="AR566" s="99" t="s">
        <v>136</v>
      </c>
    </row>
    <row r="567" spans="1:44" s="99" customFormat="1" ht="21" customHeight="1" x14ac:dyDescent="0.35">
      <c r="A567" s="99">
        <v>425</v>
      </c>
      <c r="B567" s="126" t="str">
        <f t="shared" si="44"/>
        <v>RM-304L/1D-004X767</v>
      </c>
      <c r="C567" s="126" t="s">
        <v>43</v>
      </c>
      <c r="D567" s="126" t="s">
        <v>43</v>
      </c>
      <c r="E567" s="143" t="s">
        <v>2045</v>
      </c>
      <c r="F567" s="143" t="s">
        <v>2046</v>
      </c>
      <c r="G567" s="126" t="s">
        <v>230</v>
      </c>
      <c r="H567" s="126" t="s">
        <v>139</v>
      </c>
      <c r="I567" s="127">
        <v>3.89</v>
      </c>
      <c r="J567" s="127"/>
      <c r="K567" s="127"/>
      <c r="L567" s="127"/>
      <c r="M567" s="144">
        <v>767</v>
      </c>
      <c r="N567" s="129">
        <v>10.445</v>
      </c>
      <c r="O567" s="129"/>
      <c r="P567" s="129"/>
      <c r="Q567" s="130"/>
      <c r="R567" s="131"/>
      <c r="S567" s="131"/>
      <c r="T567" s="132"/>
      <c r="U567" s="132"/>
      <c r="V567" s="132"/>
      <c r="W567" s="132"/>
      <c r="X567" s="132"/>
      <c r="Y567" s="133" t="s">
        <v>1942</v>
      </c>
      <c r="Z567" s="126" t="s">
        <v>64</v>
      </c>
      <c r="AA567" s="134" t="s">
        <v>154</v>
      </c>
      <c r="AB567" s="134" t="s">
        <v>1943</v>
      </c>
      <c r="AC567" s="134"/>
      <c r="AD567" s="134">
        <v>44585</v>
      </c>
      <c r="AE567" s="134"/>
      <c r="AF567" s="134">
        <f t="shared" ca="1" si="45"/>
        <v>44963</v>
      </c>
      <c r="AG567" s="126">
        <f t="shared" ca="1" si="46"/>
        <v>378</v>
      </c>
      <c r="AH567" s="126" t="str">
        <f t="shared" si="47"/>
        <v/>
      </c>
      <c r="AI567" s="134"/>
      <c r="AJ567" s="143" t="s">
        <v>2044</v>
      </c>
      <c r="AK567" s="129">
        <v>10.445</v>
      </c>
      <c r="AL567" s="129">
        <v>10.455</v>
      </c>
      <c r="AM567" s="129">
        <v>10.479999999999999</v>
      </c>
      <c r="AN567" s="129">
        <v>10.484999999999999</v>
      </c>
      <c r="AO567" s="126" t="str">
        <f t="shared" si="48"/>
        <v/>
      </c>
      <c r="AR567" s="99" t="s">
        <v>136</v>
      </c>
    </row>
    <row r="568" spans="1:44" s="99" customFormat="1" ht="21" customHeight="1" x14ac:dyDescent="0.35">
      <c r="A568" s="99">
        <v>425</v>
      </c>
      <c r="B568" s="126" t="str">
        <f t="shared" si="44"/>
        <v>RM-304/1D-004X767</v>
      </c>
      <c r="C568" s="126" t="s">
        <v>43</v>
      </c>
      <c r="D568" s="126" t="s">
        <v>43</v>
      </c>
      <c r="E568" s="143" t="s">
        <v>2047</v>
      </c>
      <c r="F568" s="143" t="s">
        <v>2048</v>
      </c>
      <c r="G568" s="126">
        <v>304</v>
      </c>
      <c r="H568" s="126" t="s">
        <v>139</v>
      </c>
      <c r="I568" s="127">
        <v>3.79</v>
      </c>
      <c r="J568" s="127"/>
      <c r="K568" s="127"/>
      <c r="L568" s="127"/>
      <c r="M568" s="144">
        <v>767</v>
      </c>
      <c r="N568" s="129">
        <v>10.395</v>
      </c>
      <c r="O568" s="129"/>
      <c r="P568" s="129"/>
      <c r="Q568" s="130"/>
      <c r="R568" s="131"/>
      <c r="S568" s="131"/>
      <c r="T568" s="132"/>
      <c r="U568" s="132"/>
      <c r="V568" s="132"/>
      <c r="W568" s="132"/>
      <c r="X568" s="132"/>
      <c r="Y568" s="133" t="s">
        <v>1942</v>
      </c>
      <c r="Z568" s="126" t="s">
        <v>64</v>
      </c>
      <c r="AA568" s="134" t="s">
        <v>154</v>
      </c>
      <c r="AB568" s="134" t="s">
        <v>1943</v>
      </c>
      <c r="AC568" s="134"/>
      <c r="AD568" s="134">
        <v>44585</v>
      </c>
      <c r="AE568" s="134"/>
      <c r="AF568" s="134">
        <f t="shared" ca="1" si="45"/>
        <v>44963</v>
      </c>
      <c r="AG568" s="126">
        <f t="shared" ca="1" si="46"/>
        <v>378</v>
      </c>
      <c r="AH568" s="126" t="str">
        <f t="shared" si="47"/>
        <v/>
      </c>
      <c r="AI568" s="134"/>
      <c r="AJ568" s="143" t="s">
        <v>2049</v>
      </c>
      <c r="AK568" s="129">
        <v>10.395</v>
      </c>
      <c r="AL568" s="129">
        <v>10.404999999999999</v>
      </c>
      <c r="AM568" s="129">
        <v>10.429999999999998</v>
      </c>
      <c r="AN568" s="129">
        <v>10.434999999999999</v>
      </c>
      <c r="AO568" s="126" t="str">
        <f t="shared" si="48"/>
        <v/>
      </c>
      <c r="AR568" s="99" t="s">
        <v>136</v>
      </c>
    </row>
    <row r="569" spans="1:44" s="99" customFormat="1" ht="21" customHeight="1" x14ac:dyDescent="0.35">
      <c r="A569" s="99">
        <v>425</v>
      </c>
      <c r="B569" s="126" t="str">
        <f t="shared" si="44"/>
        <v>RM-304/1D-004X769</v>
      </c>
      <c r="C569" s="126" t="s">
        <v>43</v>
      </c>
      <c r="D569" s="126" t="s">
        <v>43</v>
      </c>
      <c r="E569" s="143" t="s">
        <v>2050</v>
      </c>
      <c r="F569" s="143" t="s">
        <v>2051</v>
      </c>
      <c r="G569" s="126">
        <v>304</v>
      </c>
      <c r="H569" s="126" t="s">
        <v>139</v>
      </c>
      <c r="I569" s="127">
        <v>3.79</v>
      </c>
      <c r="J569" s="127"/>
      <c r="K569" s="127"/>
      <c r="L569" s="127"/>
      <c r="M569" s="144">
        <v>769</v>
      </c>
      <c r="N569" s="129">
        <v>10.414999999999999</v>
      </c>
      <c r="O569" s="129"/>
      <c r="P569" s="129"/>
      <c r="Q569" s="130"/>
      <c r="R569" s="131"/>
      <c r="S569" s="131"/>
      <c r="T569" s="132"/>
      <c r="U569" s="132"/>
      <c r="V569" s="132"/>
      <c r="W569" s="132"/>
      <c r="X569" s="132"/>
      <c r="Y569" s="133" t="s">
        <v>1942</v>
      </c>
      <c r="Z569" s="126" t="s">
        <v>64</v>
      </c>
      <c r="AA569" s="134" t="s">
        <v>154</v>
      </c>
      <c r="AB569" s="134" t="s">
        <v>1943</v>
      </c>
      <c r="AC569" s="134"/>
      <c r="AD569" s="134">
        <v>44585</v>
      </c>
      <c r="AE569" s="134"/>
      <c r="AF569" s="134">
        <f t="shared" ca="1" si="45"/>
        <v>44963</v>
      </c>
      <c r="AG569" s="126">
        <f t="shared" ca="1" si="46"/>
        <v>378</v>
      </c>
      <c r="AH569" s="126" t="str">
        <f t="shared" si="47"/>
        <v/>
      </c>
      <c r="AI569" s="134"/>
      <c r="AJ569" s="143" t="s">
        <v>2049</v>
      </c>
      <c r="AK569" s="129">
        <v>10.414999999999999</v>
      </c>
      <c r="AL569" s="129">
        <v>10.425000000000001</v>
      </c>
      <c r="AM569" s="129">
        <v>10.45</v>
      </c>
      <c r="AN569" s="129">
        <v>10.455</v>
      </c>
      <c r="AO569" s="126" t="str">
        <f t="shared" si="48"/>
        <v/>
      </c>
      <c r="AR569" s="99" t="s">
        <v>136</v>
      </c>
    </row>
    <row r="570" spans="1:44" s="99" customFormat="1" ht="21" customHeight="1" x14ac:dyDescent="0.35">
      <c r="A570" s="99">
        <v>425</v>
      </c>
      <c r="B570" s="126" t="str">
        <f t="shared" ref="B570:B633" si="49">IF(C570="HOLD RM","HOLD RM",IF(C570="BAL","WIP",IF(C570="HOLD SLT","HOLD SLT",IF(C570="MILL","RM",IF(C570="RE SLT","WIP",IF(C570="RM","RM",IF(C570="RM BAL","RM",IF(C570="RM SLT","RM",IF(C570="RR","WIP",IF(C570="SKP","WIP",IF(C570="SLT","WIP",IF(C570="CTL","WIP",IF(C570="RM SLT RUST","RM SLT RUST",0)))))))))))))&amp;"-"&amp;G570&amp;"/"&amp;IF(H570="2B","2B",IF(H570="NO.1","1D",IF(H570="FH","FH",0)))&amp;"-"&amp;IF(J570="",(TEXT(I570,"0.00")),TEXT(J570,"0.00"))&amp;"X"&amp;M570</f>
        <v>RM-304/1D-003X767</v>
      </c>
      <c r="C570" s="126" t="s">
        <v>43</v>
      </c>
      <c r="D570" s="126" t="s">
        <v>43</v>
      </c>
      <c r="E570" s="143" t="s">
        <v>2052</v>
      </c>
      <c r="F570" s="143" t="s">
        <v>2053</v>
      </c>
      <c r="G570" s="126">
        <v>304</v>
      </c>
      <c r="H570" s="126" t="s">
        <v>139</v>
      </c>
      <c r="I570" s="127">
        <v>3.2</v>
      </c>
      <c r="J570" s="127"/>
      <c r="K570" s="127"/>
      <c r="L570" s="127"/>
      <c r="M570" s="144">
        <v>767</v>
      </c>
      <c r="N570" s="129">
        <v>10.324999999999999</v>
      </c>
      <c r="O570" s="129"/>
      <c r="P570" s="129"/>
      <c r="Q570" s="130"/>
      <c r="R570" s="131"/>
      <c r="S570" s="131"/>
      <c r="T570" s="132"/>
      <c r="U570" s="132"/>
      <c r="V570" s="132"/>
      <c r="W570" s="132"/>
      <c r="X570" s="132"/>
      <c r="Y570" s="133" t="s">
        <v>1942</v>
      </c>
      <c r="Z570" s="126" t="s">
        <v>64</v>
      </c>
      <c r="AA570" s="134" t="s">
        <v>154</v>
      </c>
      <c r="AB570" s="134" t="s">
        <v>1943</v>
      </c>
      <c r="AC570" s="134"/>
      <c r="AD570" s="134">
        <v>44585</v>
      </c>
      <c r="AE570" s="134"/>
      <c r="AF570" s="134">
        <f t="shared" ca="1" si="45"/>
        <v>44963</v>
      </c>
      <c r="AG570" s="126">
        <f t="shared" ca="1" si="46"/>
        <v>378</v>
      </c>
      <c r="AH570" s="126" t="str">
        <f t="shared" si="47"/>
        <v/>
      </c>
      <c r="AI570" s="134"/>
      <c r="AJ570" s="143" t="s">
        <v>2054</v>
      </c>
      <c r="AK570" s="129">
        <v>10.324999999999999</v>
      </c>
      <c r="AL570" s="129">
        <v>10.335000000000001</v>
      </c>
      <c r="AM570" s="129">
        <v>10.36</v>
      </c>
      <c r="AN570" s="129">
        <v>10.365</v>
      </c>
      <c r="AO570" s="126" t="str">
        <f t="shared" si="48"/>
        <v/>
      </c>
      <c r="AR570" s="99" t="s">
        <v>136</v>
      </c>
    </row>
    <row r="571" spans="1:44" s="99" customFormat="1" ht="21" customHeight="1" x14ac:dyDescent="0.35">
      <c r="A571" s="99">
        <v>425</v>
      </c>
      <c r="B571" s="126" t="str">
        <f t="shared" si="49"/>
        <v>RM-304/1D-003X768</v>
      </c>
      <c r="C571" s="126" t="s">
        <v>43</v>
      </c>
      <c r="D571" s="126" t="s">
        <v>43</v>
      </c>
      <c r="E571" s="143" t="s">
        <v>2055</v>
      </c>
      <c r="F571" s="143" t="s">
        <v>2056</v>
      </c>
      <c r="G571" s="126">
        <v>304</v>
      </c>
      <c r="H571" s="126" t="s">
        <v>139</v>
      </c>
      <c r="I571" s="127">
        <v>3.2</v>
      </c>
      <c r="J571" s="127"/>
      <c r="K571" s="127"/>
      <c r="L571" s="127"/>
      <c r="M571" s="144">
        <v>768</v>
      </c>
      <c r="N571" s="129">
        <v>10.37</v>
      </c>
      <c r="O571" s="129"/>
      <c r="P571" s="129"/>
      <c r="Q571" s="130"/>
      <c r="R571" s="131"/>
      <c r="S571" s="131"/>
      <c r="T571" s="132"/>
      <c r="U571" s="132"/>
      <c r="V571" s="132"/>
      <c r="W571" s="132"/>
      <c r="X571" s="132"/>
      <c r="Y571" s="133" t="s">
        <v>1942</v>
      </c>
      <c r="Z571" s="126" t="s">
        <v>64</v>
      </c>
      <c r="AA571" s="134" t="s">
        <v>154</v>
      </c>
      <c r="AB571" s="134" t="s">
        <v>1943</v>
      </c>
      <c r="AC571" s="134"/>
      <c r="AD571" s="134">
        <v>44585</v>
      </c>
      <c r="AE571" s="134"/>
      <c r="AF571" s="134">
        <f t="shared" ca="1" si="45"/>
        <v>44963</v>
      </c>
      <c r="AG571" s="126">
        <f t="shared" ca="1" si="46"/>
        <v>378</v>
      </c>
      <c r="AH571" s="126" t="str">
        <f t="shared" si="47"/>
        <v/>
      </c>
      <c r="AI571" s="134"/>
      <c r="AJ571" s="143" t="s">
        <v>2054</v>
      </c>
      <c r="AK571" s="129">
        <v>10.37</v>
      </c>
      <c r="AL571" s="129">
        <v>10.38</v>
      </c>
      <c r="AM571" s="129">
        <v>10.404999999999999</v>
      </c>
      <c r="AN571" s="129">
        <v>10.41</v>
      </c>
      <c r="AO571" s="126" t="str">
        <f t="shared" si="48"/>
        <v/>
      </c>
      <c r="AR571" s="99" t="s">
        <v>136</v>
      </c>
    </row>
    <row r="572" spans="1:44" s="99" customFormat="1" ht="21" customHeight="1" x14ac:dyDescent="0.35">
      <c r="A572" s="99">
        <v>425</v>
      </c>
      <c r="B572" s="126" t="str">
        <f t="shared" si="49"/>
        <v>RM-304L/1D-004X767</v>
      </c>
      <c r="C572" s="126" t="s">
        <v>43</v>
      </c>
      <c r="D572" s="126" t="s">
        <v>43</v>
      </c>
      <c r="E572" s="143" t="s">
        <v>2057</v>
      </c>
      <c r="F572" s="143" t="s">
        <v>2058</v>
      </c>
      <c r="G572" s="126" t="s">
        <v>230</v>
      </c>
      <c r="H572" s="126" t="s">
        <v>139</v>
      </c>
      <c r="I572" s="127">
        <v>3.89</v>
      </c>
      <c r="J572" s="127"/>
      <c r="K572" s="127"/>
      <c r="L572" s="127"/>
      <c r="M572" s="144">
        <v>767</v>
      </c>
      <c r="N572" s="129">
        <v>10.475</v>
      </c>
      <c r="O572" s="129"/>
      <c r="P572" s="129"/>
      <c r="Q572" s="130"/>
      <c r="R572" s="131"/>
      <c r="S572" s="131"/>
      <c r="T572" s="132"/>
      <c r="U572" s="132"/>
      <c r="V572" s="132"/>
      <c r="W572" s="132"/>
      <c r="X572" s="132"/>
      <c r="Y572" s="133" t="s">
        <v>1942</v>
      </c>
      <c r="Z572" s="126" t="s">
        <v>64</v>
      </c>
      <c r="AA572" s="134" t="s">
        <v>154</v>
      </c>
      <c r="AB572" s="134" t="s">
        <v>1943</v>
      </c>
      <c r="AC572" s="134"/>
      <c r="AD572" s="134">
        <v>44585</v>
      </c>
      <c r="AE572" s="134"/>
      <c r="AF572" s="134">
        <f t="shared" ca="1" si="45"/>
        <v>44963</v>
      </c>
      <c r="AG572" s="126">
        <f t="shared" ca="1" si="46"/>
        <v>378</v>
      </c>
      <c r="AH572" s="126" t="str">
        <f t="shared" si="47"/>
        <v/>
      </c>
      <c r="AI572" s="134"/>
      <c r="AJ572" s="143" t="s">
        <v>2059</v>
      </c>
      <c r="AK572" s="129">
        <v>10.475</v>
      </c>
      <c r="AL572" s="129">
        <v>10.484999999999999</v>
      </c>
      <c r="AM572" s="129">
        <v>10.509999999999998</v>
      </c>
      <c r="AN572" s="129">
        <v>10.514999999999999</v>
      </c>
      <c r="AO572" s="126" t="str">
        <f t="shared" si="48"/>
        <v/>
      </c>
      <c r="AR572" s="99" t="s">
        <v>136</v>
      </c>
    </row>
    <row r="573" spans="1:44" s="99" customFormat="1" ht="21" customHeight="1" x14ac:dyDescent="0.35">
      <c r="A573" s="99">
        <v>425</v>
      </c>
      <c r="B573" s="126" t="str">
        <f t="shared" si="49"/>
        <v>RM-304L/1D-004X767</v>
      </c>
      <c r="C573" s="126" t="s">
        <v>43</v>
      </c>
      <c r="D573" s="126" t="s">
        <v>43</v>
      </c>
      <c r="E573" s="143" t="s">
        <v>2060</v>
      </c>
      <c r="F573" s="143" t="s">
        <v>2061</v>
      </c>
      <c r="G573" s="126" t="s">
        <v>230</v>
      </c>
      <c r="H573" s="126" t="s">
        <v>139</v>
      </c>
      <c r="I573" s="127">
        <v>3.89</v>
      </c>
      <c r="J573" s="127"/>
      <c r="K573" s="127"/>
      <c r="L573" s="127"/>
      <c r="M573" s="144">
        <v>767</v>
      </c>
      <c r="N573" s="129">
        <v>10.475</v>
      </c>
      <c r="O573" s="129"/>
      <c r="P573" s="129"/>
      <c r="Q573" s="130"/>
      <c r="R573" s="131"/>
      <c r="S573" s="131"/>
      <c r="T573" s="132"/>
      <c r="U573" s="132"/>
      <c r="V573" s="132"/>
      <c r="W573" s="132"/>
      <c r="X573" s="132"/>
      <c r="Y573" s="133" t="s">
        <v>1942</v>
      </c>
      <c r="Z573" s="126" t="s">
        <v>64</v>
      </c>
      <c r="AA573" s="134" t="s">
        <v>154</v>
      </c>
      <c r="AB573" s="134" t="s">
        <v>1943</v>
      </c>
      <c r="AC573" s="134"/>
      <c r="AD573" s="134">
        <v>44585</v>
      </c>
      <c r="AE573" s="134"/>
      <c r="AF573" s="134">
        <f t="shared" ca="1" si="45"/>
        <v>44963</v>
      </c>
      <c r="AG573" s="126">
        <f t="shared" ca="1" si="46"/>
        <v>378</v>
      </c>
      <c r="AH573" s="126" t="str">
        <f t="shared" si="47"/>
        <v/>
      </c>
      <c r="AI573" s="134"/>
      <c r="AJ573" s="143" t="s">
        <v>2059</v>
      </c>
      <c r="AK573" s="129">
        <v>10.475</v>
      </c>
      <c r="AL573" s="129">
        <v>10.484999999999999</v>
      </c>
      <c r="AM573" s="129">
        <v>10.509999999999998</v>
      </c>
      <c r="AN573" s="129">
        <v>10.514999999999999</v>
      </c>
      <c r="AO573" s="126" t="str">
        <f t="shared" si="48"/>
        <v/>
      </c>
      <c r="AR573" s="99" t="s">
        <v>136</v>
      </c>
    </row>
    <row r="574" spans="1:44" s="99" customFormat="1" ht="21" customHeight="1" x14ac:dyDescent="0.35">
      <c r="A574" s="99">
        <v>425</v>
      </c>
      <c r="B574" s="126" t="str">
        <f t="shared" si="49"/>
        <v>RM-304L/1D-004X767</v>
      </c>
      <c r="C574" s="126" t="s">
        <v>43</v>
      </c>
      <c r="D574" s="126" t="s">
        <v>43</v>
      </c>
      <c r="E574" s="143" t="s">
        <v>2062</v>
      </c>
      <c r="F574" s="143" t="s">
        <v>2063</v>
      </c>
      <c r="G574" s="126" t="s">
        <v>230</v>
      </c>
      <c r="H574" s="126" t="s">
        <v>139</v>
      </c>
      <c r="I574" s="127">
        <v>3.89</v>
      </c>
      <c r="J574" s="127"/>
      <c r="K574" s="127"/>
      <c r="L574" s="127"/>
      <c r="M574" s="144">
        <v>767</v>
      </c>
      <c r="N574" s="129">
        <v>10.404999999999999</v>
      </c>
      <c r="O574" s="129"/>
      <c r="P574" s="129"/>
      <c r="Q574" s="130"/>
      <c r="R574" s="131"/>
      <c r="S574" s="131"/>
      <c r="T574" s="132"/>
      <c r="U574" s="132"/>
      <c r="V574" s="132"/>
      <c r="W574" s="132"/>
      <c r="X574" s="132"/>
      <c r="Y574" s="133" t="s">
        <v>1942</v>
      </c>
      <c r="Z574" s="126" t="s">
        <v>64</v>
      </c>
      <c r="AA574" s="134" t="s">
        <v>154</v>
      </c>
      <c r="AB574" s="134" t="s">
        <v>1943</v>
      </c>
      <c r="AC574" s="134"/>
      <c r="AD574" s="134">
        <v>44585</v>
      </c>
      <c r="AE574" s="134"/>
      <c r="AF574" s="134">
        <f t="shared" ca="1" si="45"/>
        <v>44963</v>
      </c>
      <c r="AG574" s="126">
        <f t="shared" ca="1" si="46"/>
        <v>378</v>
      </c>
      <c r="AH574" s="126" t="str">
        <f t="shared" si="47"/>
        <v/>
      </c>
      <c r="AI574" s="134"/>
      <c r="AJ574" s="143" t="s">
        <v>2064</v>
      </c>
      <c r="AK574" s="129">
        <v>10.404999999999999</v>
      </c>
      <c r="AL574" s="129">
        <v>10.414999999999999</v>
      </c>
      <c r="AM574" s="129">
        <v>10.439999999999998</v>
      </c>
      <c r="AN574" s="129">
        <v>10.444999999999999</v>
      </c>
      <c r="AO574" s="126" t="str">
        <f t="shared" si="48"/>
        <v/>
      </c>
      <c r="AR574" s="99" t="s">
        <v>136</v>
      </c>
    </row>
    <row r="575" spans="1:44" s="99" customFormat="1" ht="21" customHeight="1" x14ac:dyDescent="0.35">
      <c r="A575" s="99">
        <v>425</v>
      </c>
      <c r="B575" s="126" t="str">
        <f t="shared" si="49"/>
        <v>RM-304L/1D-004X769</v>
      </c>
      <c r="C575" s="126" t="s">
        <v>43</v>
      </c>
      <c r="D575" s="126" t="s">
        <v>43</v>
      </c>
      <c r="E575" s="143" t="s">
        <v>2065</v>
      </c>
      <c r="F575" s="143" t="s">
        <v>2066</v>
      </c>
      <c r="G575" s="126" t="s">
        <v>230</v>
      </c>
      <c r="H575" s="126" t="s">
        <v>139</v>
      </c>
      <c r="I575" s="127">
        <v>3.89</v>
      </c>
      <c r="J575" s="127"/>
      <c r="K575" s="127"/>
      <c r="L575" s="127"/>
      <c r="M575" s="144">
        <v>769</v>
      </c>
      <c r="N575" s="129">
        <v>10.46</v>
      </c>
      <c r="O575" s="129"/>
      <c r="P575" s="129"/>
      <c r="Q575" s="130"/>
      <c r="R575" s="131"/>
      <c r="S575" s="131"/>
      <c r="T575" s="132"/>
      <c r="U575" s="132"/>
      <c r="V575" s="132"/>
      <c r="W575" s="132"/>
      <c r="X575" s="132"/>
      <c r="Y575" s="133" t="s">
        <v>1942</v>
      </c>
      <c r="Z575" s="126" t="s">
        <v>64</v>
      </c>
      <c r="AA575" s="134" t="s">
        <v>154</v>
      </c>
      <c r="AB575" s="134" t="s">
        <v>1943</v>
      </c>
      <c r="AC575" s="134"/>
      <c r="AD575" s="134">
        <v>44585</v>
      </c>
      <c r="AE575" s="134"/>
      <c r="AF575" s="134">
        <f t="shared" ca="1" si="45"/>
        <v>44963</v>
      </c>
      <c r="AG575" s="126">
        <f t="shared" ca="1" si="46"/>
        <v>378</v>
      </c>
      <c r="AH575" s="126" t="str">
        <f t="shared" si="47"/>
        <v/>
      </c>
      <c r="AI575" s="134"/>
      <c r="AJ575" s="143" t="s">
        <v>2064</v>
      </c>
      <c r="AK575" s="129">
        <v>10.46</v>
      </c>
      <c r="AL575" s="129">
        <v>10.47</v>
      </c>
      <c r="AM575" s="129">
        <v>10.494999999999999</v>
      </c>
      <c r="AN575" s="129">
        <v>10.5</v>
      </c>
      <c r="AO575" s="126" t="str">
        <f t="shared" si="48"/>
        <v/>
      </c>
      <c r="AR575" s="99" t="s">
        <v>136</v>
      </c>
    </row>
    <row r="576" spans="1:44" s="99" customFormat="1" ht="21" customHeight="1" x14ac:dyDescent="0.35">
      <c r="A576" s="99">
        <v>425</v>
      </c>
      <c r="B576" s="126" t="str">
        <f t="shared" si="49"/>
        <v>RM-304/1D-003X767</v>
      </c>
      <c r="C576" s="126" t="s">
        <v>43</v>
      </c>
      <c r="D576" s="126" t="s">
        <v>43</v>
      </c>
      <c r="E576" s="143" t="s">
        <v>2067</v>
      </c>
      <c r="F576" s="143" t="s">
        <v>2068</v>
      </c>
      <c r="G576" s="126">
        <v>304</v>
      </c>
      <c r="H576" s="126" t="s">
        <v>139</v>
      </c>
      <c r="I576" s="127">
        <v>2.94</v>
      </c>
      <c r="J576" s="127"/>
      <c r="K576" s="127"/>
      <c r="L576" s="127"/>
      <c r="M576" s="144">
        <v>767</v>
      </c>
      <c r="N576" s="129">
        <v>12.055</v>
      </c>
      <c r="O576" s="129"/>
      <c r="P576" s="129"/>
      <c r="Q576" s="130"/>
      <c r="R576" s="131"/>
      <c r="S576" s="131"/>
      <c r="T576" s="132"/>
      <c r="U576" s="132"/>
      <c r="V576" s="132"/>
      <c r="W576" s="132"/>
      <c r="X576" s="132"/>
      <c r="Y576" s="133" t="s">
        <v>1942</v>
      </c>
      <c r="Z576" s="126" t="s">
        <v>64</v>
      </c>
      <c r="AA576" s="134" t="s">
        <v>154</v>
      </c>
      <c r="AB576" s="134" t="s">
        <v>1943</v>
      </c>
      <c r="AC576" s="134"/>
      <c r="AD576" s="134">
        <v>44585</v>
      </c>
      <c r="AE576" s="134"/>
      <c r="AF576" s="134">
        <f t="shared" ca="1" si="45"/>
        <v>44963</v>
      </c>
      <c r="AG576" s="126">
        <f t="shared" ca="1" si="46"/>
        <v>378</v>
      </c>
      <c r="AH576" s="126" t="str">
        <f t="shared" si="47"/>
        <v/>
      </c>
      <c r="AI576" s="134"/>
      <c r="AJ576" s="143" t="s">
        <v>2069</v>
      </c>
      <c r="AK576" s="129">
        <v>12.055</v>
      </c>
      <c r="AL576" s="129">
        <v>12.065</v>
      </c>
      <c r="AM576" s="129">
        <v>12.089999999999998</v>
      </c>
      <c r="AN576" s="129">
        <v>12.094999999999999</v>
      </c>
      <c r="AO576" s="126" t="str">
        <f t="shared" si="48"/>
        <v/>
      </c>
      <c r="AR576" s="99" t="s">
        <v>136</v>
      </c>
    </row>
    <row r="577" spans="1:44" s="99" customFormat="1" ht="21" customHeight="1" x14ac:dyDescent="0.35">
      <c r="A577" s="99">
        <v>425</v>
      </c>
      <c r="B577" s="126" t="str">
        <f t="shared" si="49"/>
        <v>RM-304/1D-003X767</v>
      </c>
      <c r="C577" s="126" t="s">
        <v>43</v>
      </c>
      <c r="D577" s="126" t="s">
        <v>43</v>
      </c>
      <c r="E577" s="143" t="s">
        <v>2070</v>
      </c>
      <c r="F577" s="143" t="s">
        <v>2071</v>
      </c>
      <c r="G577" s="126">
        <v>304</v>
      </c>
      <c r="H577" s="126" t="s">
        <v>139</v>
      </c>
      <c r="I577" s="127">
        <v>2.94</v>
      </c>
      <c r="J577" s="127"/>
      <c r="K577" s="127"/>
      <c r="L577" s="127"/>
      <c r="M577" s="144">
        <v>767</v>
      </c>
      <c r="N577" s="129">
        <v>12.065</v>
      </c>
      <c r="O577" s="129"/>
      <c r="P577" s="129"/>
      <c r="Q577" s="130"/>
      <c r="R577" s="131"/>
      <c r="S577" s="131"/>
      <c r="T577" s="132"/>
      <c r="U577" s="132"/>
      <c r="V577" s="132"/>
      <c r="W577" s="132"/>
      <c r="X577" s="132"/>
      <c r="Y577" s="133" t="s">
        <v>1942</v>
      </c>
      <c r="Z577" s="126" t="s">
        <v>64</v>
      </c>
      <c r="AA577" s="134" t="s">
        <v>154</v>
      </c>
      <c r="AB577" s="134" t="s">
        <v>1943</v>
      </c>
      <c r="AC577" s="134"/>
      <c r="AD577" s="134">
        <v>44585</v>
      </c>
      <c r="AE577" s="134"/>
      <c r="AF577" s="134">
        <f t="shared" ca="1" si="45"/>
        <v>44963</v>
      </c>
      <c r="AG577" s="126">
        <f t="shared" ca="1" si="46"/>
        <v>378</v>
      </c>
      <c r="AH577" s="126" t="str">
        <f t="shared" si="47"/>
        <v/>
      </c>
      <c r="AI577" s="134"/>
      <c r="AJ577" s="143" t="s">
        <v>2069</v>
      </c>
      <c r="AK577" s="129">
        <v>12.065</v>
      </c>
      <c r="AL577" s="129">
        <v>12.074999999999999</v>
      </c>
      <c r="AM577" s="129">
        <v>12.099999999999998</v>
      </c>
      <c r="AN577" s="129">
        <v>12.104999999999999</v>
      </c>
      <c r="AO577" s="126" t="str">
        <f t="shared" si="48"/>
        <v/>
      </c>
      <c r="AR577" s="99" t="s">
        <v>136</v>
      </c>
    </row>
    <row r="578" spans="1:44" s="99" customFormat="1" ht="21" customHeight="1" x14ac:dyDescent="0.35">
      <c r="A578" s="99">
        <v>425</v>
      </c>
      <c r="B578" s="126" t="str">
        <f t="shared" si="49"/>
        <v>RM-304L/1D-004X767</v>
      </c>
      <c r="C578" s="126" t="s">
        <v>43</v>
      </c>
      <c r="D578" s="126" t="s">
        <v>43</v>
      </c>
      <c r="E578" s="143" t="s">
        <v>2072</v>
      </c>
      <c r="F578" s="143" t="s">
        <v>2073</v>
      </c>
      <c r="G578" s="126" t="s">
        <v>230</v>
      </c>
      <c r="H578" s="126" t="s">
        <v>139</v>
      </c>
      <c r="I578" s="127">
        <v>3.87</v>
      </c>
      <c r="J578" s="127"/>
      <c r="K578" s="127"/>
      <c r="L578" s="127"/>
      <c r="M578" s="144">
        <v>767</v>
      </c>
      <c r="N578" s="129">
        <v>10.46</v>
      </c>
      <c r="O578" s="129"/>
      <c r="P578" s="129"/>
      <c r="Q578" s="130"/>
      <c r="R578" s="131"/>
      <c r="S578" s="131"/>
      <c r="T578" s="132"/>
      <c r="U578" s="132"/>
      <c r="V578" s="132"/>
      <c r="W578" s="132"/>
      <c r="X578" s="132"/>
      <c r="Y578" s="133" t="s">
        <v>1942</v>
      </c>
      <c r="Z578" s="126" t="s">
        <v>64</v>
      </c>
      <c r="AA578" s="134" t="s">
        <v>154</v>
      </c>
      <c r="AB578" s="134" t="s">
        <v>1943</v>
      </c>
      <c r="AC578" s="134"/>
      <c r="AD578" s="134">
        <v>44585</v>
      </c>
      <c r="AE578" s="134"/>
      <c r="AF578" s="134">
        <f t="shared" ca="1" si="45"/>
        <v>44963</v>
      </c>
      <c r="AG578" s="126">
        <f t="shared" ca="1" si="46"/>
        <v>378</v>
      </c>
      <c r="AH578" s="126" t="str">
        <f t="shared" si="47"/>
        <v/>
      </c>
      <c r="AI578" s="134"/>
      <c r="AJ578" s="143" t="s">
        <v>2074</v>
      </c>
      <c r="AK578" s="129">
        <v>10.46</v>
      </c>
      <c r="AL578" s="129">
        <v>10.47</v>
      </c>
      <c r="AM578" s="129">
        <v>10.494999999999999</v>
      </c>
      <c r="AN578" s="129">
        <v>10.5</v>
      </c>
      <c r="AO578" s="126" t="str">
        <f t="shared" si="48"/>
        <v/>
      </c>
      <c r="AR578" s="99" t="s">
        <v>136</v>
      </c>
    </row>
    <row r="579" spans="1:44" s="99" customFormat="1" ht="21" customHeight="1" x14ac:dyDescent="0.35">
      <c r="A579" s="99">
        <v>425</v>
      </c>
      <c r="B579" s="126" t="str">
        <f t="shared" si="49"/>
        <v>RM-304L/1D-004X768</v>
      </c>
      <c r="C579" s="126" t="s">
        <v>43</v>
      </c>
      <c r="D579" s="126" t="s">
        <v>43</v>
      </c>
      <c r="E579" s="143" t="s">
        <v>2075</v>
      </c>
      <c r="F579" s="143" t="s">
        <v>2076</v>
      </c>
      <c r="G579" s="126" t="s">
        <v>230</v>
      </c>
      <c r="H579" s="126" t="s">
        <v>139</v>
      </c>
      <c r="I579" s="127">
        <v>3.88</v>
      </c>
      <c r="J579" s="127"/>
      <c r="K579" s="127"/>
      <c r="L579" s="127"/>
      <c r="M579" s="144">
        <v>768</v>
      </c>
      <c r="N579" s="129">
        <v>10.475</v>
      </c>
      <c r="O579" s="129"/>
      <c r="P579" s="129"/>
      <c r="Q579" s="130"/>
      <c r="R579" s="131"/>
      <c r="S579" s="131"/>
      <c r="T579" s="132"/>
      <c r="U579" s="132"/>
      <c r="V579" s="132"/>
      <c r="W579" s="132"/>
      <c r="X579" s="132"/>
      <c r="Y579" s="133" t="s">
        <v>1942</v>
      </c>
      <c r="Z579" s="126" t="s">
        <v>64</v>
      </c>
      <c r="AA579" s="134" t="s">
        <v>154</v>
      </c>
      <c r="AB579" s="134" t="s">
        <v>1943</v>
      </c>
      <c r="AC579" s="134"/>
      <c r="AD579" s="134">
        <v>44585</v>
      </c>
      <c r="AE579" s="134"/>
      <c r="AF579" s="134">
        <f t="shared" ca="1" si="45"/>
        <v>44963</v>
      </c>
      <c r="AG579" s="126">
        <f t="shared" ca="1" si="46"/>
        <v>378</v>
      </c>
      <c r="AH579" s="126" t="str">
        <f t="shared" si="47"/>
        <v/>
      </c>
      <c r="AI579" s="134"/>
      <c r="AJ579" s="143" t="s">
        <v>2074</v>
      </c>
      <c r="AK579" s="129">
        <v>10.475</v>
      </c>
      <c r="AL579" s="129">
        <v>10.484999999999999</v>
      </c>
      <c r="AM579" s="129">
        <v>10.509999999999998</v>
      </c>
      <c r="AN579" s="129">
        <v>10.514999999999999</v>
      </c>
      <c r="AO579" s="126" t="str">
        <f t="shared" si="48"/>
        <v/>
      </c>
      <c r="AR579" s="99" t="s">
        <v>136</v>
      </c>
    </row>
    <row r="580" spans="1:44" s="99" customFormat="1" ht="21" customHeight="1" x14ac:dyDescent="0.35">
      <c r="A580" s="99">
        <v>425</v>
      </c>
      <c r="B580" s="126" t="str">
        <f t="shared" si="49"/>
        <v>RM-304/1D-004X767</v>
      </c>
      <c r="C580" s="126" t="s">
        <v>43</v>
      </c>
      <c r="D580" s="126" t="s">
        <v>43</v>
      </c>
      <c r="E580" s="143" t="s">
        <v>2077</v>
      </c>
      <c r="F580" s="143" t="s">
        <v>2078</v>
      </c>
      <c r="G580" s="126">
        <v>304</v>
      </c>
      <c r="H580" s="126" t="s">
        <v>139</v>
      </c>
      <c r="I580" s="127">
        <v>3.8</v>
      </c>
      <c r="J580" s="127"/>
      <c r="K580" s="127"/>
      <c r="L580" s="127"/>
      <c r="M580" s="144">
        <v>767</v>
      </c>
      <c r="N580" s="129">
        <v>10.425000000000001</v>
      </c>
      <c r="O580" s="129"/>
      <c r="P580" s="129"/>
      <c r="Q580" s="130"/>
      <c r="R580" s="131"/>
      <c r="S580" s="131"/>
      <c r="T580" s="132"/>
      <c r="U580" s="132"/>
      <c r="V580" s="132"/>
      <c r="W580" s="132"/>
      <c r="X580" s="132"/>
      <c r="Y580" s="133" t="s">
        <v>1942</v>
      </c>
      <c r="Z580" s="126" t="s">
        <v>64</v>
      </c>
      <c r="AA580" s="134" t="s">
        <v>154</v>
      </c>
      <c r="AB580" s="134" t="s">
        <v>1943</v>
      </c>
      <c r="AC580" s="134"/>
      <c r="AD580" s="134">
        <v>44585</v>
      </c>
      <c r="AE580" s="134"/>
      <c r="AF580" s="134">
        <f t="shared" ca="1" si="45"/>
        <v>44963</v>
      </c>
      <c r="AG580" s="126">
        <f t="shared" ca="1" si="46"/>
        <v>378</v>
      </c>
      <c r="AH580" s="126" t="str">
        <f t="shared" si="47"/>
        <v/>
      </c>
      <c r="AI580" s="134"/>
      <c r="AJ580" s="143" t="s">
        <v>2079</v>
      </c>
      <c r="AK580" s="129">
        <v>10.425000000000001</v>
      </c>
      <c r="AL580" s="129">
        <v>10.435</v>
      </c>
      <c r="AM580" s="129">
        <v>10.459999999999999</v>
      </c>
      <c r="AN580" s="129">
        <v>10.465</v>
      </c>
      <c r="AO580" s="126" t="str">
        <f t="shared" si="48"/>
        <v/>
      </c>
      <c r="AR580" s="99" t="s">
        <v>136</v>
      </c>
    </row>
    <row r="581" spans="1:44" s="99" customFormat="1" ht="21" customHeight="1" x14ac:dyDescent="0.35">
      <c r="A581" s="99">
        <v>425</v>
      </c>
      <c r="B581" s="126" t="str">
        <f t="shared" si="49"/>
        <v>RM-304/1D-004X768</v>
      </c>
      <c r="C581" s="126" t="s">
        <v>43</v>
      </c>
      <c r="D581" s="126" t="s">
        <v>43</v>
      </c>
      <c r="E581" s="143" t="s">
        <v>2080</v>
      </c>
      <c r="F581" s="143" t="s">
        <v>2081</v>
      </c>
      <c r="G581" s="126">
        <v>304</v>
      </c>
      <c r="H581" s="126" t="s">
        <v>139</v>
      </c>
      <c r="I581" s="127">
        <v>3.81</v>
      </c>
      <c r="J581" s="127"/>
      <c r="K581" s="127"/>
      <c r="L581" s="127"/>
      <c r="M581" s="144">
        <v>768</v>
      </c>
      <c r="N581" s="129">
        <v>10.465</v>
      </c>
      <c r="O581" s="129"/>
      <c r="P581" s="129"/>
      <c r="Q581" s="130"/>
      <c r="R581" s="131"/>
      <c r="S581" s="131"/>
      <c r="T581" s="132"/>
      <c r="U581" s="132"/>
      <c r="V581" s="132"/>
      <c r="W581" s="132"/>
      <c r="X581" s="132"/>
      <c r="Y581" s="133" t="s">
        <v>1942</v>
      </c>
      <c r="Z581" s="126" t="s">
        <v>64</v>
      </c>
      <c r="AA581" s="134" t="s">
        <v>154</v>
      </c>
      <c r="AB581" s="134" t="s">
        <v>1943</v>
      </c>
      <c r="AC581" s="134"/>
      <c r="AD581" s="134">
        <v>44585</v>
      </c>
      <c r="AE581" s="134"/>
      <c r="AF581" s="134">
        <f t="shared" ref="AF581:AF644" ca="1" si="50">TODAY()</f>
        <v>44963</v>
      </c>
      <c r="AG581" s="126">
        <f t="shared" ref="AG581:AG644" ca="1" si="51">IF(AD581&lt;&gt;0,AF581-AD581,0)</f>
        <v>378</v>
      </c>
      <c r="AH581" s="126" t="str">
        <f t="shared" ref="AH581:AH644" si="52">IF(ISNUMBER(V581)=TRUE,AF581-V581,IF(V581="","",(AF581)-(MID(RIGHT(V581,10),4,2)&amp;"/"&amp;LEFT((RIGHT(V581,10)),2)&amp;"/"&amp;RIGHT(V581,4))))</f>
        <v/>
      </c>
      <c r="AI581" s="134"/>
      <c r="AJ581" s="143" t="s">
        <v>2079</v>
      </c>
      <c r="AK581" s="129">
        <v>10.465</v>
      </c>
      <c r="AL581" s="129">
        <v>10.475</v>
      </c>
      <c r="AM581" s="129">
        <v>10.499999999999998</v>
      </c>
      <c r="AN581" s="129">
        <v>10.504999999999999</v>
      </c>
      <c r="AO581" s="126" t="str">
        <f t="shared" ref="AO581:AO644" si="53">IF(ISNUMBER(U581)=TRUE,AF581-U581,IF(U581="","",(AF581)-(MID(RIGHT(U581,10),4,2)&amp;"/"&amp;LEFT((RIGHT(U581,10)),2)&amp;"/"&amp;RIGHT(U581,4))))</f>
        <v/>
      </c>
      <c r="AR581" s="99" t="s">
        <v>136</v>
      </c>
    </row>
    <row r="582" spans="1:44" s="99" customFormat="1" ht="21" customHeight="1" x14ac:dyDescent="0.35">
      <c r="A582" s="99">
        <v>425</v>
      </c>
      <c r="B582" s="126" t="str">
        <f t="shared" si="49"/>
        <v>RM-304/1D-004X768</v>
      </c>
      <c r="C582" s="126" t="s">
        <v>43</v>
      </c>
      <c r="D582" s="126" t="s">
        <v>43</v>
      </c>
      <c r="E582" s="143" t="s">
        <v>2082</v>
      </c>
      <c r="F582" s="143" t="s">
        <v>2083</v>
      </c>
      <c r="G582" s="126">
        <v>304</v>
      </c>
      <c r="H582" s="126" t="s">
        <v>139</v>
      </c>
      <c r="I582" s="127">
        <v>3.82</v>
      </c>
      <c r="J582" s="127"/>
      <c r="K582" s="127"/>
      <c r="L582" s="127"/>
      <c r="M582" s="144">
        <v>768</v>
      </c>
      <c r="N582" s="129">
        <v>10.43</v>
      </c>
      <c r="O582" s="129"/>
      <c r="P582" s="129"/>
      <c r="Q582" s="130"/>
      <c r="R582" s="131"/>
      <c r="S582" s="131"/>
      <c r="T582" s="132"/>
      <c r="U582" s="132"/>
      <c r="V582" s="132"/>
      <c r="W582" s="132"/>
      <c r="X582" s="132"/>
      <c r="Y582" s="133" t="s">
        <v>1942</v>
      </c>
      <c r="Z582" s="126" t="s">
        <v>64</v>
      </c>
      <c r="AA582" s="134" t="s">
        <v>154</v>
      </c>
      <c r="AB582" s="134" t="s">
        <v>1943</v>
      </c>
      <c r="AC582" s="134"/>
      <c r="AD582" s="134">
        <v>44585</v>
      </c>
      <c r="AE582" s="134"/>
      <c r="AF582" s="134">
        <f t="shared" ca="1" si="50"/>
        <v>44963</v>
      </c>
      <c r="AG582" s="126">
        <f t="shared" ca="1" si="51"/>
        <v>378</v>
      </c>
      <c r="AH582" s="126" t="str">
        <f t="shared" si="52"/>
        <v/>
      </c>
      <c r="AI582" s="134"/>
      <c r="AJ582" s="143" t="s">
        <v>2084</v>
      </c>
      <c r="AK582" s="129">
        <v>10.43</v>
      </c>
      <c r="AL582" s="129">
        <v>10.44</v>
      </c>
      <c r="AM582" s="129">
        <v>10.464999999999998</v>
      </c>
      <c r="AN582" s="129">
        <v>10.469999999999999</v>
      </c>
      <c r="AO582" s="126" t="str">
        <f t="shared" si="53"/>
        <v/>
      </c>
      <c r="AR582" s="99" t="s">
        <v>136</v>
      </c>
    </row>
    <row r="583" spans="1:44" s="99" customFormat="1" ht="21" customHeight="1" x14ac:dyDescent="0.35">
      <c r="A583" s="99">
        <v>425</v>
      </c>
      <c r="B583" s="126" t="str">
        <f t="shared" si="49"/>
        <v>RM-304/1D-004X767</v>
      </c>
      <c r="C583" s="126" t="s">
        <v>43</v>
      </c>
      <c r="D583" s="126" t="s">
        <v>43</v>
      </c>
      <c r="E583" s="143" t="s">
        <v>2085</v>
      </c>
      <c r="F583" s="143" t="s">
        <v>2086</v>
      </c>
      <c r="G583" s="126">
        <v>304</v>
      </c>
      <c r="H583" s="126" t="s">
        <v>139</v>
      </c>
      <c r="I583" s="127">
        <v>3.81</v>
      </c>
      <c r="J583" s="127"/>
      <c r="K583" s="127"/>
      <c r="L583" s="127"/>
      <c r="M583" s="144">
        <v>767</v>
      </c>
      <c r="N583" s="129">
        <v>10.43</v>
      </c>
      <c r="O583" s="129"/>
      <c r="P583" s="129"/>
      <c r="Q583" s="130"/>
      <c r="R583" s="131"/>
      <c r="S583" s="131"/>
      <c r="T583" s="132"/>
      <c r="U583" s="132"/>
      <c r="V583" s="132"/>
      <c r="W583" s="132"/>
      <c r="X583" s="132"/>
      <c r="Y583" s="133" t="s">
        <v>1942</v>
      </c>
      <c r="Z583" s="126" t="s">
        <v>64</v>
      </c>
      <c r="AA583" s="134" t="s">
        <v>154</v>
      </c>
      <c r="AB583" s="134" t="s">
        <v>1943</v>
      </c>
      <c r="AC583" s="134"/>
      <c r="AD583" s="134">
        <v>44585</v>
      </c>
      <c r="AE583" s="134"/>
      <c r="AF583" s="134">
        <f t="shared" ca="1" si="50"/>
        <v>44963</v>
      </c>
      <c r="AG583" s="126">
        <f t="shared" ca="1" si="51"/>
        <v>378</v>
      </c>
      <c r="AH583" s="126" t="str">
        <f t="shared" si="52"/>
        <v/>
      </c>
      <c r="AI583" s="134"/>
      <c r="AJ583" s="143" t="s">
        <v>2084</v>
      </c>
      <c r="AK583" s="129">
        <v>10.43</v>
      </c>
      <c r="AL583" s="129">
        <v>10.44</v>
      </c>
      <c r="AM583" s="129">
        <v>10.464999999999998</v>
      </c>
      <c r="AN583" s="129">
        <v>10.469999999999999</v>
      </c>
      <c r="AO583" s="126" t="str">
        <f t="shared" si="53"/>
        <v/>
      </c>
      <c r="AR583" s="99" t="s">
        <v>136</v>
      </c>
    </row>
    <row r="584" spans="1:44" s="99" customFormat="1" ht="21" customHeight="1" x14ac:dyDescent="0.35">
      <c r="A584" s="99">
        <v>425</v>
      </c>
      <c r="B584" s="126" t="str">
        <f t="shared" si="49"/>
        <v>RM-304/1D-004X767</v>
      </c>
      <c r="C584" s="126" t="s">
        <v>43</v>
      </c>
      <c r="D584" s="126" t="s">
        <v>43</v>
      </c>
      <c r="E584" s="143" t="s">
        <v>2087</v>
      </c>
      <c r="F584" s="143" t="s">
        <v>2088</v>
      </c>
      <c r="G584" s="126">
        <v>304</v>
      </c>
      <c r="H584" s="126" t="s">
        <v>139</v>
      </c>
      <c r="I584" s="127">
        <v>3.81</v>
      </c>
      <c r="J584" s="127"/>
      <c r="K584" s="127"/>
      <c r="L584" s="127"/>
      <c r="M584" s="144">
        <v>767</v>
      </c>
      <c r="N584" s="129">
        <v>10.494999999999999</v>
      </c>
      <c r="O584" s="129"/>
      <c r="P584" s="129"/>
      <c r="Q584" s="130"/>
      <c r="R584" s="131"/>
      <c r="S584" s="131"/>
      <c r="T584" s="132"/>
      <c r="U584" s="132"/>
      <c r="V584" s="132"/>
      <c r="W584" s="132"/>
      <c r="X584" s="132"/>
      <c r="Y584" s="133" t="s">
        <v>1942</v>
      </c>
      <c r="Z584" s="126" t="s">
        <v>64</v>
      </c>
      <c r="AA584" s="134" t="s">
        <v>154</v>
      </c>
      <c r="AB584" s="134" t="s">
        <v>1943</v>
      </c>
      <c r="AC584" s="134"/>
      <c r="AD584" s="134">
        <v>44585</v>
      </c>
      <c r="AE584" s="134"/>
      <c r="AF584" s="134">
        <f t="shared" ca="1" si="50"/>
        <v>44963</v>
      </c>
      <c r="AG584" s="126">
        <f t="shared" ca="1" si="51"/>
        <v>378</v>
      </c>
      <c r="AH584" s="126" t="str">
        <f t="shared" si="52"/>
        <v/>
      </c>
      <c r="AI584" s="134"/>
      <c r="AJ584" s="143" t="s">
        <v>2089</v>
      </c>
      <c r="AK584" s="129">
        <v>10.494999999999999</v>
      </c>
      <c r="AL584" s="129">
        <v>10.505000000000001</v>
      </c>
      <c r="AM584" s="129">
        <v>10.53</v>
      </c>
      <c r="AN584" s="129">
        <v>10.535</v>
      </c>
      <c r="AO584" s="126" t="str">
        <f t="shared" si="53"/>
        <v/>
      </c>
      <c r="AR584" s="99" t="s">
        <v>136</v>
      </c>
    </row>
    <row r="585" spans="1:44" s="99" customFormat="1" ht="21" customHeight="1" x14ac:dyDescent="0.35">
      <c r="A585" s="99">
        <v>425</v>
      </c>
      <c r="B585" s="126" t="str">
        <f t="shared" si="49"/>
        <v>RM-304/1D-004X768</v>
      </c>
      <c r="C585" s="126" t="s">
        <v>43</v>
      </c>
      <c r="D585" s="126" t="s">
        <v>43</v>
      </c>
      <c r="E585" s="143" t="s">
        <v>2090</v>
      </c>
      <c r="F585" s="143" t="s">
        <v>2091</v>
      </c>
      <c r="G585" s="126">
        <v>304</v>
      </c>
      <c r="H585" s="126" t="s">
        <v>139</v>
      </c>
      <c r="I585" s="127">
        <v>3.81</v>
      </c>
      <c r="J585" s="127"/>
      <c r="K585" s="127"/>
      <c r="L585" s="127"/>
      <c r="M585" s="144">
        <v>768</v>
      </c>
      <c r="N585" s="129">
        <v>10.52</v>
      </c>
      <c r="O585" s="129"/>
      <c r="P585" s="129"/>
      <c r="Q585" s="130"/>
      <c r="R585" s="131"/>
      <c r="S585" s="131"/>
      <c r="T585" s="132"/>
      <c r="U585" s="132"/>
      <c r="V585" s="132"/>
      <c r="W585" s="132"/>
      <c r="X585" s="132"/>
      <c r="Y585" s="133" t="s">
        <v>1942</v>
      </c>
      <c r="Z585" s="126" t="s">
        <v>64</v>
      </c>
      <c r="AA585" s="134" t="s">
        <v>154</v>
      </c>
      <c r="AB585" s="134" t="s">
        <v>1943</v>
      </c>
      <c r="AC585" s="134"/>
      <c r="AD585" s="134">
        <v>44585</v>
      </c>
      <c r="AE585" s="134"/>
      <c r="AF585" s="134">
        <f t="shared" ca="1" si="50"/>
        <v>44963</v>
      </c>
      <c r="AG585" s="126">
        <f t="shared" ca="1" si="51"/>
        <v>378</v>
      </c>
      <c r="AH585" s="126" t="str">
        <f t="shared" si="52"/>
        <v/>
      </c>
      <c r="AI585" s="134"/>
      <c r="AJ585" s="143" t="s">
        <v>2089</v>
      </c>
      <c r="AK585" s="129">
        <v>10.52</v>
      </c>
      <c r="AL585" s="129">
        <v>10.53</v>
      </c>
      <c r="AM585" s="129">
        <v>10.554999999999998</v>
      </c>
      <c r="AN585" s="129">
        <v>10.559999999999999</v>
      </c>
      <c r="AO585" s="126" t="str">
        <f t="shared" si="53"/>
        <v/>
      </c>
      <c r="AR585" s="99" t="s">
        <v>136</v>
      </c>
    </row>
    <row r="586" spans="1:44" s="99" customFormat="1" ht="21" customHeight="1" x14ac:dyDescent="0.35">
      <c r="A586" s="99">
        <v>425</v>
      </c>
      <c r="B586" s="126" t="str">
        <f t="shared" si="49"/>
        <v>RM-304L/1D-004X769</v>
      </c>
      <c r="C586" s="126" t="s">
        <v>43</v>
      </c>
      <c r="D586" s="126" t="s">
        <v>43</v>
      </c>
      <c r="E586" s="143" t="s">
        <v>2092</v>
      </c>
      <c r="F586" s="143" t="s">
        <v>2093</v>
      </c>
      <c r="G586" s="126" t="s">
        <v>230</v>
      </c>
      <c r="H586" s="126" t="s">
        <v>139</v>
      </c>
      <c r="I586" s="127">
        <v>3.87</v>
      </c>
      <c r="J586" s="127"/>
      <c r="K586" s="127"/>
      <c r="L586" s="127"/>
      <c r="M586" s="144">
        <v>769</v>
      </c>
      <c r="N586" s="129">
        <v>10.42</v>
      </c>
      <c r="O586" s="129"/>
      <c r="P586" s="129"/>
      <c r="Q586" s="130"/>
      <c r="R586" s="131"/>
      <c r="S586" s="131"/>
      <c r="T586" s="132"/>
      <c r="U586" s="132"/>
      <c r="V586" s="132"/>
      <c r="W586" s="132"/>
      <c r="X586" s="132"/>
      <c r="Y586" s="133" t="s">
        <v>1942</v>
      </c>
      <c r="Z586" s="126" t="s">
        <v>64</v>
      </c>
      <c r="AA586" s="134" t="s">
        <v>154</v>
      </c>
      <c r="AB586" s="134" t="s">
        <v>1943</v>
      </c>
      <c r="AC586" s="134"/>
      <c r="AD586" s="134">
        <v>44585</v>
      </c>
      <c r="AE586" s="134"/>
      <c r="AF586" s="134">
        <f t="shared" ca="1" si="50"/>
        <v>44963</v>
      </c>
      <c r="AG586" s="126">
        <f t="shared" ca="1" si="51"/>
        <v>378</v>
      </c>
      <c r="AH586" s="126" t="str">
        <f t="shared" si="52"/>
        <v/>
      </c>
      <c r="AI586" s="134"/>
      <c r="AJ586" s="143" t="s">
        <v>2094</v>
      </c>
      <c r="AK586" s="129">
        <v>10.42</v>
      </c>
      <c r="AL586" s="129">
        <v>10.43</v>
      </c>
      <c r="AM586" s="129">
        <v>10.454999999999998</v>
      </c>
      <c r="AN586" s="129">
        <v>10.459999999999999</v>
      </c>
      <c r="AO586" s="126" t="str">
        <f t="shared" si="53"/>
        <v/>
      </c>
      <c r="AR586" s="99" t="s">
        <v>136</v>
      </c>
    </row>
    <row r="587" spans="1:44" s="99" customFormat="1" ht="21" customHeight="1" x14ac:dyDescent="0.35">
      <c r="A587" s="99">
        <v>425</v>
      </c>
      <c r="B587" s="126" t="str">
        <f t="shared" si="49"/>
        <v>RM-304L/1D-004X768</v>
      </c>
      <c r="C587" s="126" t="s">
        <v>43</v>
      </c>
      <c r="D587" s="126" t="s">
        <v>43</v>
      </c>
      <c r="E587" s="143" t="s">
        <v>2095</v>
      </c>
      <c r="F587" s="143" t="s">
        <v>2096</v>
      </c>
      <c r="G587" s="126" t="s">
        <v>230</v>
      </c>
      <c r="H587" s="126" t="s">
        <v>139</v>
      </c>
      <c r="I587" s="127">
        <v>3.87</v>
      </c>
      <c r="J587" s="127"/>
      <c r="K587" s="127"/>
      <c r="L587" s="127"/>
      <c r="M587" s="144">
        <v>768</v>
      </c>
      <c r="N587" s="129">
        <v>10.41</v>
      </c>
      <c r="O587" s="129"/>
      <c r="P587" s="129"/>
      <c r="Q587" s="130"/>
      <c r="R587" s="131"/>
      <c r="S587" s="131"/>
      <c r="T587" s="132"/>
      <c r="U587" s="132"/>
      <c r="V587" s="132"/>
      <c r="W587" s="132"/>
      <c r="X587" s="132"/>
      <c r="Y587" s="133" t="s">
        <v>1942</v>
      </c>
      <c r="Z587" s="126" t="s">
        <v>64</v>
      </c>
      <c r="AA587" s="134" t="s">
        <v>154</v>
      </c>
      <c r="AB587" s="134" t="s">
        <v>1943</v>
      </c>
      <c r="AC587" s="134"/>
      <c r="AD587" s="134">
        <v>44585</v>
      </c>
      <c r="AE587" s="134"/>
      <c r="AF587" s="134">
        <f t="shared" ca="1" si="50"/>
        <v>44963</v>
      </c>
      <c r="AG587" s="126">
        <f t="shared" ca="1" si="51"/>
        <v>378</v>
      </c>
      <c r="AH587" s="126" t="str">
        <f t="shared" si="52"/>
        <v/>
      </c>
      <c r="AI587" s="134"/>
      <c r="AJ587" s="143" t="s">
        <v>2094</v>
      </c>
      <c r="AK587" s="129">
        <v>10.41</v>
      </c>
      <c r="AL587" s="129">
        <v>10.42</v>
      </c>
      <c r="AM587" s="129">
        <v>10.444999999999999</v>
      </c>
      <c r="AN587" s="129">
        <v>10.45</v>
      </c>
      <c r="AO587" s="126" t="str">
        <f t="shared" si="53"/>
        <v/>
      </c>
      <c r="AR587" s="99" t="s">
        <v>136</v>
      </c>
    </row>
    <row r="588" spans="1:44" s="99" customFormat="1" ht="21" customHeight="1" x14ac:dyDescent="0.35">
      <c r="A588" s="99">
        <v>425</v>
      </c>
      <c r="B588" s="126" t="str">
        <f t="shared" si="49"/>
        <v>RM-304L/1D-004X769</v>
      </c>
      <c r="C588" s="126" t="s">
        <v>43</v>
      </c>
      <c r="D588" s="126" t="s">
        <v>43</v>
      </c>
      <c r="E588" s="143" t="s">
        <v>2097</v>
      </c>
      <c r="F588" s="143" t="s">
        <v>2098</v>
      </c>
      <c r="G588" s="126" t="s">
        <v>230</v>
      </c>
      <c r="H588" s="126" t="s">
        <v>139</v>
      </c>
      <c r="I588" s="127">
        <v>3.85</v>
      </c>
      <c r="J588" s="127"/>
      <c r="K588" s="127"/>
      <c r="L588" s="127"/>
      <c r="M588" s="144">
        <v>769</v>
      </c>
      <c r="N588" s="129">
        <v>10.28</v>
      </c>
      <c r="O588" s="129"/>
      <c r="P588" s="129"/>
      <c r="Q588" s="130"/>
      <c r="R588" s="131"/>
      <c r="S588" s="131"/>
      <c r="T588" s="132"/>
      <c r="U588" s="132"/>
      <c r="V588" s="132"/>
      <c r="W588" s="132"/>
      <c r="X588" s="132"/>
      <c r="Y588" s="133" t="s">
        <v>1942</v>
      </c>
      <c r="Z588" s="126" t="s">
        <v>64</v>
      </c>
      <c r="AA588" s="134" t="s">
        <v>154</v>
      </c>
      <c r="AB588" s="134" t="s">
        <v>1943</v>
      </c>
      <c r="AC588" s="134"/>
      <c r="AD588" s="134">
        <v>44585</v>
      </c>
      <c r="AE588" s="134"/>
      <c r="AF588" s="134">
        <f t="shared" ca="1" si="50"/>
        <v>44963</v>
      </c>
      <c r="AG588" s="126">
        <f t="shared" ca="1" si="51"/>
        <v>378</v>
      </c>
      <c r="AH588" s="126" t="str">
        <f t="shared" si="52"/>
        <v/>
      </c>
      <c r="AI588" s="134"/>
      <c r="AJ588" s="143" t="s">
        <v>2099</v>
      </c>
      <c r="AK588" s="129">
        <v>10.28</v>
      </c>
      <c r="AL588" s="129">
        <v>10.29</v>
      </c>
      <c r="AM588" s="129">
        <v>10.314999999999998</v>
      </c>
      <c r="AN588" s="129">
        <v>10.319999999999999</v>
      </c>
      <c r="AO588" s="126" t="str">
        <f t="shared" si="53"/>
        <v/>
      </c>
      <c r="AR588" s="99" t="s">
        <v>136</v>
      </c>
    </row>
    <row r="589" spans="1:44" s="99" customFormat="1" ht="21" customHeight="1" x14ac:dyDescent="0.35">
      <c r="A589" s="99">
        <v>425</v>
      </c>
      <c r="B589" s="126" t="str">
        <f t="shared" si="49"/>
        <v>RM-304L/1D-004X769</v>
      </c>
      <c r="C589" s="126" t="s">
        <v>43</v>
      </c>
      <c r="D589" s="126" t="s">
        <v>43</v>
      </c>
      <c r="E589" s="143" t="s">
        <v>2100</v>
      </c>
      <c r="F589" s="143" t="s">
        <v>2101</v>
      </c>
      <c r="G589" s="126" t="s">
        <v>230</v>
      </c>
      <c r="H589" s="126" t="s">
        <v>139</v>
      </c>
      <c r="I589" s="127">
        <v>3.85</v>
      </c>
      <c r="J589" s="127"/>
      <c r="K589" s="127"/>
      <c r="L589" s="127"/>
      <c r="M589" s="144">
        <v>769</v>
      </c>
      <c r="N589" s="129">
        <v>10.275</v>
      </c>
      <c r="O589" s="129"/>
      <c r="P589" s="129"/>
      <c r="Q589" s="130"/>
      <c r="R589" s="131"/>
      <c r="S589" s="131"/>
      <c r="T589" s="132"/>
      <c r="U589" s="132"/>
      <c r="V589" s="132"/>
      <c r="W589" s="132"/>
      <c r="X589" s="132"/>
      <c r="Y589" s="133" t="s">
        <v>1942</v>
      </c>
      <c r="Z589" s="126" t="s">
        <v>64</v>
      </c>
      <c r="AA589" s="134" t="s">
        <v>154</v>
      </c>
      <c r="AB589" s="134" t="s">
        <v>1943</v>
      </c>
      <c r="AC589" s="134"/>
      <c r="AD589" s="134">
        <v>44585</v>
      </c>
      <c r="AE589" s="134"/>
      <c r="AF589" s="134">
        <f t="shared" ca="1" si="50"/>
        <v>44963</v>
      </c>
      <c r="AG589" s="126">
        <f t="shared" ca="1" si="51"/>
        <v>378</v>
      </c>
      <c r="AH589" s="126" t="str">
        <f t="shared" si="52"/>
        <v/>
      </c>
      <c r="AI589" s="134"/>
      <c r="AJ589" s="143" t="s">
        <v>2099</v>
      </c>
      <c r="AK589" s="129">
        <v>10.275</v>
      </c>
      <c r="AL589" s="129">
        <v>10.285</v>
      </c>
      <c r="AM589" s="129">
        <v>10.309999999999999</v>
      </c>
      <c r="AN589" s="129">
        <v>10.315</v>
      </c>
      <c r="AO589" s="126" t="str">
        <f t="shared" si="53"/>
        <v/>
      </c>
      <c r="AR589" s="99" t="s">
        <v>136</v>
      </c>
    </row>
    <row r="590" spans="1:44" s="99" customFormat="1" ht="21" customHeight="1" x14ac:dyDescent="0.35">
      <c r="A590" s="99">
        <v>425</v>
      </c>
      <c r="B590" s="126" t="str">
        <f t="shared" si="49"/>
        <v>RM-304L/1D-004X768</v>
      </c>
      <c r="C590" s="126" t="s">
        <v>43</v>
      </c>
      <c r="D590" s="126" t="s">
        <v>43</v>
      </c>
      <c r="E590" s="143" t="s">
        <v>2102</v>
      </c>
      <c r="F590" s="143" t="s">
        <v>2103</v>
      </c>
      <c r="G590" s="126" t="s">
        <v>230</v>
      </c>
      <c r="H590" s="126" t="s">
        <v>139</v>
      </c>
      <c r="I590" s="127">
        <v>3.89</v>
      </c>
      <c r="J590" s="127"/>
      <c r="K590" s="127"/>
      <c r="L590" s="127"/>
      <c r="M590" s="144">
        <v>768</v>
      </c>
      <c r="N590" s="129">
        <v>10.494999999999999</v>
      </c>
      <c r="O590" s="129"/>
      <c r="P590" s="129"/>
      <c r="Q590" s="130"/>
      <c r="R590" s="131"/>
      <c r="S590" s="131"/>
      <c r="T590" s="132"/>
      <c r="U590" s="132"/>
      <c r="V590" s="132"/>
      <c r="W590" s="132"/>
      <c r="X590" s="132"/>
      <c r="Y590" s="133" t="s">
        <v>1942</v>
      </c>
      <c r="Z590" s="126" t="s">
        <v>64</v>
      </c>
      <c r="AA590" s="134" t="s">
        <v>154</v>
      </c>
      <c r="AB590" s="134" t="s">
        <v>1943</v>
      </c>
      <c r="AC590" s="134"/>
      <c r="AD590" s="134">
        <v>44585</v>
      </c>
      <c r="AE590" s="134"/>
      <c r="AF590" s="134">
        <f t="shared" ca="1" si="50"/>
        <v>44963</v>
      </c>
      <c r="AG590" s="126">
        <f t="shared" ca="1" si="51"/>
        <v>378</v>
      </c>
      <c r="AH590" s="126" t="str">
        <f t="shared" si="52"/>
        <v/>
      </c>
      <c r="AI590" s="134"/>
      <c r="AJ590" s="143" t="s">
        <v>2104</v>
      </c>
      <c r="AK590" s="129">
        <v>10.494999999999999</v>
      </c>
      <c r="AL590" s="129">
        <v>10.505000000000001</v>
      </c>
      <c r="AM590" s="129">
        <v>10.53</v>
      </c>
      <c r="AN590" s="129">
        <v>10.535</v>
      </c>
      <c r="AO590" s="126" t="str">
        <f t="shared" si="53"/>
        <v/>
      </c>
      <c r="AR590" s="99" t="s">
        <v>136</v>
      </c>
    </row>
    <row r="591" spans="1:44" s="99" customFormat="1" ht="21" customHeight="1" x14ac:dyDescent="0.35">
      <c r="A591" s="99">
        <v>425</v>
      </c>
      <c r="B591" s="126" t="str">
        <f t="shared" si="49"/>
        <v>RM-304L/1D-004X767</v>
      </c>
      <c r="C591" s="126" t="s">
        <v>43</v>
      </c>
      <c r="D591" s="126" t="s">
        <v>43</v>
      </c>
      <c r="E591" s="143" t="s">
        <v>2105</v>
      </c>
      <c r="F591" s="143" t="s">
        <v>2106</v>
      </c>
      <c r="G591" s="126" t="s">
        <v>230</v>
      </c>
      <c r="H591" s="126" t="s">
        <v>139</v>
      </c>
      <c r="I591" s="127">
        <v>3.89</v>
      </c>
      <c r="J591" s="127"/>
      <c r="K591" s="127"/>
      <c r="L591" s="127"/>
      <c r="M591" s="144">
        <v>767</v>
      </c>
      <c r="N591" s="129">
        <v>10.46</v>
      </c>
      <c r="O591" s="129"/>
      <c r="P591" s="129"/>
      <c r="Q591" s="130"/>
      <c r="R591" s="131"/>
      <c r="S591" s="131"/>
      <c r="T591" s="132"/>
      <c r="U591" s="132"/>
      <c r="V591" s="132"/>
      <c r="W591" s="132"/>
      <c r="X591" s="132"/>
      <c r="Y591" s="133" t="s">
        <v>1942</v>
      </c>
      <c r="Z591" s="126" t="s">
        <v>64</v>
      </c>
      <c r="AA591" s="134" t="s">
        <v>154</v>
      </c>
      <c r="AB591" s="134" t="s">
        <v>1943</v>
      </c>
      <c r="AC591" s="134"/>
      <c r="AD591" s="134">
        <v>44585</v>
      </c>
      <c r="AE591" s="134"/>
      <c r="AF591" s="134">
        <f t="shared" ca="1" si="50"/>
        <v>44963</v>
      </c>
      <c r="AG591" s="126">
        <f t="shared" ca="1" si="51"/>
        <v>378</v>
      </c>
      <c r="AH591" s="126" t="str">
        <f t="shared" si="52"/>
        <v/>
      </c>
      <c r="AI591" s="134"/>
      <c r="AJ591" s="143" t="s">
        <v>2104</v>
      </c>
      <c r="AK591" s="129">
        <v>10.46</v>
      </c>
      <c r="AL591" s="129">
        <v>10.47</v>
      </c>
      <c r="AM591" s="129">
        <v>10.494999999999999</v>
      </c>
      <c r="AN591" s="129">
        <v>10.5</v>
      </c>
      <c r="AO591" s="126" t="str">
        <f t="shared" si="53"/>
        <v/>
      </c>
      <c r="AR591" s="99" t="s">
        <v>136</v>
      </c>
    </row>
    <row r="592" spans="1:44" s="99" customFormat="1" ht="21" customHeight="1" x14ac:dyDescent="0.35">
      <c r="A592" s="99">
        <v>425</v>
      </c>
      <c r="B592" s="126" t="str">
        <f t="shared" si="49"/>
        <v>RM-304L/1D-004X768</v>
      </c>
      <c r="C592" s="126" t="s">
        <v>43</v>
      </c>
      <c r="D592" s="126" t="s">
        <v>43</v>
      </c>
      <c r="E592" s="143" t="s">
        <v>2107</v>
      </c>
      <c r="F592" s="143" t="s">
        <v>2108</v>
      </c>
      <c r="G592" s="126" t="s">
        <v>230</v>
      </c>
      <c r="H592" s="126" t="s">
        <v>139</v>
      </c>
      <c r="I592" s="127">
        <v>3.83</v>
      </c>
      <c r="J592" s="127"/>
      <c r="K592" s="127"/>
      <c r="L592" s="127"/>
      <c r="M592" s="144">
        <v>768</v>
      </c>
      <c r="N592" s="129">
        <v>10.404999999999999</v>
      </c>
      <c r="O592" s="129"/>
      <c r="P592" s="129"/>
      <c r="Q592" s="130"/>
      <c r="R592" s="131"/>
      <c r="S592" s="131"/>
      <c r="T592" s="132"/>
      <c r="U592" s="132"/>
      <c r="V592" s="132"/>
      <c r="W592" s="132"/>
      <c r="X592" s="132"/>
      <c r="Y592" s="133" t="s">
        <v>1942</v>
      </c>
      <c r="Z592" s="126" t="s">
        <v>64</v>
      </c>
      <c r="AA592" s="134" t="s">
        <v>154</v>
      </c>
      <c r="AB592" s="134" t="s">
        <v>1943</v>
      </c>
      <c r="AC592" s="134"/>
      <c r="AD592" s="134">
        <v>44585</v>
      </c>
      <c r="AE592" s="134"/>
      <c r="AF592" s="134">
        <f t="shared" ca="1" si="50"/>
        <v>44963</v>
      </c>
      <c r="AG592" s="126">
        <f t="shared" ca="1" si="51"/>
        <v>378</v>
      </c>
      <c r="AH592" s="126" t="str">
        <f t="shared" si="52"/>
        <v/>
      </c>
      <c r="AI592" s="134"/>
      <c r="AJ592" s="143" t="s">
        <v>2109</v>
      </c>
      <c r="AK592" s="129">
        <v>10.404999999999999</v>
      </c>
      <c r="AL592" s="129">
        <v>10.414999999999999</v>
      </c>
      <c r="AM592" s="129">
        <v>10.439999999999998</v>
      </c>
      <c r="AN592" s="129">
        <v>10.444999999999999</v>
      </c>
      <c r="AO592" s="126" t="str">
        <f t="shared" si="53"/>
        <v/>
      </c>
      <c r="AR592" s="99" t="s">
        <v>136</v>
      </c>
    </row>
    <row r="593" spans="1:44" s="99" customFormat="1" ht="21" customHeight="1" x14ac:dyDescent="0.35">
      <c r="A593" s="99">
        <v>425</v>
      </c>
      <c r="B593" s="126" t="str">
        <f t="shared" si="49"/>
        <v>RM-304L/1D-004X769</v>
      </c>
      <c r="C593" s="126" t="s">
        <v>43</v>
      </c>
      <c r="D593" s="126" t="s">
        <v>43</v>
      </c>
      <c r="E593" s="143" t="s">
        <v>2110</v>
      </c>
      <c r="F593" s="143" t="s">
        <v>2111</v>
      </c>
      <c r="G593" s="126" t="s">
        <v>230</v>
      </c>
      <c r="H593" s="126" t="s">
        <v>139</v>
      </c>
      <c r="I593" s="127">
        <v>3.83</v>
      </c>
      <c r="J593" s="127"/>
      <c r="K593" s="127"/>
      <c r="L593" s="127"/>
      <c r="M593" s="144">
        <v>769</v>
      </c>
      <c r="N593" s="129">
        <v>10.435</v>
      </c>
      <c r="O593" s="129"/>
      <c r="P593" s="129"/>
      <c r="Q593" s="130"/>
      <c r="R593" s="131"/>
      <c r="S593" s="131"/>
      <c r="T593" s="132"/>
      <c r="U593" s="132"/>
      <c r="V593" s="132"/>
      <c r="W593" s="132"/>
      <c r="X593" s="132"/>
      <c r="Y593" s="133" t="s">
        <v>1942</v>
      </c>
      <c r="Z593" s="126" t="s">
        <v>64</v>
      </c>
      <c r="AA593" s="134" t="s">
        <v>154</v>
      </c>
      <c r="AB593" s="134" t="s">
        <v>1943</v>
      </c>
      <c r="AC593" s="134"/>
      <c r="AD593" s="134">
        <v>44585</v>
      </c>
      <c r="AE593" s="134"/>
      <c r="AF593" s="134">
        <f t="shared" ca="1" si="50"/>
        <v>44963</v>
      </c>
      <c r="AG593" s="126">
        <f t="shared" ca="1" si="51"/>
        <v>378</v>
      </c>
      <c r="AH593" s="126" t="str">
        <f t="shared" si="52"/>
        <v/>
      </c>
      <c r="AI593" s="134"/>
      <c r="AJ593" s="143" t="s">
        <v>2109</v>
      </c>
      <c r="AK593" s="129">
        <v>10.435</v>
      </c>
      <c r="AL593" s="129">
        <v>10.445</v>
      </c>
      <c r="AM593" s="129">
        <v>10.469999999999999</v>
      </c>
      <c r="AN593" s="129">
        <v>10.475</v>
      </c>
      <c r="AO593" s="126" t="str">
        <f t="shared" si="53"/>
        <v/>
      </c>
      <c r="AR593" s="99" t="s">
        <v>136</v>
      </c>
    </row>
    <row r="594" spans="1:44" s="99" customFormat="1" ht="21" customHeight="1" x14ac:dyDescent="0.35">
      <c r="A594" s="99">
        <v>425</v>
      </c>
      <c r="B594" s="126" t="str">
        <f t="shared" si="49"/>
        <v>RM-304L/1D-004X766</v>
      </c>
      <c r="C594" s="126" t="s">
        <v>43</v>
      </c>
      <c r="D594" s="126" t="s">
        <v>43</v>
      </c>
      <c r="E594" s="143" t="s">
        <v>2112</v>
      </c>
      <c r="F594" s="143" t="s">
        <v>2113</v>
      </c>
      <c r="G594" s="126" t="s">
        <v>230</v>
      </c>
      <c r="H594" s="126" t="s">
        <v>139</v>
      </c>
      <c r="I594" s="127">
        <v>3.81</v>
      </c>
      <c r="J594" s="127"/>
      <c r="K594" s="127"/>
      <c r="L594" s="127"/>
      <c r="M594" s="144">
        <v>766</v>
      </c>
      <c r="N594" s="129">
        <v>10.37</v>
      </c>
      <c r="O594" s="129"/>
      <c r="P594" s="129"/>
      <c r="Q594" s="130"/>
      <c r="R594" s="131"/>
      <c r="S594" s="131"/>
      <c r="T594" s="132"/>
      <c r="U594" s="132"/>
      <c r="V594" s="132"/>
      <c r="W594" s="132"/>
      <c r="X594" s="132"/>
      <c r="Y594" s="133" t="s">
        <v>1942</v>
      </c>
      <c r="Z594" s="126" t="s">
        <v>64</v>
      </c>
      <c r="AA594" s="134" t="s">
        <v>154</v>
      </c>
      <c r="AB594" s="134" t="s">
        <v>1943</v>
      </c>
      <c r="AC594" s="134"/>
      <c r="AD594" s="134">
        <v>44585</v>
      </c>
      <c r="AE594" s="134"/>
      <c r="AF594" s="134">
        <f t="shared" ca="1" si="50"/>
        <v>44963</v>
      </c>
      <c r="AG594" s="126">
        <f t="shared" ca="1" si="51"/>
        <v>378</v>
      </c>
      <c r="AH594" s="126" t="str">
        <f t="shared" si="52"/>
        <v/>
      </c>
      <c r="AI594" s="134"/>
      <c r="AJ594" s="143" t="s">
        <v>2114</v>
      </c>
      <c r="AK594" s="129">
        <v>10.37</v>
      </c>
      <c r="AL594" s="129">
        <v>10.38</v>
      </c>
      <c r="AM594" s="129">
        <v>10.404999999999999</v>
      </c>
      <c r="AN594" s="129">
        <v>10.41</v>
      </c>
      <c r="AO594" s="126" t="str">
        <f t="shared" si="53"/>
        <v/>
      </c>
      <c r="AR594" s="99" t="s">
        <v>136</v>
      </c>
    </row>
    <row r="595" spans="1:44" s="99" customFormat="1" ht="21" customHeight="1" x14ac:dyDescent="0.35">
      <c r="A595" s="99">
        <v>425</v>
      </c>
      <c r="B595" s="126" t="str">
        <f t="shared" si="49"/>
        <v>RM-304L/1D-004X766</v>
      </c>
      <c r="C595" s="126" t="s">
        <v>43</v>
      </c>
      <c r="D595" s="126" t="s">
        <v>43</v>
      </c>
      <c r="E595" s="143" t="s">
        <v>2115</v>
      </c>
      <c r="F595" s="143" t="s">
        <v>2116</v>
      </c>
      <c r="G595" s="126" t="s">
        <v>230</v>
      </c>
      <c r="H595" s="126" t="s">
        <v>139</v>
      </c>
      <c r="I595" s="127">
        <v>3.8</v>
      </c>
      <c r="J595" s="127"/>
      <c r="K595" s="127"/>
      <c r="L595" s="127"/>
      <c r="M595" s="144">
        <v>766</v>
      </c>
      <c r="N595" s="129">
        <v>10.375</v>
      </c>
      <c r="O595" s="129"/>
      <c r="P595" s="129"/>
      <c r="Q595" s="130"/>
      <c r="R595" s="131"/>
      <c r="S595" s="131"/>
      <c r="T595" s="132"/>
      <c r="U595" s="132"/>
      <c r="V595" s="132"/>
      <c r="W595" s="132"/>
      <c r="X595" s="132"/>
      <c r="Y595" s="133" t="s">
        <v>1942</v>
      </c>
      <c r="Z595" s="126" t="s">
        <v>64</v>
      </c>
      <c r="AA595" s="134" t="s">
        <v>154</v>
      </c>
      <c r="AB595" s="134" t="s">
        <v>1943</v>
      </c>
      <c r="AC595" s="134"/>
      <c r="AD595" s="134">
        <v>44585</v>
      </c>
      <c r="AE595" s="134"/>
      <c r="AF595" s="134">
        <f t="shared" ca="1" si="50"/>
        <v>44963</v>
      </c>
      <c r="AG595" s="126">
        <f t="shared" ca="1" si="51"/>
        <v>378</v>
      </c>
      <c r="AH595" s="126" t="str">
        <f t="shared" si="52"/>
        <v/>
      </c>
      <c r="AI595" s="134"/>
      <c r="AJ595" s="143" t="s">
        <v>2114</v>
      </c>
      <c r="AK595" s="129">
        <v>10.375</v>
      </c>
      <c r="AL595" s="129">
        <v>10.385</v>
      </c>
      <c r="AM595" s="129">
        <v>10.409999999999998</v>
      </c>
      <c r="AN595" s="129">
        <v>10.414999999999999</v>
      </c>
      <c r="AO595" s="126" t="str">
        <f t="shared" si="53"/>
        <v/>
      </c>
      <c r="AR595" s="99" t="s">
        <v>136</v>
      </c>
    </row>
    <row r="596" spans="1:44" s="99" customFormat="1" ht="21" customHeight="1" x14ac:dyDescent="0.35">
      <c r="A596" s="99">
        <v>425</v>
      </c>
      <c r="B596" s="126" t="str">
        <f t="shared" si="49"/>
        <v>RM-304L/1D-004X768</v>
      </c>
      <c r="C596" s="126" t="s">
        <v>43</v>
      </c>
      <c r="D596" s="126" t="s">
        <v>43</v>
      </c>
      <c r="E596" s="143" t="s">
        <v>2117</v>
      </c>
      <c r="F596" s="143" t="s">
        <v>2118</v>
      </c>
      <c r="G596" s="126" t="s">
        <v>230</v>
      </c>
      <c r="H596" s="126" t="s">
        <v>139</v>
      </c>
      <c r="I596" s="127">
        <v>3.88</v>
      </c>
      <c r="J596" s="127"/>
      <c r="K596" s="127"/>
      <c r="L596" s="127"/>
      <c r="M596" s="144">
        <v>768</v>
      </c>
      <c r="N596" s="129">
        <v>10.46</v>
      </c>
      <c r="O596" s="129"/>
      <c r="P596" s="129"/>
      <c r="Q596" s="130"/>
      <c r="R596" s="131"/>
      <c r="S596" s="131"/>
      <c r="T596" s="132"/>
      <c r="U596" s="132"/>
      <c r="V596" s="132"/>
      <c r="W596" s="132"/>
      <c r="X596" s="132"/>
      <c r="Y596" s="133" t="s">
        <v>1942</v>
      </c>
      <c r="Z596" s="126" t="s">
        <v>64</v>
      </c>
      <c r="AA596" s="134" t="s">
        <v>154</v>
      </c>
      <c r="AB596" s="134" t="s">
        <v>1943</v>
      </c>
      <c r="AC596" s="134"/>
      <c r="AD596" s="134">
        <v>44585</v>
      </c>
      <c r="AE596" s="134"/>
      <c r="AF596" s="134">
        <f t="shared" ca="1" si="50"/>
        <v>44963</v>
      </c>
      <c r="AG596" s="126">
        <f t="shared" ca="1" si="51"/>
        <v>378</v>
      </c>
      <c r="AH596" s="126" t="str">
        <f t="shared" si="52"/>
        <v/>
      </c>
      <c r="AI596" s="134"/>
      <c r="AJ596" s="143" t="s">
        <v>2119</v>
      </c>
      <c r="AK596" s="129">
        <v>10.46</v>
      </c>
      <c r="AL596" s="129">
        <v>10.47</v>
      </c>
      <c r="AM596" s="129">
        <v>10.494999999999999</v>
      </c>
      <c r="AN596" s="129">
        <v>10.5</v>
      </c>
      <c r="AO596" s="126" t="str">
        <f t="shared" si="53"/>
        <v/>
      </c>
      <c r="AR596" s="99" t="s">
        <v>136</v>
      </c>
    </row>
    <row r="597" spans="1:44" s="99" customFormat="1" ht="21" customHeight="1" x14ac:dyDescent="0.35">
      <c r="A597" s="99">
        <v>425</v>
      </c>
      <c r="B597" s="126" t="str">
        <f t="shared" si="49"/>
        <v>RM-304L/1D-004X768</v>
      </c>
      <c r="C597" s="126" t="s">
        <v>43</v>
      </c>
      <c r="D597" s="126" t="s">
        <v>43</v>
      </c>
      <c r="E597" s="143" t="s">
        <v>2120</v>
      </c>
      <c r="F597" s="143" t="s">
        <v>2121</v>
      </c>
      <c r="G597" s="126" t="s">
        <v>230</v>
      </c>
      <c r="H597" s="126" t="s">
        <v>139</v>
      </c>
      <c r="I597" s="127">
        <v>3.88</v>
      </c>
      <c r="J597" s="127"/>
      <c r="K597" s="127"/>
      <c r="L597" s="127"/>
      <c r="M597" s="144">
        <v>768</v>
      </c>
      <c r="N597" s="129">
        <v>10.46</v>
      </c>
      <c r="O597" s="129"/>
      <c r="P597" s="129"/>
      <c r="Q597" s="130"/>
      <c r="R597" s="131"/>
      <c r="S597" s="131"/>
      <c r="T597" s="132"/>
      <c r="U597" s="132"/>
      <c r="V597" s="132"/>
      <c r="W597" s="132"/>
      <c r="X597" s="132"/>
      <c r="Y597" s="133" t="s">
        <v>1942</v>
      </c>
      <c r="Z597" s="126" t="s">
        <v>64</v>
      </c>
      <c r="AA597" s="134" t="s">
        <v>154</v>
      </c>
      <c r="AB597" s="134" t="s">
        <v>1943</v>
      </c>
      <c r="AC597" s="134"/>
      <c r="AD597" s="134">
        <v>44585</v>
      </c>
      <c r="AE597" s="134"/>
      <c r="AF597" s="134">
        <f t="shared" ca="1" si="50"/>
        <v>44963</v>
      </c>
      <c r="AG597" s="126">
        <f t="shared" ca="1" si="51"/>
        <v>378</v>
      </c>
      <c r="AH597" s="126" t="str">
        <f t="shared" si="52"/>
        <v/>
      </c>
      <c r="AI597" s="134"/>
      <c r="AJ597" s="143" t="s">
        <v>2119</v>
      </c>
      <c r="AK597" s="129">
        <v>10.46</v>
      </c>
      <c r="AL597" s="129">
        <v>10.47</v>
      </c>
      <c r="AM597" s="129">
        <v>10.494999999999999</v>
      </c>
      <c r="AN597" s="129">
        <v>10.5</v>
      </c>
      <c r="AO597" s="126" t="str">
        <f t="shared" si="53"/>
        <v/>
      </c>
      <c r="AR597" s="99" t="s">
        <v>136</v>
      </c>
    </row>
    <row r="598" spans="1:44" s="99" customFormat="1" ht="21" customHeight="1" x14ac:dyDescent="0.35">
      <c r="A598" s="99">
        <v>425</v>
      </c>
      <c r="B598" s="126" t="str">
        <f t="shared" si="49"/>
        <v>RM-304L/1D-004X768</v>
      </c>
      <c r="C598" s="126" t="s">
        <v>43</v>
      </c>
      <c r="D598" s="126" t="s">
        <v>43</v>
      </c>
      <c r="E598" s="143" t="s">
        <v>2122</v>
      </c>
      <c r="F598" s="143" t="s">
        <v>2123</v>
      </c>
      <c r="G598" s="126" t="s">
        <v>230</v>
      </c>
      <c r="H598" s="126" t="s">
        <v>139</v>
      </c>
      <c r="I598" s="127">
        <v>3.88</v>
      </c>
      <c r="J598" s="127"/>
      <c r="K598" s="127"/>
      <c r="L598" s="127"/>
      <c r="M598" s="144">
        <v>768</v>
      </c>
      <c r="N598" s="129">
        <v>10.39</v>
      </c>
      <c r="O598" s="129"/>
      <c r="P598" s="129"/>
      <c r="Q598" s="130"/>
      <c r="R598" s="131"/>
      <c r="S598" s="131"/>
      <c r="T598" s="132"/>
      <c r="U598" s="132"/>
      <c r="V598" s="132"/>
      <c r="W598" s="132"/>
      <c r="X598" s="132"/>
      <c r="Y598" s="133" t="s">
        <v>1942</v>
      </c>
      <c r="Z598" s="126" t="s">
        <v>64</v>
      </c>
      <c r="AA598" s="134" t="s">
        <v>154</v>
      </c>
      <c r="AB598" s="134" t="s">
        <v>1943</v>
      </c>
      <c r="AC598" s="134"/>
      <c r="AD598" s="134">
        <v>44585</v>
      </c>
      <c r="AE598" s="134"/>
      <c r="AF598" s="134">
        <f t="shared" ca="1" si="50"/>
        <v>44963</v>
      </c>
      <c r="AG598" s="126">
        <f t="shared" ca="1" si="51"/>
        <v>378</v>
      </c>
      <c r="AH598" s="126" t="str">
        <f t="shared" si="52"/>
        <v/>
      </c>
      <c r="AI598" s="134"/>
      <c r="AJ598" s="143" t="s">
        <v>2124</v>
      </c>
      <c r="AK598" s="129">
        <v>10.39</v>
      </c>
      <c r="AL598" s="129">
        <v>10.4</v>
      </c>
      <c r="AM598" s="129">
        <v>10.424999999999999</v>
      </c>
      <c r="AN598" s="129">
        <v>10.43</v>
      </c>
      <c r="AO598" s="126" t="str">
        <f t="shared" si="53"/>
        <v/>
      </c>
      <c r="AR598" s="99" t="s">
        <v>136</v>
      </c>
    </row>
    <row r="599" spans="1:44" s="99" customFormat="1" ht="21" customHeight="1" x14ac:dyDescent="0.35">
      <c r="A599" s="99">
        <v>425</v>
      </c>
      <c r="B599" s="126" t="str">
        <f t="shared" si="49"/>
        <v>RM-304L/1D-004X768</v>
      </c>
      <c r="C599" s="126" t="s">
        <v>43</v>
      </c>
      <c r="D599" s="126" t="s">
        <v>43</v>
      </c>
      <c r="E599" s="143" t="s">
        <v>2125</v>
      </c>
      <c r="F599" s="143" t="s">
        <v>2126</v>
      </c>
      <c r="G599" s="126" t="s">
        <v>230</v>
      </c>
      <c r="H599" s="126" t="s">
        <v>139</v>
      </c>
      <c r="I599" s="127">
        <v>3.88</v>
      </c>
      <c r="J599" s="127"/>
      <c r="K599" s="127"/>
      <c r="L599" s="127"/>
      <c r="M599" s="144">
        <v>768</v>
      </c>
      <c r="N599" s="129">
        <v>10.395</v>
      </c>
      <c r="O599" s="129"/>
      <c r="P599" s="129"/>
      <c r="Q599" s="130"/>
      <c r="R599" s="131"/>
      <c r="S599" s="131"/>
      <c r="T599" s="132"/>
      <c r="U599" s="132"/>
      <c r="V599" s="132"/>
      <c r="W599" s="132"/>
      <c r="X599" s="132"/>
      <c r="Y599" s="133" t="s">
        <v>1942</v>
      </c>
      <c r="Z599" s="126" t="s">
        <v>64</v>
      </c>
      <c r="AA599" s="134" t="s">
        <v>154</v>
      </c>
      <c r="AB599" s="134" t="s">
        <v>1943</v>
      </c>
      <c r="AC599" s="134"/>
      <c r="AD599" s="134">
        <v>44585</v>
      </c>
      <c r="AE599" s="134"/>
      <c r="AF599" s="134">
        <f t="shared" ca="1" si="50"/>
        <v>44963</v>
      </c>
      <c r="AG599" s="126">
        <f t="shared" ca="1" si="51"/>
        <v>378</v>
      </c>
      <c r="AH599" s="126" t="str">
        <f t="shared" si="52"/>
        <v/>
      </c>
      <c r="AI599" s="134"/>
      <c r="AJ599" s="143" t="s">
        <v>2124</v>
      </c>
      <c r="AK599" s="129">
        <v>10.395</v>
      </c>
      <c r="AL599" s="129">
        <v>10.404999999999999</v>
      </c>
      <c r="AM599" s="129">
        <v>10.429999999999998</v>
      </c>
      <c r="AN599" s="129">
        <v>10.434999999999999</v>
      </c>
      <c r="AO599" s="126" t="str">
        <f t="shared" si="53"/>
        <v/>
      </c>
      <c r="AR599" s="99" t="s">
        <v>136</v>
      </c>
    </row>
    <row r="600" spans="1:44" s="99" customFormat="1" ht="21" customHeight="1" x14ac:dyDescent="0.35">
      <c r="A600" s="99">
        <v>425</v>
      </c>
      <c r="B600" s="126" t="str">
        <f t="shared" si="49"/>
        <v>RM-304L/1D-004X767</v>
      </c>
      <c r="C600" s="126" t="s">
        <v>43</v>
      </c>
      <c r="D600" s="126" t="s">
        <v>43</v>
      </c>
      <c r="E600" s="143" t="s">
        <v>2127</v>
      </c>
      <c r="F600" s="143" t="s">
        <v>2128</v>
      </c>
      <c r="G600" s="126" t="s">
        <v>230</v>
      </c>
      <c r="H600" s="126" t="s">
        <v>139</v>
      </c>
      <c r="I600" s="127">
        <v>3.87</v>
      </c>
      <c r="J600" s="127"/>
      <c r="K600" s="127"/>
      <c r="L600" s="127"/>
      <c r="M600" s="144">
        <v>767</v>
      </c>
      <c r="N600" s="129">
        <v>12.125</v>
      </c>
      <c r="O600" s="129"/>
      <c r="P600" s="129"/>
      <c r="Q600" s="130"/>
      <c r="R600" s="131"/>
      <c r="S600" s="131"/>
      <c r="T600" s="132"/>
      <c r="U600" s="132"/>
      <c r="V600" s="132"/>
      <c r="W600" s="132"/>
      <c r="X600" s="132"/>
      <c r="Y600" s="133" t="s">
        <v>1942</v>
      </c>
      <c r="Z600" s="126" t="s">
        <v>64</v>
      </c>
      <c r="AA600" s="134" t="s">
        <v>154</v>
      </c>
      <c r="AB600" s="134" t="s">
        <v>1943</v>
      </c>
      <c r="AC600" s="134"/>
      <c r="AD600" s="134">
        <v>44585</v>
      </c>
      <c r="AE600" s="134"/>
      <c r="AF600" s="134">
        <f t="shared" ca="1" si="50"/>
        <v>44963</v>
      </c>
      <c r="AG600" s="126">
        <f t="shared" ca="1" si="51"/>
        <v>378</v>
      </c>
      <c r="AH600" s="126" t="str">
        <f t="shared" si="52"/>
        <v/>
      </c>
      <c r="AI600" s="134"/>
      <c r="AJ600" s="143" t="s">
        <v>2129</v>
      </c>
      <c r="AK600" s="129">
        <v>12.125</v>
      </c>
      <c r="AL600" s="129">
        <v>12.135</v>
      </c>
      <c r="AM600" s="129">
        <v>12.159999999999998</v>
      </c>
      <c r="AN600" s="129">
        <v>12.164999999999999</v>
      </c>
      <c r="AO600" s="126" t="str">
        <f t="shared" si="53"/>
        <v/>
      </c>
      <c r="AR600" s="99" t="s">
        <v>136</v>
      </c>
    </row>
    <row r="601" spans="1:44" s="99" customFormat="1" ht="21" customHeight="1" x14ac:dyDescent="0.35">
      <c r="A601" s="99">
        <v>425</v>
      </c>
      <c r="B601" s="126" t="str">
        <f t="shared" si="49"/>
        <v>RM-304L/1D-004X768</v>
      </c>
      <c r="C601" s="126" t="s">
        <v>43</v>
      </c>
      <c r="D601" s="126" t="s">
        <v>43</v>
      </c>
      <c r="E601" s="143" t="s">
        <v>2130</v>
      </c>
      <c r="F601" s="143" t="s">
        <v>2131</v>
      </c>
      <c r="G601" s="126" t="s">
        <v>230</v>
      </c>
      <c r="H601" s="126" t="s">
        <v>139</v>
      </c>
      <c r="I601" s="127">
        <v>3.87</v>
      </c>
      <c r="J601" s="127"/>
      <c r="K601" s="127"/>
      <c r="L601" s="127"/>
      <c r="M601" s="144">
        <v>768</v>
      </c>
      <c r="N601" s="129">
        <v>12.154999999999999</v>
      </c>
      <c r="O601" s="129"/>
      <c r="P601" s="129"/>
      <c r="Q601" s="130"/>
      <c r="R601" s="131"/>
      <c r="S601" s="131"/>
      <c r="T601" s="132"/>
      <c r="U601" s="132"/>
      <c r="V601" s="132"/>
      <c r="W601" s="132"/>
      <c r="X601" s="132"/>
      <c r="Y601" s="133" t="s">
        <v>1942</v>
      </c>
      <c r="Z601" s="126" t="s">
        <v>64</v>
      </c>
      <c r="AA601" s="134" t="s">
        <v>154</v>
      </c>
      <c r="AB601" s="134" t="s">
        <v>1943</v>
      </c>
      <c r="AC601" s="134"/>
      <c r="AD601" s="134">
        <v>44585</v>
      </c>
      <c r="AE601" s="134"/>
      <c r="AF601" s="134">
        <f t="shared" ca="1" si="50"/>
        <v>44963</v>
      </c>
      <c r="AG601" s="126">
        <f t="shared" ca="1" si="51"/>
        <v>378</v>
      </c>
      <c r="AH601" s="126" t="str">
        <f t="shared" si="52"/>
        <v/>
      </c>
      <c r="AI601" s="134"/>
      <c r="AJ601" s="143" t="s">
        <v>2129</v>
      </c>
      <c r="AK601" s="129">
        <v>12.154999999999999</v>
      </c>
      <c r="AL601" s="129">
        <v>12.164999999999999</v>
      </c>
      <c r="AM601" s="129">
        <v>12.189999999999998</v>
      </c>
      <c r="AN601" s="129">
        <v>12.194999999999999</v>
      </c>
      <c r="AO601" s="126" t="str">
        <f t="shared" si="53"/>
        <v/>
      </c>
      <c r="AR601" s="99" t="s">
        <v>136</v>
      </c>
    </row>
    <row r="602" spans="1:44" s="99" customFormat="1" ht="21" customHeight="1" x14ac:dyDescent="0.35">
      <c r="A602" s="99">
        <v>425</v>
      </c>
      <c r="B602" s="126" t="str">
        <f t="shared" si="49"/>
        <v>RM-304L/1D-004X768</v>
      </c>
      <c r="C602" s="126" t="s">
        <v>43</v>
      </c>
      <c r="D602" s="126" t="s">
        <v>43</v>
      </c>
      <c r="E602" s="143" t="s">
        <v>2132</v>
      </c>
      <c r="F602" s="143" t="s">
        <v>2133</v>
      </c>
      <c r="G602" s="126" t="s">
        <v>230</v>
      </c>
      <c r="H602" s="126" t="s">
        <v>139</v>
      </c>
      <c r="I602" s="127">
        <v>3.52</v>
      </c>
      <c r="J602" s="127"/>
      <c r="K602" s="127"/>
      <c r="L602" s="127"/>
      <c r="M602" s="144">
        <v>768</v>
      </c>
      <c r="N602" s="129">
        <v>10.35</v>
      </c>
      <c r="O602" s="129"/>
      <c r="P602" s="129"/>
      <c r="Q602" s="130"/>
      <c r="R602" s="131"/>
      <c r="S602" s="131"/>
      <c r="T602" s="132"/>
      <c r="U602" s="132"/>
      <c r="V602" s="132"/>
      <c r="W602" s="132"/>
      <c r="X602" s="132"/>
      <c r="Y602" s="133" t="s">
        <v>1942</v>
      </c>
      <c r="Z602" s="126" t="s">
        <v>64</v>
      </c>
      <c r="AA602" s="134" t="s">
        <v>154</v>
      </c>
      <c r="AB602" s="134" t="s">
        <v>1943</v>
      </c>
      <c r="AC602" s="134"/>
      <c r="AD602" s="134">
        <v>44585</v>
      </c>
      <c r="AE602" s="134"/>
      <c r="AF602" s="134">
        <f t="shared" ca="1" si="50"/>
        <v>44963</v>
      </c>
      <c r="AG602" s="126">
        <f t="shared" ca="1" si="51"/>
        <v>378</v>
      </c>
      <c r="AH602" s="126" t="str">
        <f t="shared" si="52"/>
        <v/>
      </c>
      <c r="AI602" s="134"/>
      <c r="AJ602" s="143" t="s">
        <v>2134</v>
      </c>
      <c r="AK602" s="129">
        <v>10.35</v>
      </c>
      <c r="AL602" s="129">
        <v>10.36</v>
      </c>
      <c r="AM602" s="129">
        <v>10.384999999999998</v>
      </c>
      <c r="AN602" s="129">
        <v>10.389999999999999</v>
      </c>
      <c r="AO602" s="126" t="str">
        <f t="shared" si="53"/>
        <v/>
      </c>
      <c r="AR602" s="99" t="s">
        <v>136</v>
      </c>
    </row>
    <row r="603" spans="1:44" s="99" customFormat="1" ht="21" customHeight="1" x14ac:dyDescent="0.35">
      <c r="A603" s="99">
        <v>425</v>
      </c>
      <c r="B603" s="126" t="str">
        <f t="shared" si="49"/>
        <v>RM-304L/1D-004X768</v>
      </c>
      <c r="C603" s="126" t="s">
        <v>43</v>
      </c>
      <c r="D603" s="126" t="s">
        <v>43</v>
      </c>
      <c r="E603" s="143" t="s">
        <v>2135</v>
      </c>
      <c r="F603" s="143" t="s">
        <v>2136</v>
      </c>
      <c r="G603" s="126" t="s">
        <v>230</v>
      </c>
      <c r="H603" s="126" t="s">
        <v>139</v>
      </c>
      <c r="I603" s="127">
        <v>3.52</v>
      </c>
      <c r="J603" s="127"/>
      <c r="K603" s="127"/>
      <c r="L603" s="127"/>
      <c r="M603" s="144">
        <v>768</v>
      </c>
      <c r="N603" s="129">
        <v>10.375</v>
      </c>
      <c r="O603" s="129"/>
      <c r="P603" s="129"/>
      <c r="Q603" s="130"/>
      <c r="R603" s="131"/>
      <c r="S603" s="131"/>
      <c r="T603" s="132"/>
      <c r="U603" s="132"/>
      <c r="V603" s="132"/>
      <c r="W603" s="132"/>
      <c r="X603" s="132"/>
      <c r="Y603" s="133" t="s">
        <v>1942</v>
      </c>
      <c r="Z603" s="126" t="s">
        <v>64</v>
      </c>
      <c r="AA603" s="134" t="s">
        <v>154</v>
      </c>
      <c r="AB603" s="134" t="s">
        <v>1943</v>
      </c>
      <c r="AC603" s="134"/>
      <c r="AD603" s="134">
        <v>44585</v>
      </c>
      <c r="AE603" s="134"/>
      <c r="AF603" s="134">
        <f t="shared" ca="1" si="50"/>
        <v>44963</v>
      </c>
      <c r="AG603" s="126">
        <f t="shared" ca="1" si="51"/>
        <v>378</v>
      </c>
      <c r="AH603" s="126" t="str">
        <f t="shared" si="52"/>
        <v/>
      </c>
      <c r="AI603" s="134"/>
      <c r="AJ603" s="143" t="s">
        <v>2134</v>
      </c>
      <c r="AK603" s="129">
        <v>10.375</v>
      </c>
      <c r="AL603" s="129">
        <v>10.385</v>
      </c>
      <c r="AM603" s="129">
        <v>10.409999999999998</v>
      </c>
      <c r="AN603" s="129">
        <v>10.414999999999999</v>
      </c>
      <c r="AO603" s="126" t="str">
        <f t="shared" si="53"/>
        <v/>
      </c>
      <c r="AR603" s="99" t="s">
        <v>136</v>
      </c>
    </row>
    <row r="604" spans="1:44" s="99" customFormat="1" ht="21" customHeight="1" x14ac:dyDescent="0.35">
      <c r="A604" s="99">
        <v>425</v>
      </c>
      <c r="B604" s="126" t="str">
        <f t="shared" si="49"/>
        <v>RM-304/1D-004X768</v>
      </c>
      <c r="C604" s="126" t="s">
        <v>43</v>
      </c>
      <c r="D604" s="126" t="s">
        <v>43</v>
      </c>
      <c r="E604" s="143" t="s">
        <v>2137</v>
      </c>
      <c r="F604" s="143" t="s">
        <v>2138</v>
      </c>
      <c r="G604" s="126">
        <v>304</v>
      </c>
      <c r="H604" s="126" t="s">
        <v>139</v>
      </c>
      <c r="I604" s="127">
        <v>3.5</v>
      </c>
      <c r="J604" s="127"/>
      <c r="K604" s="127"/>
      <c r="L604" s="127"/>
      <c r="M604" s="144">
        <v>768</v>
      </c>
      <c r="N604" s="129">
        <v>10.34</v>
      </c>
      <c r="O604" s="129"/>
      <c r="P604" s="129"/>
      <c r="Q604" s="130"/>
      <c r="R604" s="131"/>
      <c r="S604" s="131"/>
      <c r="T604" s="132"/>
      <c r="U604" s="132"/>
      <c r="V604" s="132"/>
      <c r="W604" s="132"/>
      <c r="X604" s="132"/>
      <c r="Y604" s="133" t="s">
        <v>1942</v>
      </c>
      <c r="Z604" s="126" t="s">
        <v>64</v>
      </c>
      <c r="AA604" s="134" t="s">
        <v>154</v>
      </c>
      <c r="AB604" s="134" t="s">
        <v>1943</v>
      </c>
      <c r="AC604" s="134"/>
      <c r="AD604" s="134">
        <v>44585</v>
      </c>
      <c r="AE604" s="134"/>
      <c r="AF604" s="134">
        <f t="shared" ca="1" si="50"/>
        <v>44963</v>
      </c>
      <c r="AG604" s="126">
        <f t="shared" ca="1" si="51"/>
        <v>378</v>
      </c>
      <c r="AH604" s="126" t="str">
        <f t="shared" si="52"/>
        <v/>
      </c>
      <c r="AI604" s="134"/>
      <c r="AJ604" s="143" t="s">
        <v>2139</v>
      </c>
      <c r="AK604" s="129">
        <v>10.34</v>
      </c>
      <c r="AL604" s="129">
        <v>10.35</v>
      </c>
      <c r="AM604" s="129">
        <v>10.374999999999998</v>
      </c>
      <c r="AN604" s="129">
        <v>10.379999999999999</v>
      </c>
      <c r="AO604" s="126" t="str">
        <f t="shared" si="53"/>
        <v/>
      </c>
      <c r="AR604" s="99" t="s">
        <v>136</v>
      </c>
    </row>
    <row r="605" spans="1:44" s="99" customFormat="1" ht="21" customHeight="1" x14ac:dyDescent="0.35">
      <c r="A605" s="99">
        <v>425</v>
      </c>
      <c r="B605" s="126" t="str">
        <f t="shared" si="49"/>
        <v>RM-304/1D-004X768</v>
      </c>
      <c r="C605" s="126" t="s">
        <v>43</v>
      </c>
      <c r="D605" s="126" t="s">
        <v>43</v>
      </c>
      <c r="E605" s="143" t="s">
        <v>2140</v>
      </c>
      <c r="F605" s="143" t="s">
        <v>2141</v>
      </c>
      <c r="G605" s="126">
        <v>304</v>
      </c>
      <c r="H605" s="126" t="s">
        <v>139</v>
      </c>
      <c r="I605" s="127">
        <v>3.5</v>
      </c>
      <c r="J605" s="127"/>
      <c r="K605" s="127"/>
      <c r="L605" s="127"/>
      <c r="M605" s="144">
        <v>768</v>
      </c>
      <c r="N605" s="129">
        <v>10.36</v>
      </c>
      <c r="O605" s="129"/>
      <c r="P605" s="129"/>
      <c r="Q605" s="130"/>
      <c r="R605" s="131"/>
      <c r="S605" s="131"/>
      <c r="T605" s="132"/>
      <c r="U605" s="132"/>
      <c r="V605" s="132"/>
      <c r="W605" s="132"/>
      <c r="X605" s="132"/>
      <c r="Y605" s="133" t="s">
        <v>1942</v>
      </c>
      <c r="Z605" s="126" t="s">
        <v>64</v>
      </c>
      <c r="AA605" s="134" t="s">
        <v>154</v>
      </c>
      <c r="AB605" s="134" t="s">
        <v>1943</v>
      </c>
      <c r="AC605" s="134"/>
      <c r="AD605" s="134">
        <v>44585</v>
      </c>
      <c r="AE605" s="134"/>
      <c r="AF605" s="134">
        <f t="shared" ca="1" si="50"/>
        <v>44963</v>
      </c>
      <c r="AG605" s="126">
        <f t="shared" ca="1" si="51"/>
        <v>378</v>
      </c>
      <c r="AH605" s="126" t="str">
        <f t="shared" si="52"/>
        <v/>
      </c>
      <c r="AI605" s="134"/>
      <c r="AJ605" s="143" t="s">
        <v>2139</v>
      </c>
      <c r="AK605" s="129">
        <v>10.36</v>
      </c>
      <c r="AL605" s="129">
        <v>10.37</v>
      </c>
      <c r="AM605" s="129">
        <v>10.394999999999998</v>
      </c>
      <c r="AN605" s="129">
        <v>10.399999999999999</v>
      </c>
      <c r="AO605" s="126" t="str">
        <f t="shared" si="53"/>
        <v/>
      </c>
      <c r="AR605" s="99" t="s">
        <v>136</v>
      </c>
    </row>
    <row r="606" spans="1:44" s="99" customFormat="1" ht="21" customHeight="1" x14ac:dyDescent="0.35">
      <c r="A606" s="99">
        <v>425</v>
      </c>
      <c r="B606" s="126" t="str">
        <f t="shared" si="49"/>
        <v>RM-304L/1D-003X767</v>
      </c>
      <c r="C606" s="126" t="s">
        <v>43</v>
      </c>
      <c r="D606" s="126" t="s">
        <v>43</v>
      </c>
      <c r="E606" s="143" t="s">
        <v>2142</v>
      </c>
      <c r="F606" s="143" t="s">
        <v>2143</v>
      </c>
      <c r="G606" s="126" t="s">
        <v>230</v>
      </c>
      <c r="H606" s="126" t="s">
        <v>139</v>
      </c>
      <c r="I606" s="127">
        <v>3.18</v>
      </c>
      <c r="J606" s="127"/>
      <c r="K606" s="127"/>
      <c r="L606" s="127"/>
      <c r="M606" s="144">
        <v>767</v>
      </c>
      <c r="N606" s="129">
        <v>12.16</v>
      </c>
      <c r="O606" s="129"/>
      <c r="P606" s="129"/>
      <c r="Q606" s="130"/>
      <c r="R606" s="131"/>
      <c r="S606" s="131"/>
      <c r="T606" s="132"/>
      <c r="U606" s="132"/>
      <c r="V606" s="132"/>
      <c r="W606" s="132"/>
      <c r="X606" s="132"/>
      <c r="Y606" s="133" t="s">
        <v>1942</v>
      </c>
      <c r="Z606" s="126" t="s">
        <v>64</v>
      </c>
      <c r="AA606" s="134" t="s">
        <v>154</v>
      </c>
      <c r="AB606" s="134" t="s">
        <v>1943</v>
      </c>
      <c r="AC606" s="134"/>
      <c r="AD606" s="134">
        <v>44585</v>
      </c>
      <c r="AE606" s="134"/>
      <c r="AF606" s="134">
        <f t="shared" ca="1" si="50"/>
        <v>44963</v>
      </c>
      <c r="AG606" s="126">
        <f t="shared" ca="1" si="51"/>
        <v>378</v>
      </c>
      <c r="AH606" s="126" t="str">
        <f t="shared" si="52"/>
        <v/>
      </c>
      <c r="AI606" s="134"/>
      <c r="AJ606" s="143" t="s">
        <v>2144</v>
      </c>
      <c r="AK606" s="129">
        <v>12.16</v>
      </c>
      <c r="AL606" s="129">
        <v>12.17</v>
      </c>
      <c r="AM606" s="129">
        <v>12.194999999999999</v>
      </c>
      <c r="AN606" s="129">
        <v>12.2</v>
      </c>
      <c r="AO606" s="126" t="str">
        <f t="shared" si="53"/>
        <v/>
      </c>
      <c r="AR606" s="99" t="s">
        <v>136</v>
      </c>
    </row>
    <row r="607" spans="1:44" s="99" customFormat="1" ht="21" customHeight="1" x14ac:dyDescent="0.35">
      <c r="A607" s="99">
        <v>425</v>
      </c>
      <c r="B607" s="126" t="str">
        <f t="shared" si="49"/>
        <v>RM-304L/1D-003X769</v>
      </c>
      <c r="C607" s="126" t="s">
        <v>43</v>
      </c>
      <c r="D607" s="126" t="s">
        <v>43</v>
      </c>
      <c r="E607" s="143" t="s">
        <v>2145</v>
      </c>
      <c r="F607" s="143" t="s">
        <v>2146</v>
      </c>
      <c r="G607" s="126" t="s">
        <v>230</v>
      </c>
      <c r="H607" s="126" t="s">
        <v>139</v>
      </c>
      <c r="I607" s="127">
        <v>3.18</v>
      </c>
      <c r="J607" s="127"/>
      <c r="K607" s="127"/>
      <c r="L607" s="127"/>
      <c r="M607" s="144">
        <v>769</v>
      </c>
      <c r="N607" s="129">
        <v>12.185</v>
      </c>
      <c r="O607" s="129"/>
      <c r="P607" s="129"/>
      <c r="Q607" s="130"/>
      <c r="R607" s="131"/>
      <c r="S607" s="131"/>
      <c r="T607" s="132"/>
      <c r="U607" s="132"/>
      <c r="V607" s="132"/>
      <c r="W607" s="132"/>
      <c r="X607" s="132"/>
      <c r="Y607" s="133" t="s">
        <v>1942</v>
      </c>
      <c r="Z607" s="126" t="s">
        <v>64</v>
      </c>
      <c r="AA607" s="134" t="s">
        <v>154</v>
      </c>
      <c r="AB607" s="134" t="s">
        <v>1943</v>
      </c>
      <c r="AC607" s="134"/>
      <c r="AD607" s="134">
        <v>44585</v>
      </c>
      <c r="AE607" s="134"/>
      <c r="AF607" s="134">
        <f t="shared" ca="1" si="50"/>
        <v>44963</v>
      </c>
      <c r="AG607" s="126">
        <f t="shared" ca="1" si="51"/>
        <v>378</v>
      </c>
      <c r="AH607" s="126" t="str">
        <f t="shared" si="52"/>
        <v/>
      </c>
      <c r="AI607" s="134"/>
      <c r="AJ607" s="143" t="s">
        <v>2144</v>
      </c>
      <c r="AK607" s="129">
        <v>12.185</v>
      </c>
      <c r="AL607" s="129">
        <v>12.195</v>
      </c>
      <c r="AM607" s="129">
        <v>12.219999999999999</v>
      </c>
      <c r="AN607" s="129">
        <v>12.225</v>
      </c>
      <c r="AO607" s="126" t="str">
        <f t="shared" si="53"/>
        <v/>
      </c>
      <c r="AR607" s="99" t="s">
        <v>136</v>
      </c>
    </row>
    <row r="608" spans="1:44" s="99" customFormat="1" ht="21" customHeight="1" x14ac:dyDescent="0.35">
      <c r="A608" s="99">
        <v>425</v>
      </c>
      <c r="B608" s="126" t="str">
        <f t="shared" si="49"/>
        <v>RM-304/1D-004X768</v>
      </c>
      <c r="C608" s="126" t="s">
        <v>43</v>
      </c>
      <c r="D608" s="126" t="s">
        <v>43</v>
      </c>
      <c r="E608" s="143" t="s">
        <v>2147</v>
      </c>
      <c r="F608" s="143" t="s">
        <v>2148</v>
      </c>
      <c r="G608" s="126">
        <v>304</v>
      </c>
      <c r="H608" s="126" t="s">
        <v>139</v>
      </c>
      <c r="I608" s="127">
        <v>3.81</v>
      </c>
      <c r="J608" s="127"/>
      <c r="K608" s="127"/>
      <c r="L608" s="127"/>
      <c r="M608" s="144">
        <v>768</v>
      </c>
      <c r="N608" s="129">
        <v>10.445</v>
      </c>
      <c r="O608" s="129"/>
      <c r="P608" s="129"/>
      <c r="Q608" s="130"/>
      <c r="R608" s="131"/>
      <c r="S608" s="131"/>
      <c r="T608" s="132"/>
      <c r="U608" s="132"/>
      <c r="V608" s="132"/>
      <c r="W608" s="132"/>
      <c r="X608" s="132"/>
      <c r="Y608" s="133" t="s">
        <v>1942</v>
      </c>
      <c r="Z608" s="126" t="s">
        <v>64</v>
      </c>
      <c r="AA608" s="134" t="s">
        <v>154</v>
      </c>
      <c r="AB608" s="134" t="s">
        <v>1943</v>
      </c>
      <c r="AC608" s="134"/>
      <c r="AD608" s="134">
        <v>44585</v>
      </c>
      <c r="AE608" s="134"/>
      <c r="AF608" s="134">
        <f t="shared" ca="1" si="50"/>
        <v>44963</v>
      </c>
      <c r="AG608" s="126">
        <f t="shared" ca="1" si="51"/>
        <v>378</v>
      </c>
      <c r="AH608" s="126" t="str">
        <f t="shared" si="52"/>
        <v/>
      </c>
      <c r="AI608" s="134"/>
      <c r="AJ608" s="143" t="s">
        <v>2149</v>
      </c>
      <c r="AK608" s="129">
        <v>10.445</v>
      </c>
      <c r="AL608" s="129">
        <v>10.455</v>
      </c>
      <c r="AM608" s="129">
        <v>10.479999999999999</v>
      </c>
      <c r="AN608" s="129">
        <v>10.484999999999999</v>
      </c>
      <c r="AO608" s="126" t="str">
        <f t="shared" si="53"/>
        <v/>
      </c>
      <c r="AR608" s="99" t="s">
        <v>136</v>
      </c>
    </row>
    <row r="609" spans="1:44" s="99" customFormat="1" ht="21" customHeight="1" x14ac:dyDescent="0.35">
      <c r="A609" s="99">
        <v>425</v>
      </c>
      <c r="B609" s="126" t="str">
        <f t="shared" si="49"/>
        <v>RM-304/1D-004X769</v>
      </c>
      <c r="C609" s="126" t="s">
        <v>43</v>
      </c>
      <c r="D609" s="126" t="s">
        <v>43</v>
      </c>
      <c r="E609" s="143" t="s">
        <v>2150</v>
      </c>
      <c r="F609" s="143" t="s">
        <v>2151</v>
      </c>
      <c r="G609" s="126">
        <v>304</v>
      </c>
      <c r="H609" s="126" t="s">
        <v>139</v>
      </c>
      <c r="I609" s="127">
        <v>3.81</v>
      </c>
      <c r="J609" s="127"/>
      <c r="K609" s="127"/>
      <c r="L609" s="127"/>
      <c r="M609" s="144">
        <v>769</v>
      </c>
      <c r="N609" s="129">
        <v>10.43</v>
      </c>
      <c r="O609" s="129"/>
      <c r="P609" s="129"/>
      <c r="Q609" s="130"/>
      <c r="R609" s="131"/>
      <c r="S609" s="131"/>
      <c r="T609" s="132"/>
      <c r="U609" s="132"/>
      <c r="V609" s="132"/>
      <c r="W609" s="132"/>
      <c r="X609" s="132"/>
      <c r="Y609" s="133" t="s">
        <v>1942</v>
      </c>
      <c r="Z609" s="126" t="s">
        <v>64</v>
      </c>
      <c r="AA609" s="134" t="s">
        <v>154</v>
      </c>
      <c r="AB609" s="134" t="s">
        <v>1943</v>
      </c>
      <c r="AC609" s="134"/>
      <c r="AD609" s="134">
        <v>44585</v>
      </c>
      <c r="AE609" s="134"/>
      <c r="AF609" s="134">
        <f t="shared" ca="1" si="50"/>
        <v>44963</v>
      </c>
      <c r="AG609" s="126">
        <f t="shared" ca="1" si="51"/>
        <v>378</v>
      </c>
      <c r="AH609" s="126" t="str">
        <f t="shared" si="52"/>
        <v/>
      </c>
      <c r="AI609" s="134"/>
      <c r="AJ609" s="143" t="s">
        <v>2149</v>
      </c>
      <c r="AK609" s="129">
        <v>10.43</v>
      </c>
      <c r="AL609" s="129">
        <v>10.44</v>
      </c>
      <c r="AM609" s="129">
        <v>10.464999999999998</v>
      </c>
      <c r="AN609" s="129">
        <v>10.469999999999999</v>
      </c>
      <c r="AO609" s="126" t="str">
        <f t="shared" si="53"/>
        <v/>
      </c>
      <c r="AR609" s="99" t="s">
        <v>136</v>
      </c>
    </row>
    <row r="610" spans="1:44" s="99" customFormat="1" ht="21" customHeight="1" x14ac:dyDescent="0.35">
      <c r="A610" s="99">
        <v>425</v>
      </c>
      <c r="B610" s="126" t="str">
        <f t="shared" si="49"/>
        <v>RM-304L/1D-004X768</v>
      </c>
      <c r="C610" s="126" t="s">
        <v>43</v>
      </c>
      <c r="D610" s="126" t="s">
        <v>43</v>
      </c>
      <c r="E610" s="143" t="s">
        <v>2152</v>
      </c>
      <c r="F610" s="143" t="s">
        <v>2153</v>
      </c>
      <c r="G610" s="126" t="s">
        <v>230</v>
      </c>
      <c r="H610" s="126" t="s">
        <v>139</v>
      </c>
      <c r="I610" s="127">
        <v>3.68</v>
      </c>
      <c r="J610" s="127"/>
      <c r="K610" s="127"/>
      <c r="L610" s="127"/>
      <c r="M610" s="144">
        <v>768</v>
      </c>
      <c r="N610" s="129">
        <v>11.074999999999999</v>
      </c>
      <c r="O610" s="129"/>
      <c r="P610" s="129"/>
      <c r="Q610" s="130"/>
      <c r="R610" s="131"/>
      <c r="S610" s="131"/>
      <c r="T610" s="132"/>
      <c r="U610" s="132"/>
      <c r="V610" s="132"/>
      <c r="W610" s="132"/>
      <c r="X610" s="132"/>
      <c r="Y610" s="133" t="s">
        <v>1942</v>
      </c>
      <c r="Z610" s="126" t="s">
        <v>64</v>
      </c>
      <c r="AA610" s="134" t="s">
        <v>154</v>
      </c>
      <c r="AB610" s="134" t="s">
        <v>1943</v>
      </c>
      <c r="AC610" s="134"/>
      <c r="AD610" s="134">
        <v>44585</v>
      </c>
      <c r="AE610" s="134"/>
      <c r="AF610" s="134">
        <f t="shared" ca="1" si="50"/>
        <v>44963</v>
      </c>
      <c r="AG610" s="126">
        <f t="shared" ca="1" si="51"/>
        <v>378</v>
      </c>
      <c r="AH610" s="126" t="str">
        <f t="shared" si="52"/>
        <v/>
      </c>
      <c r="AI610" s="134"/>
      <c r="AJ610" s="143" t="s">
        <v>2154</v>
      </c>
      <c r="AK610" s="129">
        <v>11.074999999999999</v>
      </c>
      <c r="AL610" s="129">
        <v>11.085000000000001</v>
      </c>
      <c r="AM610" s="129">
        <v>11.11</v>
      </c>
      <c r="AN610" s="129">
        <v>11.115</v>
      </c>
      <c r="AO610" s="126" t="str">
        <f t="shared" si="53"/>
        <v/>
      </c>
      <c r="AR610" s="99" t="s">
        <v>136</v>
      </c>
    </row>
    <row r="611" spans="1:44" s="99" customFormat="1" ht="21" customHeight="1" x14ac:dyDescent="0.35">
      <c r="A611" s="99">
        <v>425</v>
      </c>
      <c r="B611" s="126" t="str">
        <f t="shared" si="49"/>
        <v>RM-304L/1D-004X767</v>
      </c>
      <c r="C611" s="126" t="s">
        <v>43</v>
      </c>
      <c r="D611" s="126" t="s">
        <v>43</v>
      </c>
      <c r="E611" s="143" t="s">
        <v>2155</v>
      </c>
      <c r="F611" s="143" t="s">
        <v>2156</v>
      </c>
      <c r="G611" s="126" t="s">
        <v>230</v>
      </c>
      <c r="H611" s="126" t="s">
        <v>139</v>
      </c>
      <c r="I611" s="127">
        <v>3.69</v>
      </c>
      <c r="J611" s="127"/>
      <c r="K611" s="127"/>
      <c r="L611" s="127"/>
      <c r="M611" s="144">
        <v>767</v>
      </c>
      <c r="N611" s="129">
        <v>11.065</v>
      </c>
      <c r="O611" s="129"/>
      <c r="P611" s="129"/>
      <c r="Q611" s="130"/>
      <c r="R611" s="131"/>
      <c r="S611" s="131"/>
      <c r="T611" s="132"/>
      <c r="U611" s="132"/>
      <c r="V611" s="132"/>
      <c r="W611" s="132"/>
      <c r="X611" s="132"/>
      <c r="Y611" s="133" t="s">
        <v>1942</v>
      </c>
      <c r="Z611" s="126" t="s">
        <v>64</v>
      </c>
      <c r="AA611" s="134" t="s">
        <v>154</v>
      </c>
      <c r="AB611" s="134" t="s">
        <v>1943</v>
      </c>
      <c r="AC611" s="134"/>
      <c r="AD611" s="134">
        <v>44585</v>
      </c>
      <c r="AE611" s="134"/>
      <c r="AF611" s="134">
        <f t="shared" ca="1" si="50"/>
        <v>44963</v>
      </c>
      <c r="AG611" s="126">
        <f t="shared" ca="1" si="51"/>
        <v>378</v>
      </c>
      <c r="AH611" s="126" t="str">
        <f t="shared" si="52"/>
        <v/>
      </c>
      <c r="AI611" s="134"/>
      <c r="AJ611" s="143" t="s">
        <v>2154</v>
      </c>
      <c r="AK611" s="129">
        <v>11.065</v>
      </c>
      <c r="AL611" s="129">
        <v>11.074999999999999</v>
      </c>
      <c r="AM611" s="129">
        <v>11.099999999999998</v>
      </c>
      <c r="AN611" s="129">
        <v>11.104999999999999</v>
      </c>
      <c r="AO611" s="126" t="str">
        <f t="shared" si="53"/>
        <v/>
      </c>
      <c r="AR611" s="99" t="s">
        <v>136</v>
      </c>
    </row>
    <row r="612" spans="1:44" s="99" customFormat="1" ht="21" customHeight="1" x14ac:dyDescent="0.35">
      <c r="A612" s="99">
        <v>425</v>
      </c>
      <c r="B612" s="126" t="str">
        <f t="shared" si="49"/>
        <v>RM-304/1D-004X767</v>
      </c>
      <c r="C612" s="126" t="s">
        <v>43</v>
      </c>
      <c r="D612" s="126" t="s">
        <v>43</v>
      </c>
      <c r="E612" s="143" t="s">
        <v>2157</v>
      </c>
      <c r="F612" s="143" t="s">
        <v>2158</v>
      </c>
      <c r="G612" s="126">
        <v>304</v>
      </c>
      <c r="H612" s="126" t="s">
        <v>139</v>
      </c>
      <c r="I612" s="127">
        <v>4</v>
      </c>
      <c r="J612" s="127"/>
      <c r="K612" s="127"/>
      <c r="L612" s="127"/>
      <c r="M612" s="144">
        <v>767</v>
      </c>
      <c r="N612" s="129">
        <v>10.119999999999999</v>
      </c>
      <c r="O612" s="129"/>
      <c r="P612" s="129"/>
      <c r="Q612" s="130"/>
      <c r="R612" s="131"/>
      <c r="S612" s="131"/>
      <c r="T612" s="132"/>
      <c r="U612" s="132"/>
      <c r="V612" s="132"/>
      <c r="W612" s="132"/>
      <c r="X612" s="132"/>
      <c r="Y612" s="133" t="s">
        <v>1942</v>
      </c>
      <c r="Z612" s="126" t="s">
        <v>64</v>
      </c>
      <c r="AA612" s="134" t="s">
        <v>154</v>
      </c>
      <c r="AB612" s="134" t="s">
        <v>1943</v>
      </c>
      <c r="AC612" s="134"/>
      <c r="AD612" s="134">
        <v>44585</v>
      </c>
      <c r="AE612" s="134"/>
      <c r="AF612" s="134">
        <f t="shared" ca="1" si="50"/>
        <v>44963</v>
      </c>
      <c r="AG612" s="126">
        <f t="shared" ca="1" si="51"/>
        <v>378</v>
      </c>
      <c r="AH612" s="126" t="str">
        <f t="shared" si="52"/>
        <v/>
      </c>
      <c r="AI612" s="134"/>
      <c r="AJ612" s="143" t="s">
        <v>2159</v>
      </c>
      <c r="AK612" s="129">
        <v>10.119999999999999</v>
      </c>
      <c r="AL612" s="129">
        <v>10.130000000000001</v>
      </c>
      <c r="AM612" s="129">
        <v>10.154999999999999</v>
      </c>
      <c r="AN612" s="129">
        <v>10.16</v>
      </c>
      <c r="AO612" s="126" t="str">
        <f t="shared" si="53"/>
        <v/>
      </c>
      <c r="AR612" s="99" t="s">
        <v>136</v>
      </c>
    </row>
    <row r="613" spans="1:44" s="99" customFormat="1" ht="21" customHeight="1" x14ac:dyDescent="0.35">
      <c r="A613" s="99">
        <v>425</v>
      </c>
      <c r="B613" s="126" t="str">
        <f t="shared" si="49"/>
        <v>RM-304/1D-004X768</v>
      </c>
      <c r="C613" s="126" t="s">
        <v>43</v>
      </c>
      <c r="D613" s="126" t="s">
        <v>43</v>
      </c>
      <c r="E613" s="143" t="s">
        <v>2160</v>
      </c>
      <c r="F613" s="143" t="s">
        <v>2161</v>
      </c>
      <c r="G613" s="126">
        <v>304</v>
      </c>
      <c r="H613" s="126" t="s">
        <v>139</v>
      </c>
      <c r="I613" s="127">
        <v>3.99</v>
      </c>
      <c r="J613" s="127"/>
      <c r="K613" s="127"/>
      <c r="L613" s="127"/>
      <c r="M613" s="144">
        <v>768</v>
      </c>
      <c r="N613" s="129">
        <v>10.125</v>
      </c>
      <c r="O613" s="129"/>
      <c r="P613" s="129"/>
      <c r="Q613" s="130"/>
      <c r="R613" s="131"/>
      <c r="S613" s="131"/>
      <c r="T613" s="132"/>
      <c r="U613" s="132"/>
      <c r="V613" s="132"/>
      <c r="W613" s="132"/>
      <c r="X613" s="132"/>
      <c r="Y613" s="133" t="s">
        <v>1942</v>
      </c>
      <c r="Z613" s="126" t="s">
        <v>64</v>
      </c>
      <c r="AA613" s="134" t="s">
        <v>154</v>
      </c>
      <c r="AB613" s="134" t="s">
        <v>1943</v>
      </c>
      <c r="AC613" s="134"/>
      <c r="AD613" s="134">
        <v>44585</v>
      </c>
      <c r="AE613" s="134"/>
      <c r="AF613" s="134">
        <f t="shared" ca="1" si="50"/>
        <v>44963</v>
      </c>
      <c r="AG613" s="126">
        <f t="shared" ca="1" si="51"/>
        <v>378</v>
      </c>
      <c r="AH613" s="126" t="str">
        <f t="shared" si="52"/>
        <v/>
      </c>
      <c r="AI613" s="134"/>
      <c r="AJ613" s="143" t="s">
        <v>2159</v>
      </c>
      <c r="AK613" s="129">
        <v>10.125</v>
      </c>
      <c r="AL613" s="129">
        <v>10.135</v>
      </c>
      <c r="AM613" s="129">
        <v>10.159999999999998</v>
      </c>
      <c r="AN613" s="129">
        <v>10.164999999999999</v>
      </c>
      <c r="AO613" s="126" t="str">
        <f t="shared" si="53"/>
        <v/>
      </c>
      <c r="AR613" s="99" t="s">
        <v>136</v>
      </c>
    </row>
    <row r="614" spans="1:44" s="99" customFormat="1" ht="21" customHeight="1" x14ac:dyDescent="0.35">
      <c r="A614" s="99">
        <v>425</v>
      </c>
      <c r="B614" s="126" t="str">
        <f t="shared" si="49"/>
        <v>RM-304L/1D-004X766</v>
      </c>
      <c r="C614" s="126" t="s">
        <v>43</v>
      </c>
      <c r="D614" s="126" t="s">
        <v>43</v>
      </c>
      <c r="E614" s="143" t="s">
        <v>2162</v>
      </c>
      <c r="F614" s="143" t="s">
        <v>2163</v>
      </c>
      <c r="G614" s="126" t="s">
        <v>230</v>
      </c>
      <c r="H614" s="126" t="s">
        <v>139</v>
      </c>
      <c r="I614" s="127">
        <v>3.5</v>
      </c>
      <c r="J614" s="127"/>
      <c r="K614" s="127"/>
      <c r="L614" s="127"/>
      <c r="M614" s="144">
        <v>766</v>
      </c>
      <c r="N614" s="129">
        <v>11.89</v>
      </c>
      <c r="O614" s="129"/>
      <c r="P614" s="129"/>
      <c r="Q614" s="130"/>
      <c r="R614" s="131"/>
      <c r="S614" s="131"/>
      <c r="T614" s="132"/>
      <c r="U614" s="132"/>
      <c r="V614" s="132"/>
      <c r="W614" s="132"/>
      <c r="X614" s="132"/>
      <c r="Y614" s="133" t="s">
        <v>1942</v>
      </c>
      <c r="Z614" s="126" t="s">
        <v>64</v>
      </c>
      <c r="AA614" s="134" t="s">
        <v>154</v>
      </c>
      <c r="AB614" s="134" t="s">
        <v>1943</v>
      </c>
      <c r="AC614" s="134"/>
      <c r="AD614" s="134">
        <v>44585</v>
      </c>
      <c r="AE614" s="134"/>
      <c r="AF614" s="134">
        <f t="shared" ca="1" si="50"/>
        <v>44963</v>
      </c>
      <c r="AG614" s="126">
        <f t="shared" ca="1" si="51"/>
        <v>378</v>
      </c>
      <c r="AH614" s="126" t="str">
        <f t="shared" si="52"/>
        <v/>
      </c>
      <c r="AI614" s="134"/>
      <c r="AJ614" s="143" t="s">
        <v>2164</v>
      </c>
      <c r="AK614" s="129">
        <v>11.89</v>
      </c>
      <c r="AL614" s="129">
        <v>11.9</v>
      </c>
      <c r="AM614" s="129">
        <v>11.924999999999999</v>
      </c>
      <c r="AN614" s="129">
        <v>11.93</v>
      </c>
      <c r="AO614" s="126" t="str">
        <f t="shared" si="53"/>
        <v/>
      </c>
      <c r="AR614" s="99" t="s">
        <v>136</v>
      </c>
    </row>
    <row r="615" spans="1:44" s="99" customFormat="1" ht="21" customHeight="1" x14ac:dyDescent="0.35">
      <c r="A615" s="99">
        <v>425</v>
      </c>
      <c r="B615" s="126" t="str">
        <f t="shared" si="49"/>
        <v>RM-304L/1D-003X767</v>
      </c>
      <c r="C615" s="126" t="s">
        <v>43</v>
      </c>
      <c r="D615" s="126" t="s">
        <v>43</v>
      </c>
      <c r="E615" s="143" t="s">
        <v>2165</v>
      </c>
      <c r="F615" s="143" t="s">
        <v>2166</v>
      </c>
      <c r="G615" s="126" t="s">
        <v>230</v>
      </c>
      <c r="H615" s="126" t="s">
        <v>139</v>
      </c>
      <c r="I615" s="127">
        <v>3.49</v>
      </c>
      <c r="J615" s="127"/>
      <c r="K615" s="127"/>
      <c r="L615" s="127"/>
      <c r="M615" s="144">
        <v>767</v>
      </c>
      <c r="N615" s="129">
        <v>11.914999999999999</v>
      </c>
      <c r="O615" s="129"/>
      <c r="P615" s="129"/>
      <c r="Q615" s="130"/>
      <c r="R615" s="131"/>
      <c r="S615" s="131"/>
      <c r="T615" s="132"/>
      <c r="U615" s="132"/>
      <c r="V615" s="132"/>
      <c r="W615" s="132"/>
      <c r="X615" s="132"/>
      <c r="Y615" s="133" t="s">
        <v>1942</v>
      </c>
      <c r="Z615" s="126" t="s">
        <v>64</v>
      </c>
      <c r="AA615" s="134" t="s">
        <v>154</v>
      </c>
      <c r="AB615" s="134" t="s">
        <v>1943</v>
      </c>
      <c r="AC615" s="134"/>
      <c r="AD615" s="134">
        <v>44585</v>
      </c>
      <c r="AE615" s="134"/>
      <c r="AF615" s="134">
        <f t="shared" ca="1" si="50"/>
        <v>44963</v>
      </c>
      <c r="AG615" s="126">
        <f t="shared" ca="1" si="51"/>
        <v>378</v>
      </c>
      <c r="AH615" s="126" t="str">
        <f t="shared" si="52"/>
        <v/>
      </c>
      <c r="AI615" s="134"/>
      <c r="AJ615" s="143" t="s">
        <v>2164</v>
      </c>
      <c r="AK615" s="129">
        <v>11.914999999999999</v>
      </c>
      <c r="AL615" s="129">
        <v>11.925000000000001</v>
      </c>
      <c r="AM615" s="129">
        <v>11.95</v>
      </c>
      <c r="AN615" s="129">
        <v>11.955</v>
      </c>
      <c r="AO615" s="126" t="str">
        <f t="shared" si="53"/>
        <v/>
      </c>
      <c r="AR615" s="99" t="s">
        <v>136</v>
      </c>
    </row>
    <row r="616" spans="1:44" s="99" customFormat="1" ht="21" customHeight="1" x14ac:dyDescent="0.35">
      <c r="A616" s="99">
        <v>425</v>
      </c>
      <c r="B616" s="126" t="str">
        <f t="shared" si="49"/>
        <v>RM-304L/1D-003X767</v>
      </c>
      <c r="C616" s="126" t="s">
        <v>43</v>
      </c>
      <c r="D616" s="126" t="s">
        <v>43</v>
      </c>
      <c r="E616" s="143" t="s">
        <v>2167</v>
      </c>
      <c r="F616" s="143" t="s">
        <v>2168</v>
      </c>
      <c r="G616" s="126" t="s">
        <v>230</v>
      </c>
      <c r="H616" s="126" t="s">
        <v>139</v>
      </c>
      <c r="I616" s="127">
        <v>3.2</v>
      </c>
      <c r="J616" s="127"/>
      <c r="K616" s="127"/>
      <c r="L616" s="127"/>
      <c r="M616" s="144">
        <v>767</v>
      </c>
      <c r="N616" s="129">
        <v>12.17</v>
      </c>
      <c r="O616" s="129"/>
      <c r="P616" s="129"/>
      <c r="Q616" s="130"/>
      <c r="R616" s="131"/>
      <c r="S616" s="131"/>
      <c r="T616" s="132"/>
      <c r="U616" s="132"/>
      <c r="V616" s="132"/>
      <c r="W616" s="132"/>
      <c r="X616" s="132"/>
      <c r="Y616" s="133" t="s">
        <v>1942</v>
      </c>
      <c r="Z616" s="126" t="s">
        <v>64</v>
      </c>
      <c r="AA616" s="134" t="s">
        <v>154</v>
      </c>
      <c r="AB616" s="134" t="s">
        <v>1943</v>
      </c>
      <c r="AC616" s="134"/>
      <c r="AD616" s="134">
        <v>44585</v>
      </c>
      <c r="AE616" s="134"/>
      <c r="AF616" s="134">
        <f t="shared" ca="1" si="50"/>
        <v>44963</v>
      </c>
      <c r="AG616" s="126">
        <f t="shared" ca="1" si="51"/>
        <v>378</v>
      </c>
      <c r="AH616" s="126" t="str">
        <f t="shared" si="52"/>
        <v/>
      </c>
      <c r="AI616" s="134"/>
      <c r="AJ616" s="143" t="s">
        <v>2169</v>
      </c>
      <c r="AK616" s="129">
        <v>12.17</v>
      </c>
      <c r="AL616" s="129">
        <v>12.18</v>
      </c>
      <c r="AM616" s="129">
        <v>12.204999999999998</v>
      </c>
      <c r="AN616" s="129">
        <v>12.209999999999999</v>
      </c>
      <c r="AO616" s="126" t="str">
        <f t="shared" si="53"/>
        <v/>
      </c>
      <c r="AR616" s="99" t="s">
        <v>136</v>
      </c>
    </row>
    <row r="617" spans="1:44" s="99" customFormat="1" ht="21" customHeight="1" x14ac:dyDescent="0.35">
      <c r="A617" s="99">
        <v>425</v>
      </c>
      <c r="B617" s="126" t="str">
        <f t="shared" si="49"/>
        <v>RM-304L/1D-003X768</v>
      </c>
      <c r="C617" s="126" t="s">
        <v>43</v>
      </c>
      <c r="D617" s="126" t="s">
        <v>43</v>
      </c>
      <c r="E617" s="143" t="s">
        <v>2170</v>
      </c>
      <c r="F617" s="143" t="s">
        <v>2171</v>
      </c>
      <c r="G617" s="126" t="s">
        <v>230</v>
      </c>
      <c r="H617" s="126" t="s">
        <v>139</v>
      </c>
      <c r="I617" s="127">
        <v>3.2</v>
      </c>
      <c r="J617" s="127"/>
      <c r="K617" s="127"/>
      <c r="L617" s="127"/>
      <c r="M617" s="144">
        <v>768</v>
      </c>
      <c r="N617" s="129">
        <v>12.205</v>
      </c>
      <c r="O617" s="129"/>
      <c r="P617" s="129"/>
      <c r="Q617" s="130"/>
      <c r="R617" s="131"/>
      <c r="S617" s="131"/>
      <c r="T617" s="132"/>
      <c r="U617" s="132"/>
      <c r="V617" s="132"/>
      <c r="W617" s="132"/>
      <c r="X617" s="132"/>
      <c r="Y617" s="133" t="s">
        <v>1942</v>
      </c>
      <c r="Z617" s="126" t="s">
        <v>64</v>
      </c>
      <c r="AA617" s="134" t="s">
        <v>154</v>
      </c>
      <c r="AB617" s="134" t="s">
        <v>1943</v>
      </c>
      <c r="AC617" s="134"/>
      <c r="AD617" s="134">
        <v>44585</v>
      </c>
      <c r="AE617" s="134"/>
      <c r="AF617" s="134">
        <f t="shared" ca="1" si="50"/>
        <v>44963</v>
      </c>
      <c r="AG617" s="126">
        <f t="shared" ca="1" si="51"/>
        <v>378</v>
      </c>
      <c r="AH617" s="126" t="str">
        <f t="shared" si="52"/>
        <v/>
      </c>
      <c r="AI617" s="134"/>
      <c r="AJ617" s="143" t="s">
        <v>2169</v>
      </c>
      <c r="AK617" s="129">
        <v>12.205</v>
      </c>
      <c r="AL617" s="129">
        <v>12.215</v>
      </c>
      <c r="AM617" s="129">
        <v>12.239999999999998</v>
      </c>
      <c r="AN617" s="129">
        <v>12.244999999999999</v>
      </c>
      <c r="AO617" s="126" t="str">
        <f t="shared" si="53"/>
        <v/>
      </c>
      <c r="AR617" s="99" t="s">
        <v>136</v>
      </c>
    </row>
    <row r="618" spans="1:44" s="99" customFormat="1" ht="21" customHeight="1" x14ac:dyDescent="0.35">
      <c r="A618" s="99">
        <v>425</v>
      </c>
      <c r="B618" s="126" t="str">
        <f t="shared" si="49"/>
        <v>RM-304L/1D-003X767</v>
      </c>
      <c r="C618" s="126" t="s">
        <v>43</v>
      </c>
      <c r="D618" s="126" t="s">
        <v>43</v>
      </c>
      <c r="E618" s="143" t="s">
        <v>2172</v>
      </c>
      <c r="F618" s="143" t="s">
        <v>2173</v>
      </c>
      <c r="G618" s="126" t="s">
        <v>230</v>
      </c>
      <c r="H618" s="126" t="s">
        <v>139</v>
      </c>
      <c r="I618" s="127">
        <v>3.49</v>
      </c>
      <c r="J618" s="127"/>
      <c r="K618" s="127"/>
      <c r="L618" s="127"/>
      <c r="M618" s="144">
        <v>767</v>
      </c>
      <c r="N618" s="129">
        <v>11.72</v>
      </c>
      <c r="O618" s="129"/>
      <c r="P618" s="129"/>
      <c r="Q618" s="130"/>
      <c r="R618" s="131"/>
      <c r="S618" s="131"/>
      <c r="T618" s="132"/>
      <c r="U618" s="132"/>
      <c r="V618" s="132"/>
      <c r="W618" s="132"/>
      <c r="X618" s="132"/>
      <c r="Y618" s="133" t="s">
        <v>1942</v>
      </c>
      <c r="Z618" s="126" t="s">
        <v>64</v>
      </c>
      <c r="AA618" s="134" t="s">
        <v>154</v>
      </c>
      <c r="AB618" s="134" t="s">
        <v>1943</v>
      </c>
      <c r="AC618" s="134"/>
      <c r="AD618" s="134">
        <v>44585</v>
      </c>
      <c r="AE618" s="134"/>
      <c r="AF618" s="134">
        <f t="shared" ca="1" si="50"/>
        <v>44963</v>
      </c>
      <c r="AG618" s="126">
        <f t="shared" ca="1" si="51"/>
        <v>378</v>
      </c>
      <c r="AH618" s="126" t="str">
        <f t="shared" si="52"/>
        <v/>
      </c>
      <c r="AI618" s="134"/>
      <c r="AJ618" s="143" t="s">
        <v>2174</v>
      </c>
      <c r="AK618" s="129">
        <v>11.72</v>
      </c>
      <c r="AL618" s="129">
        <v>11.73</v>
      </c>
      <c r="AM618" s="129">
        <v>11.754999999999999</v>
      </c>
      <c r="AN618" s="129">
        <v>11.76</v>
      </c>
      <c r="AO618" s="126" t="str">
        <f t="shared" si="53"/>
        <v/>
      </c>
      <c r="AR618" s="99" t="s">
        <v>136</v>
      </c>
    </row>
    <row r="619" spans="1:44" s="99" customFormat="1" ht="21" customHeight="1" x14ac:dyDescent="0.35">
      <c r="A619" s="99">
        <v>425</v>
      </c>
      <c r="B619" s="126" t="str">
        <f t="shared" si="49"/>
        <v>RM-304L/1D-003X768</v>
      </c>
      <c r="C619" s="126" t="s">
        <v>43</v>
      </c>
      <c r="D619" s="126" t="s">
        <v>43</v>
      </c>
      <c r="E619" s="143" t="s">
        <v>2175</v>
      </c>
      <c r="F619" s="143" t="s">
        <v>2176</v>
      </c>
      <c r="G619" s="126" t="s">
        <v>230</v>
      </c>
      <c r="H619" s="126" t="s">
        <v>139</v>
      </c>
      <c r="I619" s="127">
        <v>3.49</v>
      </c>
      <c r="J619" s="127"/>
      <c r="K619" s="127"/>
      <c r="L619" s="127"/>
      <c r="M619" s="144">
        <v>768</v>
      </c>
      <c r="N619" s="129">
        <v>11.72</v>
      </c>
      <c r="O619" s="129"/>
      <c r="P619" s="129"/>
      <c r="Q619" s="130"/>
      <c r="R619" s="131"/>
      <c r="S619" s="131"/>
      <c r="T619" s="132"/>
      <c r="U619" s="132"/>
      <c r="V619" s="132"/>
      <c r="W619" s="132"/>
      <c r="X619" s="132"/>
      <c r="Y619" s="133" t="s">
        <v>1942</v>
      </c>
      <c r="Z619" s="126" t="s">
        <v>64</v>
      </c>
      <c r="AA619" s="134" t="s">
        <v>154</v>
      </c>
      <c r="AB619" s="134" t="s">
        <v>1943</v>
      </c>
      <c r="AC619" s="134"/>
      <c r="AD619" s="134">
        <v>44585</v>
      </c>
      <c r="AE619" s="134"/>
      <c r="AF619" s="134">
        <f t="shared" ca="1" si="50"/>
        <v>44963</v>
      </c>
      <c r="AG619" s="126">
        <f t="shared" ca="1" si="51"/>
        <v>378</v>
      </c>
      <c r="AH619" s="126" t="str">
        <f t="shared" si="52"/>
        <v/>
      </c>
      <c r="AI619" s="134"/>
      <c r="AJ619" s="143" t="s">
        <v>2174</v>
      </c>
      <c r="AK619" s="129">
        <v>11.72</v>
      </c>
      <c r="AL619" s="129">
        <v>11.73</v>
      </c>
      <c r="AM619" s="129">
        <v>11.754999999999999</v>
      </c>
      <c r="AN619" s="129">
        <v>11.76</v>
      </c>
      <c r="AO619" s="126" t="str">
        <f t="shared" si="53"/>
        <v/>
      </c>
      <c r="AR619" s="99" t="s">
        <v>136</v>
      </c>
    </row>
    <row r="620" spans="1:44" s="99" customFormat="1" ht="21" customHeight="1" x14ac:dyDescent="0.35">
      <c r="A620" s="99">
        <v>425</v>
      </c>
      <c r="B620" s="126" t="str">
        <f t="shared" si="49"/>
        <v>RM-304L/1D-003X767</v>
      </c>
      <c r="C620" s="126" t="s">
        <v>43</v>
      </c>
      <c r="D620" s="126" t="s">
        <v>43</v>
      </c>
      <c r="E620" s="143" t="s">
        <v>2177</v>
      </c>
      <c r="F620" s="143" t="s">
        <v>2178</v>
      </c>
      <c r="G620" s="126" t="s">
        <v>230</v>
      </c>
      <c r="H620" s="126" t="s">
        <v>139</v>
      </c>
      <c r="I620" s="127">
        <v>3</v>
      </c>
      <c r="J620" s="127"/>
      <c r="K620" s="127"/>
      <c r="L620" s="127"/>
      <c r="M620" s="144">
        <v>767</v>
      </c>
      <c r="N620" s="129">
        <v>11.44</v>
      </c>
      <c r="O620" s="129"/>
      <c r="P620" s="129"/>
      <c r="Q620" s="130"/>
      <c r="R620" s="131"/>
      <c r="S620" s="131"/>
      <c r="T620" s="132"/>
      <c r="U620" s="132"/>
      <c r="V620" s="132"/>
      <c r="W620" s="132"/>
      <c r="X620" s="132"/>
      <c r="Y620" s="133" t="s">
        <v>1942</v>
      </c>
      <c r="Z620" s="126" t="s">
        <v>64</v>
      </c>
      <c r="AA620" s="134" t="s">
        <v>154</v>
      </c>
      <c r="AB620" s="134" t="s">
        <v>1943</v>
      </c>
      <c r="AC620" s="134"/>
      <c r="AD620" s="134">
        <v>44585</v>
      </c>
      <c r="AE620" s="134"/>
      <c r="AF620" s="134">
        <f t="shared" ca="1" si="50"/>
        <v>44963</v>
      </c>
      <c r="AG620" s="126">
        <f t="shared" ca="1" si="51"/>
        <v>378</v>
      </c>
      <c r="AH620" s="126" t="str">
        <f t="shared" si="52"/>
        <v/>
      </c>
      <c r="AI620" s="134"/>
      <c r="AJ620" s="143" t="s">
        <v>2179</v>
      </c>
      <c r="AK620" s="129">
        <v>11.44</v>
      </c>
      <c r="AL620" s="129">
        <v>11.45</v>
      </c>
      <c r="AM620" s="129">
        <v>11.474999999999998</v>
      </c>
      <c r="AN620" s="129">
        <v>11.479999999999999</v>
      </c>
      <c r="AO620" s="126" t="str">
        <f t="shared" si="53"/>
        <v/>
      </c>
      <c r="AR620" s="99" t="s">
        <v>136</v>
      </c>
    </row>
    <row r="621" spans="1:44" s="99" customFormat="1" ht="21" customHeight="1" x14ac:dyDescent="0.35">
      <c r="A621" s="99">
        <v>425</v>
      </c>
      <c r="B621" s="126" t="str">
        <f t="shared" si="49"/>
        <v>RM-304L/1D-003X767</v>
      </c>
      <c r="C621" s="126" t="s">
        <v>43</v>
      </c>
      <c r="D621" s="126" t="s">
        <v>43</v>
      </c>
      <c r="E621" s="143" t="s">
        <v>2180</v>
      </c>
      <c r="F621" s="143" t="s">
        <v>2181</v>
      </c>
      <c r="G621" s="126" t="s">
        <v>230</v>
      </c>
      <c r="H621" s="126" t="s">
        <v>139</v>
      </c>
      <c r="I621" s="127">
        <v>2.99</v>
      </c>
      <c r="J621" s="127"/>
      <c r="K621" s="127"/>
      <c r="L621" s="127"/>
      <c r="M621" s="144">
        <v>767</v>
      </c>
      <c r="N621" s="129">
        <v>11.494999999999999</v>
      </c>
      <c r="O621" s="129"/>
      <c r="P621" s="129"/>
      <c r="Q621" s="130"/>
      <c r="R621" s="131"/>
      <c r="S621" s="131"/>
      <c r="T621" s="132"/>
      <c r="U621" s="132"/>
      <c r="V621" s="132"/>
      <c r="W621" s="132"/>
      <c r="X621" s="132"/>
      <c r="Y621" s="133" t="s">
        <v>1942</v>
      </c>
      <c r="Z621" s="126" t="s">
        <v>64</v>
      </c>
      <c r="AA621" s="134" t="s">
        <v>154</v>
      </c>
      <c r="AB621" s="134" t="s">
        <v>1943</v>
      </c>
      <c r="AC621" s="134"/>
      <c r="AD621" s="134">
        <v>44585</v>
      </c>
      <c r="AE621" s="134"/>
      <c r="AF621" s="134">
        <f t="shared" ca="1" si="50"/>
        <v>44963</v>
      </c>
      <c r="AG621" s="126">
        <f t="shared" ca="1" si="51"/>
        <v>378</v>
      </c>
      <c r="AH621" s="126" t="str">
        <f t="shared" si="52"/>
        <v/>
      </c>
      <c r="AI621" s="134"/>
      <c r="AJ621" s="143" t="s">
        <v>2179</v>
      </c>
      <c r="AK621" s="129">
        <v>11.494999999999999</v>
      </c>
      <c r="AL621" s="129">
        <v>11.505000000000001</v>
      </c>
      <c r="AM621" s="129">
        <v>11.53</v>
      </c>
      <c r="AN621" s="129">
        <v>11.535</v>
      </c>
      <c r="AO621" s="126" t="str">
        <f t="shared" si="53"/>
        <v/>
      </c>
      <c r="AR621" s="99" t="s">
        <v>136</v>
      </c>
    </row>
    <row r="622" spans="1:44" s="99" customFormat="1" ht="21" customHeight="1" x14ac:dyDescent="0.35">
      <c r="A622" s="99">
        <v>425</v>
      </c>
      <c r="B622" s="126" t="str">
        <f t="shared" si="49"/>
        <v>RM-304/1D-003X767</v>
      </c>
      <c r="C622" s="126" t="s">
        <v>43</v>
      </c>
      <c r="D622" s="126" t="s">
        <v>43</v>
      </c>
      <c r="E622" s="143" t="s">
        <v>2182</v>
      </c>
      <c r="F622" s="143" t="s">
        <v>2183</v>
      </c>
      <c r="G622" s="126">
        <v>304</v>
      </c>
      <c r="H622" s="126" t="s">
        <v>139</v>
      </c>
      <c r="I622" s="127">
        <v>2.95</v>
      </c>
      <c r="J622" s="127"/>
      <c r="K622" s="127"/>
      <c r="L622" s="127"/>
      <c r="M622" s="144">
        <v>767</v>
      </c>
      <c r="N622" s="129">
        <v>11.965</v>
      </c>
      <c r="O622" s="129"/>
      <c r="P622" s="129"/>
      <c r="Q622" s="130"/>
      <c r="R622" s="131"/>
      <c r="S622" s="131"/>
      <c r="T622" s="132"/>
      <c r="U622" s="132"/>
      <c r="V622" s="132"/>
      <c r="W622" s="132"/>
      <c r="X622" s="132"/>
      <c r="Y622" s="133" t="s">
        <v>1942</v>
      </c>
      <c r="Z622" s="126" t="s">
        <v>64</v>
      </c>
      <c r="AA622" s="134" t="s">
        <v>154</v>
      </c>
      <c r="AB622" s="134" t="s">
        <v>1943</v>
      </c>
      <c r="AC622" s="134"/>
      <c r="AD622" s="134">
        <v>44585</v>
      </c>
      <c r="AE622" s="134"/>
      <c r="AF622" s="134">
        <f t="shared" ca="1" si="50"/>
        <v>44963</v>
      </c>
      <c r="AG622" s="126">
        <f t="shared" ca="1" si="51"/>
        <v>378</v>
      </c>
      <c r="AH622" s="126" t="str">
        <f t="shared" si="52"/>
        <v/>
      </c>
      <c r="AI622" s="134"/>
      <c r="AJ622" s="143" t="s">
        <v>2184</v>
      </c>
      <c r="AK622" s="129">
        <v>11.965</v>
      </c>
      <c r="AL622" s="129">
        <v>11.975</v>
      </c>
      <c r="AM622" s="129">
        <v>11.999999999999998</v>
      </c>
      <c r="AN622" s="129">
        <v>12.004999999999999</v>
      </c>
      <c r="AO622" s="126" t="str">
        <f t="shared" si="53"/>
        <v/>
      </c>
      <c r="AR622" s="99" t="s">
        <v>136</v>
      </c>
    </row>
    <row r="623" spans="1:44" s="99" customFormat="1" ht="21" customHeight="1" x14ac:dyDescent="0.35">
      <c r="A623" s="99">
        <v>425</v>
      </c>
      <c r="B623" s="126" t="str">
        <f t="shared" si="49"/>
        <v>RM-304/1D-003X767</v>
      </c>
      <c r="C623" s="126" t="s">
        <v>43</v>
      </c>
      <c r="D623" s="126" t="s">
        <v>43</v>
      </c>
      <c r="E623" s="143" t="s">
        <v>2185</v>
      </c>
      <c r="F623" s="143" t="s">
        <v>2186</v>
      </c>
      <c r="G623" s="126">
        <v>304</v>
      </c>
      <c r="H623" s="126" t="s">
        <v>139</v>
      </c>
      <c r="I623" s="127">
        <v>2.96</v>
      </c>
      <c r="J623" s="127"/>
      <c r="K623" s="127"/>
      <c r="L623" s="127"/>
      <c r="M623" s="144">
        <v>767</v>
      </c>
      <c r="N623" s="129">
        <v>12.01</v>
      </c>
      <c r="O623" s="129"/>
      <c r="P623" s="129"/>
      <c r="Q623" s="130"/>
      <c r="R623" s="131"/>
      <c r="S623" s="131"/>
      <c r="T623" s="132"/>
      <c r="U623" s="132"/>
      <c r="V623" s="132"/>
      <c r="W623" s="132"/>
      <c r="X623" s="132"/>
      <c r="Y623" s="133" t="s">
        <v>1942</v>
      </c>
      <c r="Z623" s="126" t="s">
        <v>64</v>
      </c>
      <c r="AA623" s="134" t="s">
        <v>154</v>
      </c>
      <c r="AB623" s="134" t="s">
        <v>1943</v>
      </c>
      <c r="AC623" s="134"/>
      <c r="AD623" s="134">
        <v>44585</v>
      </c>
      <c r="AE623" s="134"/>
      <c r="AF623" s="134">
        <f t="shared" ca="1" si="50"/>
        <v>44963</v>
      </c>
      <c r="AG623" s="126">
        <f t="shared" ca="1" si="51"/>
        <v>378</v>
      </c>
      <c r="AH623" s="126" t="str">
        <f t="shared" si="52"/>
        <v/>
      </c>
      <c r="AI623" s="134"/>
      <c r="AJ623" s="143" t="s">
        <v>2184</v>
      </c>
      <c r="AK623" s="129">
        <v>12.01</v>
      </c>
      <c r="AL623" s="129">
        <v>12.02</v>
      </c>
      <c r="AM623" s="129">
        <v>12.044999999999998</v>
      </c>
      <c r="AN623" s="129">
        <v>12.049999999999999</v>
      </c>
      <c r="AO623" s="126" t="str">
        <f t="shared" si="53"/>
        <v/>
      </c>
      <c r="AR623" s="99" t="s">
        <v>136</v>
      </c>
    </row>
    <row r="624" spans="1:44" s="99" customFormat="1" ht="21" customHeight="1" x14ac:dyDescent="0.35">
      <c r="A624" s="99">
        <v>425</v>
      </c>
      <c r="B624" s="126" t="str">
        <f t="shared" si="49"/>
        <v>RM-304/1D-004X766</v>
      </c>
      <c r="C624" s="126" t="s">
        <v>43</v>
      </c>
      <c r="D624" s="126" t="s">
        <v>43</v>
      </c>
      <c r="E624" s="143" t="s">
        <v>2187</v>
      </c>
      <c r="F624" s="143" t="s">
        <v>2188</v>
      </c>
      <c r="G624" s="126">
        <v>304</v>
      </c>
      <c r="H624" s="126" t="s">
        <v>139</v>
      </c>
      <c r="I624" s="127">
        <v>3.8</v>
      </c>
      <c r="J624" s="127"/>
      <c r="K624" s="127"/>
      <c r="L624" s="127"/>
      <c r="M624" s="144">
        <v>766</v>
      </c>
      <c r="N624" s="129">
        <v>10.005000000000001</v>
      </c>
      <c r="O624" s="129"/>
      <c r="P624" s="129"/>
      <c r="Q624" s="130"/>
      <c r="R624" s="131"/>
      <c r="S624" s="131"/>
      <c r="T624" s="132"/>
      <c r="U624" s="132"/>
      <c r="V624" s="132"/>
      <c r="W624" s="132"/>
      <c r="X624" s="132"/>
      <c r="Y624" s="133" t="s">
        <v>1942</v>
      </c>
      <c r="Z624" s="126" t="s">
        <v>64</v>
      </c>
      <c r="AA624" s="134" t="s">
        <v>154</v>
      </c>
      <c r="AB624" s="134" t="s">
        <v>1943</v>
      </c>
      <c r="AC624" s="134"/>
      <c r="AD624" s="134">
        <v>44585</v>
      </c>
      <c r="AE624" s="134"/>
      <c r="AF624" s="134">
        <f t="shared" ca="1" si="50"/>
        <v>44963</v>
      </c>
      <c r="AG624" s="126">
        <f t="shared" ca="1" si="51"/>
        <v>378</v>
      </c>
      <c r="AH624" s="126" t="str">
        <f t="shared" si="52"/>
        <v/>
      </c>
      <c r="AI624" s="134"/>
      <c r="AJ624" s="143" t="s">
        <v>2189</v>
      </c>
      <c r="AK624" s="129">
        <v>10.005000000000001</v>
      </c>
      <c r="AL624" s="129">
        <v>10.015000000000001</v>
      </c>
      <c r="AM624" s="129">
        <v>10.039999999999999</v>
      </c>
      <c r="AN624" s="129">
        <v>10.045</v>
      </c>
      <c r="AO624" s="126" t="str">
        <f t="shared" si="53"/>
        <v/>
      </c>
      <c r="AR624" s="99" t="s">
        <v>136</v>
      </c>
    </row>
    <row r="625" spans="1:44" s="99" customFormat="1" ht="21" customHeight="1" x14ac:dyDescent="0.35">
      <c r="A625" s="99">
        <v>425</v>
      </c>
      <c r="B625" s="126" t="str">
        <f t="shared" si="49"/>
        <v>RM-304/1D-004X768</v>
      </c>
      <c r="C625" s="126" t="s">
        <v>43</v>
      </c>
      <c r="D625" s="126" t="s">
        <v>43</v>
      </c>
      <c r="E625" s="143" t="s">
        <v>2190</v>
      </c>
      <c r="F625" s="143" t="s">
        <v>2191</v>
      </c>
      <c r="G625" s="126">
        <v>304</v>
      </c>
      <c r="H625" s="126" t="s">
        <v>139</v>
      </c>
      <c r="I625" s="127">
        <v>3.8</v>
      </c>
      <c r="J625" s="127"/>
      <c r="K625" s="127"/>
      <c r="L625" s="127"/>
      <c r="M625" s="144">
        <v>768</v>
      </c>
      <c r="N625" s="129">
        <v>10.06</v>
      </c>
      <c r="O625" s="129"/>
      <c r="P625" s="129"/>
      <c r="Q625" s="130"/>
      <c r="R625" s="131"/>
      <c r="S625" s="131"/>
      <c r="T625" s="132"/>
      <c r="U625" s="132"/>
      <c r="V625" s="132"/>
      <c r="W625" s="132"/>
      <c r="X625" s="132"/>
      <c r="Y625" s="133" t="s">
        <v>1942</v>
      </c>
      <c r="Z625" s="126" t="s">
        <v>64</v>
      </c>
      <c r="AA625" s="134" t="s">
        <v>154</v>
      </c>
      <c r="AB625" s="134" t="s">
        <v>1943</v>
      </c>
      <c r="AC625" s="134"/>
      <c r="AD625" s="134">
        <v>44585</v>
      </c>
      <c r="AE625" s="134"/>
      <c r="AF625" s="134">
        <f t="shared" ca="1" si="50"/>
        <v>44963</v>
      </c>
      <c r="AG625" s="126">
        <f t="shared" ca="1" si="51"/>
        <v>378</v>
      </c>
      <c r="AH625" s="126" t="str">
        <f t="shared" si="52"/>
        <v/>
      </c>
      <c r="AI625" s="134"/>
      <c r="AJ625" s="143" t="s">
        <v>2189</v>
      </c>
      <c r="AK625" s="129">
        <v>10.06</v>
      </c>
      <c r="AL625" s="129">
        <v>10.07</v>
      </c>
      <c r="AM625" s="129">
        <v>10.094999999999999</v>
      </c>
      <c r="AN625" s="129">
        <v>10.1</v>
      </c>
      <c r="AO625" s="126" t="str">
        <f t="shared" si="53"/>
        <v/>
      </c>
      <c r="AR625" s="99" t="s">
        <v>136</v>
      </c>
    </row>
    <row r="626" spans="1:44" s="99" customFormat="1" ht="21" customHeight="1" x14ac:dyDescent="0.35">
      <c r="A626" s="99">
        <v>425</v>
      </c>
      <c r="B626" s="126" t="str">
        <f t="shared" si="49"/>
        <v>RM-304L/1D-004X767</v>
      </c>
      <c r="C626" s="126" t="s">
        <v>43</v>
      </c>
      <c r="D626" s="126" t="s">
        <v>43</v>
      </c>
      <c r="E626" s="143" t="s">
        <v>2192</v>
      </c>
      <c r="F626" s="143" t="s">
        <v>2193</v>
      </c>
      <c r="G626" s="126" t="s">
        <v>230</v>
      </c>
      <c r="H626" s="126" t="s">
        <v>139</v>
      </c>
      <c r="I626" s="127">
        <v>3.9</v>
      </c>
      <c r="J626" s="127"/>
      <c r="K626" s="127"/>
      <c r="L626" s="127"/>
      <c r="M626" s="144">
        <v>767</v>
      </c>
      <c r="N626" s="129">
        <v>10.435</v>
      </c>
      <c r="O626" s="129"/>
      <c r="P626" s="129"/>
      <c r="Q626" s="130"/>
      <c r="R626" s="131"/>
      <c r="S626" s="131"/>
      <c r="T626" s="132"/>
      <c r="U626" s="132"/>
      <c r="V626" s="132"/>
      <c r="W626" s="132"/>
      <c r="X626" s="132"/>
      <c r="Y626" s="133" t="s">
        <v>1942</v>
      </c>
      <c r="Z626" s="126" t="s">
        <v>64</v>
      </c>
      <c r="AA626" s="134" t="s">
        <v>154</v>
      </c>
      <c r="AB626" s="134" t="s">
        <v>1943</v>
      </c>
      <c r="AC626" s="134"/>
      <c r="AD626" s="134">
        <v>44585</v>
      </c>
      <c r="AE626" s="134"/>
      <c r="AF626" s="134">
        <f t="shared" ca="1" si="50"/>
        <v>44963</v>
      </c>
      <c r="AG626" s="126">
        <f t="shared" ca="1" si="51"/>
        <v>378</v>
      </c>
      <c r="AH626" s="126" t="str">
        <f t="shared" si="52"/>
        <v/>
      </c>
      <c r="AI626" s="134"/>
      <c r="AJ626" s="143" t="s">
        <v>2194</v>
      </c>
      <c r="AK626" s="129">
        <v>10.435</v>
      </c>
      <c r="AL626" s="129">
        <v>10.445</v>
      </c>
      <c r="AM626" s="129">
        <v>10.469999999999999</v>
      </c>
      <c r="AN626" s="129">
        <v>10.475</v>
      </c>
      <c r="AO626" s="126" t="str">
        <f t="shared" si="53"/>
        <v/>
      </c>
      <c r="AR626" s="99" t="s">
        <v>136</v>
      </c>
    </row>
    <row r="627" spans="1:44" s="99" customFormat="1" ht="21" customHeight="1" x14ac:dyDescent="0.35">
      <c r="A627" s="99">
        <v>425</v>
      </c>
      <c r="B627" s="126" t="str">
        <f t="shared" si="49"/>
        <v>RM-304L/1D-004X768</v>
      </c>
      <c r="C627" s="126" t="s">
        <v>43</v>
      </c>
      <c r="D627" s="126" t="s">
        <v>43</v>
      </c>
      <c r="E627" s="143" t="s">
        <v>2195</v>
      </c>
      <c r="F627" s="143" t="s">
        <v>2196</v>
      </c>
      <c r="G627" s="126" t="s">
        <v>230</v>
      </c>
      <c r="H627" s="126" t="s">
        <v>139</v>
      </c>
      <c r="I627" s="127">
        <v>3.91</v>
      </c>
      <c r="J627" s="127"/>
      <c r="K627" s="127"/>
      <c r="L627" s="127"/>
      <c r="M627" s="144">
        <v>768</v>
      </c>
      <c r="N627" s="129">
        <v>10.43</v>
      </c>
      <c r="O627" s="129"/>
      <c r="P627" s="129"/>
      <c r="Q627" s="130"/>
      <c r="R627" s="131"/>
      <c r="S627" s="131"/>
      <c r="T627" s="132"/>
      <c r="U627" s="132"/>
      <c r="V627" s="132"/>
      <c r="W627" s="132"/>
      <c r="X627" s="132"/>
      <c r="Y627" s="133" t="s">
        <v>1942</v>
      </c>
      <c r="Z627" s="126" t="s">
        <v>64</v>
      </c>
      <c r="AA627" s="134" t="s">
        <v>154</v>
      </c>
      <c r="AB627" s="134" t="s">
        <v>1943</v>
      </c>
      <c r="AC627" s="134"/>
      <c r="AD627" s="134">
        <v>44585</v>
      </c>
      <c r="AE627" s="134"/>
      <c r="AF627" s="134">
        <f t="shared" ca="1" si="50"/>
        <v>44963</v>
      </c>
      <c r="AG627" s="126">
        <f t="shared" ca="1" si="51"/>
        <v>378</v>
      </c>
      <c r="AH627" s="126" t="str">
        <f t="shared" si="52"/>
        <v/>
      </c>
      <c r="AI627" s="134"/>
      <c r="AJ627" s="143" t="s">
        <v>2194</v>
      </c>
      <c r="AK627" s="129">
        <v>10.43</v>
      </c>
      <c r="AL627" s="129">
        <v>10.44</v>
      </c>
      <c r="AM627" s="129">
        <v>10.464999999999998</v>
      </c>
      <c r="AN627" s="129">
        <v>10.469999999999999</v>
      </c>
      <c r="AO627" s="126" t="str">
        <f t="shared" si="53"/>
        <v/>
      </c>
      <c r="AR627" s="99" t="s">
        <v>136</v>
      </c>
    </row>
    <row r="628" spans="1:44" s="99" customFormat="1" ht="21" customHeight="1" x14ac:dyDescent="0.35">
      <c r="A628" s="99">
        <v>425</v>
      </c>
      <c r="B628" s="126" t="str">
        <f t="shared" si="49"/>
        <v>RM-304L/1D-003X767</v>
      </c>
      <c r="C628" s="126" t="s">
        <v>43</v>
      </c>
      <c r="D628" s="126" t="s">
        <v>43</v>
      </c>
      <c r="E628" s="143" t="s">
        <v>2197</v>
      </c>
      <c r="F628" s="143" t="s">
        <v>2198</v>
      </c>
      <c r="G628" s="126" t="s">
        <v>230</v>
      </c>
      <c r="H628" s="126" t="s">
        <v>139</v>
      </c>
      <c r="I628" s="127">
        <v>3.2</v>
      </c>
      <c r="J628" s="127"/>
      <c r="K628" s="127"/>
      <c r="L628" s="127"/>
      <c r="M628" s="144">
        <v>767</v>
      </c>
      <c r="N628" s="129">
        <v>12.145</v>
      </c>
      <c r="O628" s="129"/>
      <c r="P628" s="129"/>
      <c r="Q628" s="130"/>
      <c r="R628" s="131"/>
      <c r="S628" s="131"/>
      <c r="T628" s="132"/>
      <c r="U628" s="132"/>
      <c r="V628" s="132"/>
      <c r="W628" s="132"/>
      <c r="X628" s="132"/>
      <c r="Y628" s="133" t="s">
        <v>1942</v>
      </c>
      <c r="Z628" s="126" t="s">
        <v>64</v>
      </c>
      <c r="AA628" s="134" t="s">
        <v>154</v>
      </c>
      <c r="AB628" s="134" t="s">
        <v>1943</v>
      </c>
      <c r="AC628" s="134"/>
      <c r="AD628" s="134">
        <v>44585</v>
      </c>
      <c r="AE628" s="134"/>
      <c r="AF628" s="134">
        <f t="shared" ca="1" si="50"/>
        <v>44963</v>
      </c>
      <c r="AG628" s="126">
        <f t="shared" ca="1" si="51"/>
        <v>378</v>
      </c>
      <c r="AH628" s="126" t="str">
        <f t="shared" si="52"/>
        <v/>
      </c>
      <c r="AI628" s="134"/>
      <c r="AJ628" s="143" t="s">
        <v>2199</v>
      </c>
      <c r="AK628" s="129">
        <v>12.145</v>
      </c>
      <c r="AL628" s="129">
        <v>12.154999999999999</v>
      </c>
      <c r="AM628" s="129">
        <v>12.179999999999998</v>
      </c>
      <c r="AN628" s="129">
        <v>12.184999999999999</v>
      </c>
      <c r="AO628" s="126" t="str">
        <f t="shared" si="53"/>
        <v/>
      </c>
      <c r="AR628" s="99" t="s">
        <v>136</v>
      </c>
    </row>
    <row r="629" spans="1:44" s="99" customFormat="1" ht="21" customHeight="1" x14ac:dyDescent="0.35">
      <c r="A629" s="99">
        <v>425</v>
      </c>
      <c r="B629" s="126" t="str">
        <f t="shared" si="49"/>
        <v>RM-304L/1D-003X768</v>
      </c>
      <c r="C629" s="126" t="s">
        <v>43</v>
      </c>
      <c r="D629" s="126" t="s">
        <v>43</v>
      </c>
      <c r="E629" s="143" t="s">
        <v>2200</v>
      </c>
      <c r="F629" s="143" t="s">
        <v>2201</v>
      </c>
      <c r="G629" s="126" t="s">
        <v>230</v>
      </c>
      <c r="H629" s="126" t="s">
        <v>139</v>
      </c>
      <c r="I629" s="127">
        <v>3.2</v>
      </c>
      <c r="J629" s="127"/>
      <c r="K629" s="127"/>
      <c r="L629" s="127"/>
      <c r="M629" s="144">
        <v>768</v>
      </c>
      <c r="N629" s="129">
        <v>12.17</v>
      </c>
      <c r="O629" s="129"/>
      <c r="P629" s="129"/>
      <c r="Q629" s="130"/>
      <c r="R629" s="131"/>
      <c r="S629" s="131"/>
      <c r="T629" s="132"/>
      <c r="U629" s="132"/>
      <c r="V629" s="132"/>
      <c r="W629" s="132"/>
      <c r="X629" s="132"/>
      <c r="Y629" s="133" t="s">
        <v>1942</v>
      </c>
      <c r="Z629" s="126" t="s">
        <v>64</v>
      </c>
      <c r="AA629" s="134" t="s">
        <v>154</v>
      </c>
      <c r="AB629" s="134" t="s">
        <v>1943</v>
      </c>
      <c r="AC629" s="134"/>
      <c r="AD629" s="134">
        <v>44585</v>
      </c>
      <c r="AE629" s="134"/>
      <c r="AF629" s="134">
        <f t="shared" ca="1" si="50"/>
        <v>44963</v>
      </c>
      <c r="AG629" s="126">
        <f t="shared" ca="1" si="51"/>
        <v>378</v>
      </c>
      <c r="AH629" s="126" t="str">
        <f t="shared" si="52"/>
        <v/>
      </c>
      <c r="AI629" s="134"/>
      <c r="AJ629" s="143" t="s">
        <v>2199</v>
      </c>
      <c r="AK629" s="129">
        <v>12.17</v>
      </c>
      <c r="AL629" s="129">
        <v>12.18</v>
      </c>
      <c r="AM629" s="129">
        <v>12.204999999999998</v>
      </c>
      <c r="AN629" s="129">
        <v>12.209999999999999</v>
      </c>
      <c r="AO629" s="126" t="str">
        <f t="shared" si="53"/>
        <v/>
      </c>
      <c r="AR629" s="99" t="s">
        <v>136</v>
      </c>
    </row>
    <row r="630" spans="1:44" s="99" customFormat="1" ht="21" customHeight="1" x14ac:dyDescent="0.35">
      <c r="A630" s="99">
        <v>425</v>
      </c>
      <c r="B630" s="126" t="str">
        <f t="shared" si="49"/>
        <v>RM-304/1D-003X768</v>
      </c>
      <c r="C630" s="126" t="s">
        <v>43</v>
      </c>
      <c r="D630" s="126" t="s">
        <v>43</v>
      </c>
      <c r="E630" s="143" t="s">
        <v>2202</v>
      </c>
      <c r="F630" s="143" t="s">
        <v>2203</v>
      </c>
      <c r="G630" s="126">
        <v>304</v>
      </c>
      <c r="H630" s="126" t="s">
        <v>139</v>
      </c>
      <c r="I630" s="127">
        <v>3.19</v>
      </c>
      <c r="J630" s="127"/>
      <c r="K630" s="127"/>
      <c r="L630" s="127"/>
      <c r="M630" s="144">
        <v>768</v>
      </c>
      <c r="N630" s="129">
        <v>10.43</v>
      </c>
      <c r="O630" s="129"/>
      <c r="P630" s="129"/>
      <c r="Q630" s="130"/>
      <c r="R630" s="131"/>
      <c r="S630" s="131"/>
      <c r="T630" s="132"/>
      <c r="U630" s="132"/>
      <c r="V630" s="132"/>
      <c r="W630" s="132"/>
      <c r="X630" s="132"/>
      <c r="Y630" s="133" t="s">
        <v>1942</v>
      </c>
      <c r="Z630" s="126" t="s">
        <v>64</v>
      </c>
      <c r="AA630" s="134" t="s">
        <v>154</v>
      </c>
      <c r="AB630" s="134" t="s">
        <v>1943</v>
      </c>
      <c r="AC630" s="134"/>
      <c r="AD630" s="134">
        <v>44585</v>
      </c>
      <c r="AE630" s="134"/>
      <c r="AF630" s="134">
        <f t="shared" ca="1" si="50"/>
        <v>44963</v>
      </c>
      <c r="AG630" s="126">
        <f t="shared" ca="1" si="51"/>
        <v>378</v>
      </c>
      <c r="AH630" s="126" t="str">
        <f t="shared" si="52"/>
        <v/>
      </c>
      <c r="AI630" s="134"/>
      <c r="AJ630" s="143" t="s">
        <v>2204</v>
      </c>
      <c r="AK630" s="129">
        <v>10.43</v>
      </c>
      <c r="AL630" s="129">
        <v>10.44</v>
      </c>
      <c r="AM630" s="129">
        <v>10.464999999999998</v>
      </c>
      <c r="AN630" s="129">
        <v>10.469999999999999</v>
      </c>
      <c r="AO630" s="126" t="str">
        <f t="shared" si="53"/>
        <v/>
      </c>
      <c r="AR630" s="99" t="s">
        <v>136</v>
      </c>
    </row>
    <row r="631" spans="1:44" s="99" customFormat="1" ht="21" customHeight="1" x14ac:dyDescent="0.35">
      <c r="A631" s="99">
        <v>425</v>
      </c>
      <c r="B631" s="126" t="str">
        <f t="shared" si="49"/>
        <v>RM-304/1D-003X769</v>
      </c>
      <c r="C631" s="126" t="s">
        <v>43</v>
      </c>
      <c r="D631" s="126" t="s">
        <v>43</v>
      </c>
      <c r="E631" s="143" t="s">
        <v>2205</v>
      </c>
      <c r="F631" s="143" t="s">
        <v>2206</v>
      </c>
      <c r="G631" s="126">
        <v>304</v>
      </c>
      <c r="H631" s="126" t="s">
        <v>139</v>
      </c>
      <c r="I631" s="127">
        <v>3.18</v>
      </c>
      <c r="J631" s="127"/>
      <c r="K631" s="127"/>
      <c r="L631" s="127"/>
      <c r="M631" s="144">
        <v>769</v>
      </c>
      <c r="N631" s="129">
        <v>10.48</v>
      </c>
      <c r="O631" s="129"/>
      <c r="P631" s="129"/>
      <c r="Q631" s="130"/>
      <c r="R631" s="131"/>
      <c r="S631" s="131"/>
      <c r="T631" s="132"/>
      <c r="U631" s="132"/>
      <c r="V631" s="132"/>
      <c r="W631" s="132"/>
      <c r="X631" s="132"/>
      <c r="Y631" s="133" t="s">
        <v>1942</v>
      </c>
      <c r="Z631" s="126" t="s">
        <v>64</v>
      </c>
      <c r="AA631" s="134" t="s">
        <v>154</v>
      </c>
      <c r="AB631" s="134" t="s">
        <v>1943</v>
      </c>
      <c r="AC631" s="134"/>
      <c r="AD631" s="134">
        <v>44585</v>
      </c>
      <c r="AE631" s="134"/>
      <c r="AF631" s="134">
        <f t="shared" ca="1" si="50"/>
        <v>44963</v>
      </c>
      <c r="AG631" s="126">
        <f t="shared" ca="1" si="51"/>
        <v>378</v>
      </c>
      <c r="AH631" s="126" t="str">
        <f t="shared" si="52"/>
        <v/>
      </c>
      <c r="AI631" s="134"/>
      <c r="AJ631" s="143" t="s">
        <v>2204</v>
      </c>
      <c r="AK631" s="129">
        <v>10.48</v>
      </c>
      <c r="AL631" s="129">
        <v>10.49</v>
      </c>
      <c r="AM631" s="129">
        <v>10.514999999999999</v>
      </c>
      <c r="AN631" s="129">
        <v>10.52</v>
      </c>
      <c r="AO631" s="126" t="str">
        <f t="shared" si="53"/>
        <v/>
      </c>
      <c r="AR631" s="99" t="s">
        <v>136</v>
      </c>
    </row>
    <row r="632" spans="1:44" s="99" customFormat="1" ht="21" customHeight="1" x14ac:dyDescent="0.35">
      <c r="A632" s="99">
        <v>425</v>
      </c>
      <c r="B632" s="126" t="str">
        <f t="shared" si="49"/>
        <v>RM-304L/1D-003X767</v>
      </c>
      <c r="C632" s="126" t="s">
        <v>43</v>
      </c>
      <c r="D632" s="126" t="s">
        <v>43</v>
      </c>
      <c r="E632" s="143" t="s">
        <v>2207</v>
      </c>
      <c r="F632" s="143" t="s">
        <v>2208</v>
      </c>
      <c r="G632" s="126" t="s">
        <v>230</v>
      </c>
      <c r="H632" s="126" t="s">
        <v>139</v>
      </c>
      <c r="I632" s="127">
        <v>3.2</v>
      </c>
      <c r="J632" s="127"/>
      <c r="K632" s="127"/>
      <c r="L632" s="127"/>
      <c r="M632" s="144">
        <v>767</v>
      </c>
      <c r="N632" s="129">
        <v>10.475</v>
      </c>
      <c r="O632" s="129"/>
      <c r="P632" s="129"/>
      <c r="Q632" s="130"/>
      <c r="R632" s="131"/>
      <c r="S632" s="131"/>
      <c r="T632" s="132"/>
      <c r="U632" s="132"/>
      <c r="V632" s="132"/>
      <c r="W632" s="132"/>
      <c r="X632" s="132"/>
      <c r="Y632" s="133" t="s">
        <v>1942</v>
      </c>
      <c r="Z632" s="126" t="s">
        <v>64</v>
      </c>
      <c r="AA632" s="134" t="s">
        <v>154</v>
      </c>
      <c r="AB632" s="134" t="s">
        <v>1943</v>
      </c>
      <c r="AC632" s="134"/>
      <c r="AD632" s="134">
        <v>44585</v>
      </c>
      <c r="AE632" s="134"/>
      <c r="AF632" s="134">
        <f t="shared" ca="1" si="50"/>
        <v>44963</v>
      </c>
      <c r="AG632" s="126">
        <f t="shared" ca="1" si="51"/>
        <v>378</v>
      </c>
      <c r="AH632" s="126" t="str">
        <f t="shared" si="52"/>
        <v/>
      </c>
      <c r="AI632" s="134"/>
      <c r="AJ632" s="143" t="s">
        <v>2209</v>
      </c>
      <c r="AK632" s="129">
        <v>10.475</v>
      </c>
      <c r="AL632" s="129">
        <v>10.484999999999999</v>
      </c>
      <c r="AM632" s="129">
        <v>10.509999999999998</v>
      </c>
      <c r="AN632" s="129">
        <v>10.514999999999999</v>
      </c>
      <c r="AO632" s="126" t="str">
        <f t="shared" si="53"/>
        <v/>
      </c>
      <c r="AR632" s="99" t="s">
        <v>136</v>
      </c>
    </row>
    <row r="633" spans="1:44" s="99" customFormat="1" ht="21" customHeight="1" x14ac:dyDescent="0.35">
      <c r="A633" s="99">
        <v>425</v>
      </c>
      <c r="B633" s="126" t="str">
        <f t="shared" si="49"/>
        <v>RM-304L/1D-003X766</v>
      </c>
      <c r="C633" s="126" t="s">
        <v>43</v>
      </c>
      <c r="D633" s="126" t="s">
        <v>43</v>
      </c>
      <c r="E633" s="143" t="s">
        <v>2210</v>
      </c>
      <c r="F633" s="143" t="s">
        <v>2211</v>
      </c>
      <c r="G633" s="126" t="s">
        <v>230</v>
      </c>
      <c r="H633" s="126" t="s">
        <v>139</v>
      </c>
      <c r="I633" s="127">
        <v>3.18</v>
      </c>
      <c r="J633" s="127"/>
      <c r="K633" s="127"/>
      <c r="L633" s="127"/>
      <c r="M633" s="144">
        <v>766</v>
      </c>
      <c r="N633" s="129">
        <v>10.395</v>
      </c>
      <c r="O633" s="129"/>
      <c r="P633" s="129"/>
      <c r="Q633" s="130"/>
      <c r="R633" s="131"/>
      <c r="S633" s="131"/>
      <c r="T633" s="132"/>
      <c r="U633" s="132"/>
      <c r="V633" s="132"/>
      <c r="W633" s="132"/>
      <c r="X633" s="132"/>
      <c r="Y633" s="133" t="s">
        <v>1942</v>
      </c>
      <c r="Z633" s="126" t="s">
        <v>64</v>
      </c>
      <c r="AA633" s="134" t="s">
        <v>154</v>
      </c>
      <c r="AB633" s="134" t="s">
        <v>1943</v>
      </c>
      <c r="AC633" s="134"/>
      <c r="AD633" s="134">
        <v>44585</v>
      </c>
      <c r="AE633" s="134"/>
      <c r="AF633" s="134">
        <f t="shared" ca="1" si="50"/>
        <v>44963</v>
      </c>
      <c r="AG633" s="126">
        <f t="shared" ca="1" si="51"/>
        <v>378</v>
      </c>
      <c r="AH633" s="126" t="str">
        <f t="shared" si="52"/>
        <v/>
      </c>
      <c r="AI633" s="134"/>
      <c r="AJ633" s="143" t="s">
        <v>2209</v>
      </c>
      <c r="AK633" s="129">
        <v>10.395</v>
      </c>
      <c r="AL633" s="129">
        <v>10.404999999999999</v>
      </c>
      <c r="AM633" s="129">
        <v>10.429999999999998</v>
      </c>
      <c r="AN633" s="129">
        <v>10.434999999999999</v>
      </c>
      <c r="AO633" s="126" t="str">
        <f t="shared" si="53"/>
        <v/>
      </c>
      <c r="AR633" s="99" t="s">
        <v>136</v>
      </c>
    </row>
    <row r="634" spans="1:44" s="99" customFormat="1" ht="21" customHeight="1" x14ac:dyDescent="0.35">
      <c r="A634" s="99">
        <v>425</v>
      </c>
      <c r="B634" s="126" t="str">
        <f t="shared" ref="B634:B697" si="54">IF(C634="HOLD RM","HOLD RM",IF(C634="BAL","WIP",IF(C634="HOLD SLT","HOLD SLT",IF(C634="MILL","RM",IF(C634="RE SLT","WIP",IF(C634="RM","RM",IF(C634="RM BAL","RM",IF(C634="RM SLT","RM",IF(C634="RR","WIP",IF(C634="SKP","WIP",IF(C634="SLT","WIP",IF(C634="CTL","WIP",IF(C634="RM SLT RUST","RM SLT RUST",0)))))))))))))&amp;"-"&amp;G634&amp;"/"&amp;IF(H634="2B","2B",IF(H634="NO.1","1D",IF(H634="FH","FH",0)))&amp;"-"&amp;IF(J634="",(TEXT(I634,"0.00")),TEXT(J634,"0.00"))&amp;"X"&amp;M634</f>
        <v>RM-304/1D-003X768</v>
      </c>
      <c r="C634" s="126" t="s">
        <v>43</v>
      </c>
      <c r="D634" s="126" t="s">
        <v>43</v>
      </c>
      <c r="E634" s="143" t="s">
        <v>2212</v>
      </c>
      <c r="F634" s="143" t="s">
        <v>2213</v>
      </c>
      <c r="G634" s="126">
        <v>304</v>
      </c>
      <c r="H634" s="126" t="s">
        <v>139</v>
      </c>
      <c r="I634" s="127">
        <v>2.93</v>
      </c>
      <c r="J634" s="127"/>
      <c r="K634" s="127"/>
      <c r="L634" s="127"/>
      <c r="M634" s="144">
        <v>768</v>
      </c>
      <c r="N634" s="129">
        <v>11.99</v>
      </c>
      <c r="O634" s="129"/>
      <c r="P634" s="129"/>
      <c r="Q634" s="130"/>
      <c r="R634" s="131"/>
      <c r="S634" s="131"/>
      <c r="T634" s="132"/>
      <c r="U634" s="132"/>
      <c r="V634" s="132"/>
      <c r="W634" s="132"/>
      <c r="X634" s="132"/>
      <c r="Y634" s="133" t="s">
        <v>1942</v>
      </c>
      <c r="Z634" s="126" t="s">
        <v>64</v>
      </c>
      <c r="AA634" s="134" t="s">
        <v>154</v>
      </c>
      <c r="AB634" s="134" t="s">
        <v>1943</v>
      </c>
      <c r="AC634" s="134"/>
      <c r="AD634" s="134">
        <v>44585</v>
      </c>
      <c r="AE634" s="134"/>
      <c r="AF634" s="134">
        <f t="shared" ca="1" si="50"/>
        <v>44963</v>
      </c>
      <c r="AG634" s="126">
        <f t="shared" ca="1" si="51"/>
        <v>378</v>
      </c>
      <c r="AH634" s="126" t="str">
        <f t="shared" si="52"/>
        <v/>
      </c>
      <c r="AI634" s="134"/>
      <c r="AJ634" s="143" t="s">
        <v>2214</v>
      </c>
      <c r="AK634" s="129">
        <v>11.99</v>
      </c>
      <c r="AL634" s="129">
        <v>12</v>
      </c>
      <c r="AM634" s="129">
        <v>12.024999999999999</v>
      </c>
      <c r="AN634" s="129">
        <v>12.03</v>
      </c>
      <c r="AO634" s="126" t="str">
        <f t="shared" si="53"/>
        <v/>
      </c>
      <c r="AR634" s="99" t="s">
        <v>136</v>
      </c>
    </row>
    <row r="635" spans="1:44" s="99" customFormat="1" ht="21" customHeight="1" x14ac:dyDescent="0.35">
      <c r="A635" s="99">
        <v>425</v>
      </c>
      <c r="B635" s="126" t="str">
        <f t="shared" si="54"/>
        <v>RM-304/1D-003X767</v>
      </c>
      <c r="C635" s="126" t="s">
        <v>43</v>
      </c>
      <c r="D635" s="126" t="s">
        <v>43</v>
      </c>
      <c r="E635" s="143" t="s">
        <v>2215</v>
      </c>
      <c r="F635" s="143" t="s">
        <v>2216</v>
      </c>
      <c r="G635" s="126">
        <v>304</v>
      </c>
      <c r="H635" s="126" t="s">
        <v>139</v>
      </c>
      <c r="I635" s="127">
        <v>2.94</v>
      </c>
      <c r="J635" s="127"/>
      <c r="K635" s="127"/>
      <c r="L635" s="127"/>
      <c r="M635" s="144">
        <v>767</v>
      </c>
      <c r="N635" s="129">
        <v>12</v>
      </c>
      <c r="O635" s="129"/>
      <c r="P635" s="129"/>
      <c r="Q635" s="130"/>
      <c r="R635" s="131"/>
      <c r="S635" s="131"/>
      <c r="T635" s="132"/>
      <c r="U635" s="132"/>
      <c r="V635" s="132"/>
      <c r="W635" s="132"/>
      <c r="X635" s="132"/>
      <c r="Y635" s="133" t="s">
        <v>1942</v>
      </c>
      <c r="Z635" s="126" t="s">
        <v>64</v>
      </c>
      <c r="AA635" s="134" t="s">
        <v>154</v>
      </c>
      <c r="AB635" s="134" t="s">
        <v>1943</v>
      </c>
      <c r="AC635" s="134"/>
      <c r="AD635" s="134">
        <v>44585</v>
      </c>
      <c r="AE635" s="134"/>
      <c r="AF635" s="134">
        <f t="shared" ca="1" si="50"/>
        <v>44963</v>
      </c>
      <c r="AG635" s="126">
        <f t="shared" ca="1" si="51"/>
        <v>378</v>
      </c>
      <c r="AH635" s="126" t="str">
        <f t="shared" si="52"/>
        <v/>
      </c>
      <c r="AI635" s="134"/>
      <c r="AJ635" s="143" t="s">
        <v>2214</v>
      </c>
      <c r="AK635" s="129">
        <v>12</v>
      </c>
      <c r="AL635" s="129">
        <v>12.01</v>
      </c>
      <c r="AM635" s="129">
        <v>12.034999999999998</v>
      </c>
      <c r="AN635" s="129">
        <v>12.04</v>
      </c>
      <c r="AO635" s="126" t="str">
        <f t="shared" si="53"/>
        <v/>
      </c>
      <c r="AR635" s="99" t="s">
        <v>136</v>
      </c>
    </row>
    <row r="636" spans="1:44" s="99" customFormat="1" ht="21" customHeight="1" x14ac:dyDescent="0.35">
      <c r="A636" s="99">
        <v>425</v>
      </c>
      <c r="B636" s="126" t="str">
        <f t="shared" si="54"/>
        <v>RM-304/1D-004X768</v>
      </c>
      <c r="C636" s="126" t="s">
        <v>43</v>
      </c>
      <c r="D636" s="126" t="s">
        <v>43</v>
      </c>
      <c r="E636" s="143" t="s">
        <v>2217</v>
      </c>
      <c r="F636" s="143" t="s">
        <v>2218</v>
      </c>
      <c r="G636" s="126">
        <v>304</v>
      </c>
      <c r="H636" s="126" t="s">
        <v>139</v>
      </c>
      <c r="I636" s="127">
        <v>4.01</v>
      </c>
      <c r="J636" s="127"/>
      <c r="K636" s="127"/>
      <c r="L636" s="127"/>
      <c r="M636" s="144">
        <v>768</v>
      </c>
      <c r="N636" s="129">
        <v>10.385</v>
      </c>
      <c r="O636" s="129"/>
      <c r="P636" s="129"/>
      <c r="Q636" s="130"/>
      <c r="R636" s="131"/>
      <c r="S636" s="131"/>
      <c r="T636" s="132"/>
      <c r="U636" s="132"/>
      <c r="V636" s="132"/>
      <c r="W636" s="132"/>
      <c r="X636" s="132"/>
      <c r="Y636" s="133" t="s">
        <v>1942</v>
      </c>
      <c r="Z636" s="126" t="s">
        <v>64</v>
      </c>
      <c r="AA636" s="134" t="s">
        <v>154</v>
      </c>
      <c r="AB636" s="134" t="s">
        <v>1943</v>
      </c>
      <c r="AC636" s="134"/>
      <c r="AD636" s="134">
        <v>44585</v>
      </c>
      <c r="AE636" s="134"/>
      <c r="AF636" s="134">
        <f t="shared" ca="1" si="50"/>
        <v>44963</v>
      </c>
      <c r="AG636" s="126">
        <f t="shared" ca="1" si="51"/>
        <v>378</v>
      </c>
      <c r="AH636" s="126" t="str">
        <f t="shared" si="52"/>
        <v/>
      </c>
      <c r="AI636" s="134"/>
      <c r="AJ636" s="143" t="s">
        <v>2219</v>
      </c>
      <c r="AK636" s="129">
        <v>10.385</v>
      </c>
      <c r="AL636" s="129">
        <v>10.395</v>
      </c>
      <c r="AM636" s="129">
        <v>10.419999999999998</v>
      </c>
      <c r="AN636" s="129">
        <v>10.424999999999999</v>
      </c>
      <c r="AO636" s="126" t="str">
        <f t="shared" si="53"/>
        <v/>
      </c>
      <c r="AR636" s="99" t="s">
        <v>136</v>
      </c>
    </row>
    <row r="637" spans="1:44" s="99" customFormat="1" ht="21" customHeight="1" x14ac:dyDescent="0.35">
      <c r="A637" s="99">
        <v>425</v>
      </c>
      <c r="B637" s="126" t="str">
        <f t="shared" si="54"/>
        <v>RM-304/1D-004X769</v>
      </c>
      <c r="C637" s="126" t="s">
        <v>43</v>
      </c>
      <c r="D637" s="126" t="s">
        <v>43</v>
      </c>
      <c r="E637" s="143" t="s">
        <v>2220</v>
      </c>
      <c r="F637" s="143" t="s">
        <v>2221</v>
      </c>
      <c r="G637" s="126">
        <v>304</v>
      </c>
      <c r="H637" s="126" t="s">
        <v>139</v>
      </c>
      <c r="I637" s="127">
        <v>4.01</v>
      </c>
      <c r="J637" s="127"/>
      <c r="K637" s="127"/>
      <c r="L637" s="127"/>
      <c r="M637" s="144">
        <v>769</v>
      </c>
      <c r="N637" s="129">
        <v>10.455</v>
      </c>
      <c r="O637" s="129"/>
      <c r="P637" s="129"/>
      <c r="Q637" s="130"/>
      <c r="R637" s="131"/>
      <c r="S637" s="131"/>
      <c r="T637" s="132"/>
      <c r="U637" s="132"/>
      <c r="V637" s="132"/>
      <c r="W637" s="132"/>
      <c r="X637" s="132"/>
      <c r="Y637" s="133" t="s">
        <v>1942</v>
      </c>
      <c r="Z637" s="126" t="s">
        <v>64</v>
      </c>
      <c r="AA637" s="134" t="s">
        <v>154</v>
      </c>
      <c r="AB637" s="134" t="s">
        <v>1943</v>
      </c>
      <c r="AC637" s="134"/>
      <c r="AD637" s="134">
        <v>44585</v>
      </c>
      <c r="AE637" s="134"/>
      <c r="AF637" s="134">
        <f t="shared" ca="1" si="50"/>
        <v>44963</v>
      </c>
      <c r="AG637" s="126">
        <f t="shared" ca="1" si="51"/>
        <v>378</v>
      </c>
      <c r="AH637" s="126" t="str">
        <f t="shared" si="52"/>
        <v/>
      </c>
      <c r="AI637" s="134"/>
      <c r="AJ637" s="143" t="s">
        <v>2219</v>
      </c>
      <c r="AK637" s="129">
        <v>10.455</v>
      </c>
      <c r="AL637" s="129">
        <v>10.465</v>
      </c>
      <c r="AM637" s="129">
        <v>10.489999999999998</v>
      </c>
      <c r="AN637" s="129">
        <v>10.494999999999999</v>
      </c>
      <c r="AO637" s="126" t="str">
        <f t="shared" si="53"/>
        <v/>
      </c>
      <c r="AR637" s="99" t="s">
        <v>136</v>
      </c>
    </row>
    <row r="638" spans="1:44" s="99" customFormat="1" ht="21" customHeight="1" x14ac:dyDescent="0.35">
      <c r="A638" s="99">
        <v>425</v>
      </c>
      <c r="B638" s="126" t="str">
        <f t="shared" si="54"/>
        <v>RM-304/1D-003X770</v>
      </c>
      <c r="C638" s="126" t="s">
        <v>43</v>
      </c>
      <c r="D638" s="126" t="s">
        <v>43</v>
      </c>
      <c r="E638" s="143" t="s">
        <v>2222</v>
      </c>
      <c r="F638" s="143" t="s">
        <v>2223</v>
      </c>
      <c r="G638" s="126">
        <v>304</v>
      </c>
      <c r="H638" s="126" t="s">
        <v>139</v>
      </c>
      <c r="I638" s="127">
        <v>3.01</v>
      </c>
      <c r="J638" s="127"/>
      <c r="K638" s="127"/>
      <c r="L638" s="127"/>
      <c r="M638" s="144">
        <v>770</v>
      </c>
      <c r="N638" s="129">
        <v>10.46</v>
      </c>
      <c r="O638" s="129"/>
      <c r="P638" s="129"/>
      <c r="Q638" s="130"/>
      <c r="R638" s="131"/>
      <c r="S638" s="131"/>
      <c r="T638" s="132"/>
      <c r="U638" s="132"/>
      <c r="V638" s="132"/>
      <c r="W638" s="132"/>
      <c r="X638" s="132"/>
      <c r="Y638" s="133" t="s">
        <v>1942</v>
      </c>
      <c r="Z638" s="126" t="s">
        <v>64</v>
      </c>
      <c r="AA638" s="134" t="s">
        <v>154</v>
      </c>
      <c r="AB638" s="134" t="s">
        <v>1943</v>
      </c>
      <c r="AC638" s="134"/>
      <c r="AD638" s="134">
        <v>44585</v>
      </c>
      <c r="AE638" s="134"/>
      <c r="AF638" s="134">
        <f t="shared" ca="1" si="50"/>
        <v>44963</v>
      </c>
      <c r="AG638" s="126">
        <f t="shared" ca="1" si="51"/>
        <v>378</v>
      </c>
      <c r="AH638" s="126" t="str">
        <f t="shared" si="52"/>
        <v/>
      </c>
      <c r="AI638" s="134"/>
      <c r="AJ638" s="143" t="s">
        <v>2224</v>
      </c>
      <c r="AK638" s="129">
        <v>10.46</v>
      </c>
      <c r="AL638" s="129">
        <v>10.47</v>
      </c>
      <c r="AM638" s="129">
        <v>10.494999999999999</v>
      </c>
      <c r="AN638" s="129">
        <v>10.5</v>
      </c>
      <c r="AO638" s="126" t="str">
        <f t="shared" si="53"/>
        <v/>
      </c>
      <c r="AR638" s="99" t="s">
        <v>136</v>
      </c>
    </row>
    <row r="639" spans="1:44" s="99" customFormat="1" ht="21" customHeight="1" x14ac:dyDescent="0.35">
      <c r="A639" s="99">
        <v>425</v>
      </c>
      <c r="B639" s="126" t="str">
        <f t="shared" si="54"/>
        <v>RM-304/1D-003X769</v>
      </c>
      <c r="C639" s="126" t="s">
        <v>43</v>
      </c>
      <c r="D639" s="126" t="s">
        <v>43</v>
      </c>
      <c r="E639" s="143" t="s">
        <v>2225</v>
      </c>
      <c r="F639" s="143" t="s">
        <v>2226</v>
      </c>
      <c r="G639" s="126">
        <v>304</v>
      </c>
      <c r="H639" s="126" t="s">
        <v>139</v>
      </c>
      <c r="I639" s="127">
        <v>3.02</v>
      </c>
      <c r="J639" s="127"/>
      <c r="K639" s="127"/>
      <c r="L639" s="127"/>
      <c r="M639" s="144">
        <v>769</v>
      </c>
      <c r="N639" s="129">
        <v>10.455</v>
      </c>
      <c r="O639" s="129"/>
      <c r="P639" s="129"/>
      <c r="Q639" s="130"/>
      <c r="R639" s="131"/>
      <c r="S639" s="131"/>
      <c r="T639" s="132"/>
      <c r="U639" s="132"/>
      <c r="V639" s="132"/>
      <c r="W639" s="132"/>
      <c r="X639" s="132"/>
      <c r="Y639" s="133" t="s">
        <v>1942</v>
      </c>
      <c r="Z639" s="126" t="s">
        <v>64</v>
      </c>
      <c r="AA639" s="134" t="s">
        <v>154</v>
      </c>
      <c r="AB639" s="134" t="s">
        <v>1943</v>
      </c>
      <c r="AC639" s="134"/>
      <c r="AD639" s="134">
        <v>44585</v>
      </c>
      <c r="AE639" s="134"/>
      <c r="AF639" s="134">
        <f t="shared" ca="1" si="50"/>
        <v>44963</v>
      </c>
      <c r="AG639" s="126">
        <f t="shared" ca="1" si="51"/>
        <v>378</v>
      </c>
      <c r="AH639" s="126" t="str">
        <f t="shared" si="52"/>
        <v/>
      </c>
      <c r="AI639" s="134"/>
      <c r="AJ639" s="143" t="s">
        <v>2224</v>
      </c>
      <c r="AK639" s="129">
        <v>10.455</v>
      </c>
      <c r="AL639" s="129">
        <v>10.465</v>
      </c>
      <c r="AM639" s="129">
        <v>10.489999999999998</v>
      </c>
      <c r="AN639" s="129">
        <v>10.494999999999999</v>
      </c>
      <c r="AO639" s="126" t="str">
        <f t="shared" si="53"/>
        <v/>
      </c>
      <c r="AR639" s="99" t="s">
        <v>136</v>
      </c>
    </row>
    <row r="640" spans="1:44" s="99" customFormat="1" ht="21" customHeight="1" x14ac:dyDescent="0.35">
      <c r="A640" s="99">
        <v>425</v>
      </c>
      <c r="B640" s="126" t="str">
        <f t="shared" si="54"/>
        <v>RM-304/1D-003X769</v>
      </c>
      <c r="C640" s="126" t="s">
        <v>43</v>
      </c>
      <c r="D640" s="126" t="s">
        <v>43</v>
      </c>
      <c r="E640" s="143" t="s">
        <v>2227</v>
      </c>
      <c r="F640" s="143" t="s">
        <v>2228</v>
      </c>
      <c r="G640" s="126">
        <v>304</v>
      </c>
      <c r="H640" s="126" t="s">
        <v>139</v>
      </c>
      <c r="I640" s="127">
        <v>2.79</v>
      </c>
      <c r="J640" s="127"/>
      <c r="K640" s="127"/>
      <c r="L640" s="127"/>
      <c r="M640" s="144">
        <v>769</v>
      </c>
      <c r="N640" s="129">
        <v>10.45</v>
      </c>
      <c r="O640" s="129"/>
      <c r="P640" s="129"/>
      <c r="Q640" s="130"/>
      <c r="R640" s="131"/>
      <c r="S640" s="131"/>
      <c r="T640" s="132"/>
      <c r="U640" s="132"/>
      <c r="V640" s="132"/>
      <c r="W640" s="132"/>
      <c r="X640" s="132"/>
      <c r="Y640" s="133" t="s">
        <v>1942</v>
      </c>
      <c r="Z640" s="126" t="s">
        <v>64</v>
      </c>
      <c r="AA640" s="134" t="s">
        <v>154</v>
      </c>
      <c r="AB640" s="134" t="s">
        <v>1943</v>
      </c>
      <c r="AC640" s="134"/>
      <c r="AD640" s="134">
        <v>44585</v>
      </c>
      <c r="AE640" s="134"/>
      <c r="AF640" s="134">
        <f t="shared" ca="1" si="50"/>
        <v>44963</v>
      </c>
      <c r="AG640" s="126">
        <f t="shared" ca="1" si="51"/>
        <v>378</v>
      </c>
      <c r="AH640" s="126" t="str">
        <f t="shared" si="52"/>
        <v/>
      </c>
      <c r="AI640" s="134"/>
      <c r="AJ640" s="143" t="s">
        <v>2229</v>
      </c>
      <c r="AK640" s="129">
        <v>10.45</v>
      </c>
      <c r="AL640" s="129">
        <v>10.46</v>
      </c>
      <c r="AM640" s="129">
        <v>10.484999999999999</v>
      </c>
      <c r="AN640" s="129">
        <v>10.49</v>
      </c>
      <c r="AO640" s="126" t="str">
        <f t="shared" si="53"/>
        <v/>
      </c>
      <c r="AR640" s="99" t="s">
        <v>136</v>
      </c>
    </row>
    <row r="641" spans="1:44" s="99" customFormat="1" ht="21" customHeight="1" x14ac:dyDescent="0.35">
      <c r="A641" s="99">
        <v>425</v>
      </c>
      <c r="B641" s="126" t="str">
        <f t="shared" si="54"/>
        <v>RM-304/1D-003X769</v>
      </c>
      <c r="C641" s="126" t="s">
        <v>43</v>
      </c>
      <c r="D641" s="126" t="s">
        <v>43</v>
      </c>
      <c r="E641" s="143" t="s">
        <v>2230</v>
      </c>
      <c r="F641" s="143" t="s">
        <v>2231</v>
      </c>
      <c r="G641" s="126">
        <v>304</v>
      </c>
      <c r="H641" s="126" t="s">
        <v>139</v>
      </c>
      <c r="I641" s="127">
        <v>2.8</v>
      </c>
      <c r="J641" s="127"/>
      <c r="K641" s="127"/>
      <c r="L641" s="127"/>
      <c r="M641" s="144">
        <v>769</v>
      </c>
      <c r="N641" s="129">
        <v>10.49</v>
      </c>
      <c r="O641" s="129"/>
      <c r="P641" s="129"/>
      <c r="Q641" s="130"/>
      <c r="R641" s="131"/>
      <c r="S641" s="131"/>
      <c r="T641" s="132"/>
      <c r="U641" s="132"/>
      <c r="V641" s="132"/>
      <c r="W641" s="132"/>
      <c r="X641" s="132"/>
      <c r="Y641" s="133" t="s">
        <v>1942</v>
      </c>
      <c r="Z641" s="126" t="s">
        <v>64</v>
      </c>
      <c r="AA641" s="134" t="s">
        <v>154</v>
      </c>
      <c r="AB641" s="134" t="s">
        <v>1943</v>
      </c>
      <c r="AC641" s="134"/>
      <c r="AD641" s="134">
        <v>44585</v>
      </c>
      <c r="AE641" s="134"/>
      <c r="AF641" s="134">
        <f t="shared" ca="1" si="50"/>
        <v>44963</v>
      </c>
      <c r="AG641" s="126">
        <f t="shared" ca="1" si="51"/>
        <v>378</v>
      </c>
      <c r="AH641" s="126" t="str">
        <f t="shared" si="52"/>
        <v/>
      </c>
      <c r="AI641" s="134"/>
      <c r="AJ641" s="143" t="s">
        <v>2229</v>
      </c>
      <c r="AK641" s="129">
        <v>10.49</v>
      </c>
      <c r="AL641" s="129">
        <v>10.5</v>
      </c>
      <c r="AM641" s="129">
        <v>10.524999999999999</v>
      </c>
      <c r="AN641" s="129">
        <v>10.53</v>
      </c>
      <c r="AO641" s="126" t="str">
        <f t="shared" si="53"/>
        <v/>
      </c>
      <c r="AR641" s="99" t="s">
        <v>136</v>
      </c>
    </row>
    <row r="642" spans="1:44" s="99" customFormat="1" ht="21" customHeight="1" x14ac:dyDescent="0.35">
      <c r="A642" s="99">
        <v>425</v>
      </c>
      <c r="B642" s="126" t="str">
        <f t="shared" si="54"/>
        <v>RM-304L/1D-004X767</v>
      </c>
      <c r="C642" s="126" t="s">
        <v>43</v>
      </c>
      <c r="D642" s="126" t="s">
        <v>43</v>
      </c>
      <c r="E642" s="143" t="s">
        <v>2232</v>
      </c>
      <c r="F642" s="143" t="s">
        <v>2233</v>
      </c>
      <c r="G642" s="126" t="s">
        <v>230</v>
      </c>
      <c r="H642" s="126" t="s">
        <v>139</v>
      </c>
      <c r="I642" s="127">
        <v>3.79</v>
      </c>
      <c r="J642" s="127"/>
      <c r="K642" s="127"/>
      <c r="L642" s="127"/>
      <c r="M642" s="144">
        <v>767</v>
      </c>
      <c r="N642" s="129">
        <v>10.414999999999999</v>
      </c>
      <c r="O642" s="129"/>
      <c r="P642" s="129"/>
      <c r="Q642" s="130"/>
      <c r="R642" s="131"/>
      <c r="S642" s="131"/>
      <c r="T642" s="132"/>
      <c r="U642" s="132"/>
      <c r="V642" s="132"/>
      <c r="W642" s="132"/>
      <c r="X642" s="132"/>
      <c r="Y642" s="133" t="s">
        <v>1942</v>
      </c>
      <c r="Z642" s="126" t="s">
        <v>64</v>
      </c>
      <c r="AA642" s="134" t="s">
        <v>154</v>
      </c>
      <c r="AB642" s="134" t="s">
        <v>1943</v>
      </c>
      <c r="AC642" s="134"/>
      <c r="AD642" s="134">
        <v>44585</v>
      </c>
      <c r="AE642" s="134"/>
      <c r="AF642" s="134">
        <f t="shared" ca="1" si="50"/>
        <v>44963</v>
      </c>
      <c r="AG642" s="126">
        <f t="shared" ca="1" si="51"/>
        <v>378</v>
      </c>
      <c r="AH642" s="126" t="str">
        <f t="shared" si="52"/>
        <v/>
      </c>
      <c r="AI642" s="134"/>
      <c r="AJ642" s="143" t="s">
        <v>2234</v>
      </c>
      <c r="AK642" s="129">
        <v>10.414999999999999</v>
      </c>
      <c r="AL642" s="129">
        <v>10.425000000000001</v>
      </c>
      <c r="AM642" s="129">
        <v>10.45</v>
      </c>
      <c r="AN642" s="129">
        <v>10.455</v>
      </c>
      <c r="AO642" s="126" t="str">
        <f t="shared" si="53"/>
        <v/>
      </c>
      <c r="AR642" s="99" t="s">
        <v>136</v>
      </c>
    </row>
    <row r="643" spans="1:44" s="99" customFormat="1" ht="21" customHeight="1" x14ac:dyDescent="0.35">
      <c r="A643" s="99">
        <v>425</v>
      </c>
      <c r="B643" s="126" t="str">
        <f t="shared" si="54"/>
        <v>RM-304L/1D-004X768</v>
      </c>
      <c r="C643" s="126" t="s">
        <v>43</v>
      </c>
      <c r="D643" s="126" t="s">
        <v>43</v>
      </c>
      <c r="E643" s="143" t="s">
        <v>2235</v>
      </c>
      <c r="F643" s="143" t="s">
        <v>2236</v>
      </c>
      <c r="G643" s="126" t="s">
        <v>230</v>
      </c>
      <c r="H643" s="126" t="s">
        <v>139</v>
      </c>
      <c r="I643" s="127">
        <v>3.79</v>
      </c>
      <c r="J643" s="127"/>
      <c r="K643" s="127"/>
      <c r="L643" s="127"/>
      <c r="M643" s="144">
        <v>768</v>
      </c>
      <c r="N643" s="129">
        <v>10.44</v>
      </c>
      <c r="O643" s="129"/>
      <c r="P643" s="129"/>
      <c r="Q643" s="130"/>
      <c r="R643" s="131"/>
      <c r="S643" s="131"/>
      <c r="T643" s="132"/>
      <c r="U643" s="132"/>
      <c r="V643" s="132"/>
      <c r="W643" s="132"/>
      <c r="X643" s="132"/>
      <c r="Y643" s="133" t="s">
        <v>1942</v>
      </c>
      <c r="Z643" s="126" t="s">
        <v>64</v>
      </c>
      <c r="AA643" s="134" t="s">
        <v>154</v>
      </c>
      <c r="AB643" s="134" t="s">
        <v>1943</v>
      </c>
      <c r="AC643" s="134"/>
      <c r="AD643" s="134">
        <v>44585</v>
      </c>
      <c r="AE643" s="134"/>
      <c r="AF643" s="134">
        <f t="shared" ca="1" si="50"/>
        <v>44963</v>
      </c>
      <c r="AG643" s="126">
        <f t="shared" ca="1" si="51"/>
        <v>378</v>
      </c>
      <c r="AH643" s="126" t="str">
        <f t="shared" si="52"/>
        <v/>
      </c>
      <c r="AI643" s="134"/>
      <c r="AJ643" s="143" t="s">
        <v>2234</v>
      </c>
      <c r="AK643" s="129">
        <v>10.44</v>
      </c>
      <c r="AL643" s="129">
        <v>10.45</v>
      </c>
      <c r="AM643" s="129">
        <v>10.474999999999998</v>
      </c>
      <c r="AN643" s="129">
        <v>10.479999999999999</v>
      </c>
      <c r="AO643" s="126" t="str">
        <f t="shared" si="53"/>
        <v/>
      </c>
      <c r="AR643" s="99" t="s">
        <v>136</v>
      </c>
    </row>
    <row r="644" spans="1:44" s="99" customFormat="1" ht="21" customHeight="1" x14ac:dyDescent="0.35">
      <c r="A644" s="99">
        <v>425</v>
      </c>
      <c r="B644" s="126" t="str">
        <f t="shared" si="54"/>
        <v>RM-304/1D-003X767</v>
      </c>
      <c r="C644" s="126" t="s">
        <v>43</v>
      </c>
      <c r="D644" s="126" t="s">
        <v>43</v>
      </c>
      <c r="E644" s="143" t="s">
        <v>2237</v>
      </c>
      <c r="F644" s="143" t="s">
        <v>2238</v>
      </c>
      <c r="G644" s="126">
        <v>304</v>
      </c>
      <c r="H644" s="126" t="s">
        <v>139</v>
      </c>
      <c r="I644" s="127">
        <v>2.8</v>
      </c>
      <c r="J644" s="127"/>
      <c r="K644" s="127"/>
      <c r="L644" s="127"/>
      <c r="M644" s="144">
        <v>767</v>
      </c>
      <c r="N644" s="129">
        <v>10.205</v>
      </c>
      <c r="O644" s="129"/>
      <c r="P644" s="129"/>
      <c r="Q644" s="130"/>
      <c r="R644" s="131"/>
      <c r="S644" s="131"/>
      <c r="T644" s="132"/>
      <c r="U644" s="132"/>
      <c r="V644" s="132"/>
      <c r="W644" s="132"/>
      <c r="X644" s="132"/>
      <c r="Y644" s="133" t="s">
        <v>1942</v>
      </c>
      <c r="Z644" s="126" t="s">
        <v>64</v>
      </c>
      <c r="AA644" s="134" t="s">
        <v>154</v>
      </c>
      <c r="AB644" s="134" t="s">
        <v>1943</v>
      </c>
      <c r="AC644" s="134"/>
      <c r="AD644" s="134">
        <v>44585</v>
      </c>
      <c r="AE644" s="134"/>
      <c r="AF644" s="134">
        <f t="shared" ca="1" si="50"/>
        <v>44963</v>
      </c>
      <c r="AG644" s="126">
        <f t="shared" ca="1" si="51"/>
        <v>378</v>
      </c>
      <c r="AH644" s="126" t="str">
        <f t="shared" si="52"/>
        <v/>
      </c>
      <c r="AI644" s="134"/>
      <c r="AJ644" s="143" t="s">
        <v>2239</v>
      </c>
      <c r="AK644" s="129">
        <v>10.205</v>
      </c>
      <c r="AL644" s="129">
        <v>10.215</v>
      </c>
      <c r="AM644" s="129">
        <v>10.239999999999998</v>
      </c>
      <c r="AN644" s="129">
        <v>10.244999999999999</v>
      </c>
      <c r="AO644" s="126" t="str">
        <f t="shared" si="53"/>
        <v/>
      </c>
      <c r="AR644" s="99" t="s">
        <v>136</v>
      </c>
    </row>
    <row r="645" spans="1:44" s="99" customFormat="1" ht="21" customHeight="1" x14ac:dyDescent="0.35">
      <c r="A645" s="99">
        <v>425</v>
      </c>
      <c r="B645" s="126" t="str">
        <f t="shared" si="54"/>
        <v>RM-304/1D-003X769</v>
      </c>
      <c r="C645" s="126" t="s">
        <v>43</v>
      </c>
      <c r="D645" s="126" t="s">
        <v>43</v>
      </c>
      <c r="E645" s="143" t="s">
        <v>2240</v>
      </c>
      <c r="F645" s="143" t="s">
        <v>2241</v>
      </c>
      <c r="G645" s="126">
        <v>304</v>
      </c>
      <c r="H645" s="126" t="s">
        <v>139</v>
      </c>
      <c r="I645" s="127">
        <v>2.79</v>
      </c>
      <c r="J645" s="127"/>
      <c r="K645" s="127"/>
      <c r="L645" s="127"/>
      <c r="M645" s="144">
        <v>769</v>
      </c>
      <c r="N645" s="129">
        <v>10.19</v>
      </c>
      <c r="O645" s="129"/>
      <c r="P645" s="129"/>
      <c r="Q645" s="130"/>
      <c r="R645" s="131"/>
      <c r="S645" s="131"/>
      <c r="T645" s="132"/>
      <c r="U645" s="132"/>
      <c r="V645" s="132"/>
      <c r="W645" s="132"/>
      <c r="X645" s="132"/>
      <c r="Y645" s="133" t="s">
        <v>1942</v>
      </c>
      <c r="Z645" s="126" t="s">
        <v>64</v>
      </c>
      <c r="AA645" s="134" t="s">
        <v>154</v>
      </c>
      <c r="AB645" s="134" t="s">
        <v>1943</v>
      </c>
      <c r="AC645" s="134"/>
      <c r="AD645" s="134">
        <v>44585</v>
      </c>
      <c r="AE645" s="134"/>
      <c r="AF645" s="134">
        <f t="shared" ref="AF645:AF708" ca="1" si="55">TODAY()</f>
        <v>44963</v>
      </c>
      <c r="AG645" s="126">
        <f t="shared" ref="AG645:AG708" ca="1" si="56">IF(AD645&lt;&gt;0,AF645-AD645,0)</f>
        <v>378</v>
      </c>
      <c r="AH645" s="126" t="str">
        <f t="shared" ref="AH645:AH708" si="57">IF(ISNUMBER(V645)=TRUE,AF645-V645,IF(V645="","",(AF645)-(MID(RIGHT(V645,10),4,2)&amp;"/"&amp;LEFT((RIGHT(V645,10)),2)&amp;"/"&amp;RIGHT(V645,4))))</f>
        <v/>
      </c>
      <c r="AI645" s="134"/>
      <c r="AJ645" s="143" t="s">
        <v>2239</v>
      </c>
      <c r="AK645" s="129">
        <v>10.19</v>
      </c>
      <c r="AL645" s="129">
        <v>10.199999999999999</v>
      </c>
      <c r="AM645" s="129">
        <v>10.224999999999998</v>
      </c>
      <c r="AN645" s="129">
        <v>10.229999999999999</v>
      </c>
      <c r="AO645" s="126" t="str">
        <f t="shared" ref="AO645:AO708" si="58">IF(ISNUMBER(U645)=TRUE,AF645-U645,IF(U645="","",(AF645)-(MID(RIGHT(U645,10),4,2)&amp;"/"&amp;LEFT((RIGHT(U645,10)),2)&amp;"/"&amp;RIGHT(U645,4))))</f>
        <v/>
      </c>
      <c r="AR645" s="99" t="s">
        <v>136</v>
      </c>
    </row>
    <row r="646" spans="1:44" s="99" customFormat="1" ht="21" customHeight="1" x14ac:dyDescent="0.35">
      <c r="A646" s="99">
        <v>425</v>
      </c>
      <c r="B646" s="126" t="str">
        <f t="shared" si="54"/>
        <v>RM-304/1D-004X768</v>
      </c>
      <c r="C646" s="126" t="s">
        <v>43</v>
      </c>
      <c r="D646" s="126" t="s">
        <v>43</v>
      </c>
      <c r="E646" s="143" t="s">
        <v>2242</v>
      </c>
      <c r="F646" s="143" t="s">
        <v>2243</v>
      </c>
      <c r="G646" s="126">
        <v>304</v>
      </c>
      <c r="H646" s="126" t="s">
        <v>139</v>
      </c>
      <c r="I646" s="127">
        <v>3.8</v>
      </c>
      <c r="J646" s="127"/>
      <c r="K646" s="127"/>
      <c r="L646" s="127"/>
      <c r="M646" s="144">
        <v>768</v>
      </c>
      <c r="N646" s="129">
        <v>10.4</v>
      </c>
      <c r="O646" s="129"/>
      <c r="P646" s="129"/>
      <c r="Q646" s="130"/>
      <c r="R646" s="131"/>
      <c r="S646" s="131"/>
      <c r="T646" s="132"/>
      <c r="U646" s="132"/>
      <c r="V646" s="132"/>
      <c r="W646" s="132"/>
      <c r="X646" s="132"/>
      <c r="Y646" s="133" t="s">
        <v>1942</v>
      </c>
      <c r="Z646" s="126" t="s">
        <v>64</v>
      </c>
      <c r="AA646" s="134" t="s">
        <v>154</v>
      </c>
      <c r="AB646" s="134" t="s">
        <v>1943</v>
      </c>
      <c r="AC646" s="134"/>
      <c r="AD646" s="134">
        <v>44585</v>
      </c>
      <c r="AE646" s="134"/>
      <c r="AF646" s="134">
        <f t="shared" ca="1" si="55"/>
        <v>44963</v>
      </c>
      <c r="AG646" s="126">
        <f t="shared" ca="1" si="56"/>
        <v>378</v>
      </c>
      <c r="AH646" s="126" t="str">
        <f t="shared" si="57"/>
        <v/>
      </c>
      <c r="AI646" s="134"/>
      <c r="AJ646" s="143" t="s">
        <v>2244</v>
      </c>
      <c r="AK646" s="129">
        <v>10.4</v>
      </c>
      <c r="AL646" s="129">
        <v>10.41</v>
      </c>
      <c r="AM646" s="129">
        <v>10.434999999999999</v>
      </c>
      <c r="AN646" s="129">
        <v>10.44</v>
      </c>
      <c r="AO646" s="126" t="str">
        <f t="shared" si="58"/>
        <v/>
      </c>
      <c r="AR646" s="99" t="s">
        <v>136</v>
      </c>
    </row>
    <row r="647" spans="1:44" s="99" customFormat="1" ht="21" customHeight="1" x14ac:dyDescent="0.35">
      <c r="A647" s="99">
        <v>425</v>
      </c>
      <c r="B647" s="126" t="str">
        <f t="shared" si="54"/>
        <v>RM-304/1D-004X769</v>
      </c>
      <c r="C647" s="126" t="s">
        <v>43</v>
      </c>
      <c r="D647" s="126" t="s">
        <v>43</v>
      </c>
      <c r="E647" s="143" t="s">
        <v>2245</v>
      </c>
      <c r="F647" s="143" t="s">
        <v>2246</v>
      </c>
      <c r="G647" s="126">
        <v>304</v>
      </c>
      <c r="H647" s="126" t="s">
        <v>139</v>
      </c>
      <c r="I647" s="127">
        <v>3.8</v>
      </c>
      <c r="J647" s="127"/>
      <c r="K647" s="127"/>
      <c r="L647" s="127"/>
      <c r="M647" s="144">
        <v>769</v>
      </c>
      <c r="N647" s="129">
        <v>10.42</v>
      </c>
      <c r="O647" s="129"/>
      <c r="P647" s="129"/>
      <c r="Q647" s="130"/>
      <c r="R647" s="131"/>
      <c r="S647" s="131"/>
      <c r="T647" s="132"/>
      <c r="U647" s="132"/>
      <c r="V647" s="132"/>
      <c r="W647" s="132"/>
      <c r="X647" s="132"/>
      <c r="Y647" s="133" t="s">
        <v>1942</v>
      </c>
      <c r="Z647" s="126" t="s">
        <v>64</v>
      </c>
      <c r="AA647" s="134" t="s">
        <v>154</v>
      </c>
      <c r="AB647" s="134" t="s">
        <v>1943</v>
      </c>
      <c r="AC647" s="134"/>
      <c r="AD647" s="134">
        <v>44585</v>
      </c>
      <c r="AE647" s="134"/>
      <c r="AF647" s="134">
        <f t="shared" ca="1" si="55"/>
        <v>44963</v>
      </c>
      <c r="AG647" s="126">
        <f t="shared" ca="1" si="56"/>
        <v>378</v>
      </c>
      <c r="AH647" s="126" t="str">
        <f t="shared" si="57"/>
        <v/>
      </c>
      <c r="AI647" s="134"/>
      <c r="AJ647" s="143" t="s">
        <v>2244</v>
      </c>
      <c r="AK647" s="129">
        <v>10.42</v>
      </c>
      <c r="AL647" s="129">
        <v>10.43</v>
      </c>
      <c r="AM647" s="129">
        <v>10.454999999999998</v>
      </c>
      <c r="AN647" s="129">
        <v>10.459999999999999</v>
      </c>
      <c r="AO647" s="126" t="str">
        <f t="shared" si="58"/>
        <v/>
      </c>
      <c r="AR647" s="99" t="s">
        <v>136</v>
      </c>
    </row>
    <row r="648" spans="1:44" s="99" customFormat="1" ht="21" customHeight="1" x14ac:dyDescent="0.35">
      <c r="A648" s="99">
        <v>425</v>
      </c>
      <c r="B648" s="126" t="str">
        <f t="shared" si="54"/>
        <v>RM-304L/1D-004X767</v>
      </c>
      <c r="C648" s="126" t="s">
        <v>43</v>
      </c>
      <c r="D648" s="126" t="s">
        <v>43</v>
      </c>
      <c r="E648" s="143" t="s">
        <v>2247</v>
      </c>
      <c r="F648" s="143" t="s">
        <v>2248</v>
      </c>
      <c r="G648" s="126" t="s">
        <v>230</v>
      </c>
      <c r="H648" s="126" t="s">
        <v>139</v>
      </c>
      <c r="I648" s="127">
        <v>3.79</v>
      </c>
      <c r="J648" s="127"/>
      <c r="K648" s="127"/>
      <c r="L648" s="127"/>
      <c r="M648" s="144">
        <v>767</v>
      </c>
      <c r="N648" s="129">
        <v>10.41</v>
      </c>
      <c r="O648" s="129"/>
      <c r="P648" s="129"/>
      <c r="Q648" s="130"/>
      <c r="R648" s="131"/>
      <c r="S648" s="131"/>
      <c r="T648" s="132"/>
      <c r="U648" s="132"/>
      <c r="V648" s="132"/>
      <c r="W648" s="132"/>
      <c r="X648" s="132"/>
      <c r="Y648" s="133" t="s">
        <v>1942</v>
      </c>
      <c r="Z648" s="126" t="s">
        <v>64</v>
      </c>
      <c r="AA648" s="134" t="s">
        <v>154</v>
      </c>
      <c r="AB648" s="134" t="s">
        <v>1943</v>
      </c>
      <c r="AC648" s="134"/>
      <c r="AD648" s="134">
        <v>44585</v>
      </c>
      <c r="AE648" s="134"/>
      <c r="AF648" s="134">
        <f t="shared" ca="1" si="55"/>
        <v>44963</v>
      </c>
      <c r="AG648" s="126">
        <f t="shared" ca="1" si="56"/>
        <v>378</v>
      </c>
      <c r="AH648" s="126" t="str">
        <f t="shared" si="57"/>
        <v/>
      </c>
      <c r="AI648" s="134"/>
      <c r="AJ648" s="143" t="s">
        <v>2249</v>
      </c>
      <c r="AK648" s="129">
        <v>10.41</v>
      </c>
      <c r="AL648" s="129">
        <v>10.42</v>
      </c>
      <c r="AM648" s="129">
        <v>10.444999999999999</v>
      </c>
      <c r="AN648" s="129">
        <v>10.45</v>
      </c>
      <c r="AO648" s="126" t="str">
        <f t="shared" si="58"/>
        <v/>
      </c>
      <c r="AR648" s="99" t="s">
        <v>136</v>
      </c>
    </row>
    <row r="649" spans="1:44" s="99" customFormat="1" ht="21" customHeight="1" x14ac:dyDescent="0.35">
      <c r="A649" s="99">
        <v>425</v>
      </c>
      <c r="B649" s="126" t="str">
        <f t="shared" si="54"/>
        <v>RM-304L/1D-004X769</v>
      </c>
      <c r="C649" s="126" t="s">
        <v>43</v>
      </c>
      <c r="D649" s="126" t="s">
        <v>43</v>
      </c>
      <c r="E649" s="143" t="s">
        <v>2250</v>
      </c>
      <c r="F649" s="143" t="s">
        <v>2251</v>
      </c>
      <c r="G649" s="126" t="s">
        <v>230</v>
      </c>
      <c r="H649" s="126" t="s">
        <v>139</v>
      </c>
      <c r="I649" s="127">
        <v>3.79</v>
      </c>
      <c r="J649" s="127"/>
      <c r="K649" s="127"/>
      <c r="L649" s="127"/>
      <c r="M649" s="144">
        <v>769</v>
      </c>
      <c r="N649" s="129">
        <v>10.445</v>
      </c>
      <c r="O649" s="129"/>
      <c r="P649" s="129"/>
      <c r="Q649" s="130"/>
      <c r="R649" s="131"/>
      <c r="S649" s="131"/>
      <c r="T649" s="132"/>
      <c r="U649" s="132"/>
      <c r="V649" s="132"/>
      <c r="W649" s="132"/>
      <c r="X649" s="132"/>
      <c r="Y649" s="133" t="s">
        <v>1942</v>
      </c>
      <c r="Z649" s="126" t="s">
        <v>64</v>
      </c>
      <c r="AA649" s="134" t="s">
        <v>154</v>
      </c>
      <c r="AB649" s="134" t="s">
        <v>1943</v>
      </c>
      <c r="AC649" s="134"/>
      <c r="AD649" s="134">
        <v>44585</v>
      </c>
      <c r="AE649" s="134"/>
      <c r="AF649" s="134">
        <f t="shared" ca="1" si="55"/>
        <v>44963</v>
      </c>
      <c r="AG649" s="126">
        <f t="shared" ca="1" si="56"/>
        <v>378</v>
      </c>
      <c r="AH649" s="126" t="str">
        <f t="shared" si="57"/>
        <v/>
      </c>
      <c r="AI649" s="134"/>
      <c r="AJ649" s="143" t="s">
        <v>2249</v>
      </c>
      <c r="AK649" s="129">
        <v>10.445</v>
      </c>
      <c r="AL649" s="129">
        <v>10.455</v>
      </c>
      <c r="AM649" s="129">
        <v>10.479999999999999</v>
      </c>
      <c r="AN649" s="129">
        <v>10.484999999999999</v>
      </c>
      <c r="AO649" s="126" t="str">
        <f t="shared" si="58"/>
        <v/>
      </c>
      <c r="AR649" s="99" t="s">
        <v>136</v>
      </c>
    </row>
    <row r="650" spans="1:44" s="99" customFormat="1" ht="21" customHeight="1" x14ac:dyDescent="0.35">
      <c r="A650" s="99">
        <v>425</v>
      </c>
      <c r="B650" s="126" t="str">
        <f t="shared" si="54"/>
        <v>RM-304L/1D-004X768</v>
      </c>
      <c r="C650" s="126" t="s">
        <v>43</v>
      </c>
      <c r="D650" s="126" t="s">
        <v>43</v>
      </c>
      <c r="E650" s="143" t="s">
        <v>2252</v>
      </c>
      <c r="F650" s="143" t="s">
        <v>2253</v>
      </c>
      <c r="G650" s="126" t="s">
        <v>230</v>
      </c>
      <c r="H650" s="126" t="s">
        <v>139</v>
      </c>
      <c r="I650" s="127">
        <v>3.79</v>
      </c>
      <c r="J650" s="127"/>
      <c r="K650" s="127"/>
      <c r="L650" s="127"/>
      <c r="M650" s="144">
        <v>768</v>
      </c>
      <c r="N650" s="129">
        <v>10.4</v>
      </c>
      <c r="O650" s="129"/>
      <c r="P650" s="129"/>
      <c r="Q650" s="130"/>
      <c r="R650" s="131"/>
      <c r="S650" s="131"/>
      <c r="T650" s="132"/>
      <c r="U650" s="132"/>
      <c r="V650" s="132"/>
      <c r="W650" s="132"/>
      <c r="X650" s="132"/>
      <c r="Y650" s="133" t="s">
        <v>1942</v>
      </c>
      <c r="Z650" s="126" t="s">
        <v>64</v>
      </c>
      <c r="AA650" s="134" t="s">
        <v>154</v>
      </c>
      <c r="AB650" s="134" t="s">
        <v>1943</v>
      </c>
      <c r="AC650" s="134"/>
      <c r="AD650" s="134">
        <v>44585</v>
      </c>
      <c r="AE650" s="134"/>
      <c r="AF650" s="134">
        <f t="shared" ca="1" si="55"/>
        <v>44963</v>
      </c>
      <c r="AG650" s="126">
        <f t="shared" ca="1" si="56"/>
        <v>378</v>
      </c>
      <c r="AH650" s="126" t="str">
        <f t="shared" si="57"/>
        <v/>
      </c>
      <c r="AI650" s="134"/>
      <c r="AJ650" s="143" t="s">
        <v>2254</v>
      </c>
      <c r="AK650" s="129">
        <v>10.4</v>
      </c>
      <c r="AL650" s="129">
        <v>10.41</v>
      </c>
      <c r="AM650" s="129">
        <v>10.434999999999999</v>
      </c>
      <c r="AN650" s="129">
        <v>10.44</v>
      </c>
      <c r="AO650" s="126" t="str">
        <f t="shared" si="58"/>
        <v/>
      </c>
      <c r="AR650" s="99" t="s">
        <v>136</v>
      </c>
    </row>
    <row r="651" spans="1:44" s="99" customFormat="1" ht="21" customHeight="1" x14ac:dyDescent="0.35">
      <c r="A651" s="99">
        <v>425</v>
      </c>
      <c r="B651" s="126" t="str">
        <f t="shared" si="54"/>
        <v>RM-304L/1D-004X768</v>
      </c>
      <c r="C651" s="126" t="s">
        <v>43</v>
      </c>
      <c r="D651" s="126" t="s">
        <v>43</v>
      </c>
      <c r="E651" s="143" t="s">
        <v>2255</v>
      </c>
      <c r="F651" s="143" t="s">
        <v>2256</v>
      </c>
      <c r="G651" s="126" t="s">
        <v>230</v>
      </c>
      <c r="H651" s="126" t="s">
        <v>139</v>
      </c>
      <c r="I651" s="127">
        <v>3.79</v>
      </c>
      <c r="J651" s="127"/>
      <c r="K651" s="127"/>
      <c r="L651" s="127"/>
      <c r="M651" s="144">
        <v>768</v>
      </c>
      <c r="N651" s="129">
        <v>10.38</v>
      </c>
      <c r="O651" s="129"/>
      <c r="P651" s="129"/>
      <c r="Q651" s="130"/>
      <c r="R651" s="131"/>
      <c r="S651" s="131"/>
      <c r="T651" s="132"/>
      <c r="U651" s="132"/>
      <c r="V651" s="132"/>
      <c r="W651" s="132"/>
      <c r="X651" s="132"/>
      <c r="Y651" s="133" t="s">
        <v>1942</v>
      </c>
      <c r="Z651" s="126" t="s">
        <v>64</v>
      </c>
      <c r="AA651" s="134" t="s">
        <v>154</v>
      </c>
      <c r="AB651" s="134" t="s">
        <v>1943</v>
      </c>
      <c r="AC651" s="134"/>
      <c r="AD651" s="134">
        <v>44585</v>
      </c>
      <c r="AE651" s="134"/>
      <c r="AF651" s="134">
        <f t="shared" ca="1" si="55"/>
        <v>44963</v>
      </c>
      <c r="AG651" s="126">
        <f t="shared" ca="1" si="56"/>
        <v>378</v>
      </c>
      <c r="AH651" s="126" t="str">
        <f t="shared" si="57"/>
        <v/>
      </c>
      <c r="AI651" s="134"/>
      <c r="AJ651" s="143" t="s">
        <v>2254</v>
      </c>
      <c r="AK651" s="129">
        <v>10.38</v>
      </c>
      <c r="AL651" s="129">
        <v>10.39</v>
      </c>
      <c r="AM651" s="129">
        <v>10.414999999999999</v>
      </c>
      <c r="AN651" s="129">
        <v>10.42</v>
      </c>
      <c r="AO651" s="126" t="str">
        <f t="shared" si="58"/>
        <v/>
      </c>
      <c r="AR651" s="99" t="s">
        <v>136</v>
      </c>
    </row>
    <row r="652" spans="1:44" s="99" customFormat="1" ht="21" customHeight="1" x14ac:dyDescent="0.35">
      <c r="A652" s="99">
        <v>425</v>
      </c>
      <c r="B652" s="126" t="str">
        <f t="shared" si="54"/>
        <v>RM-304L/1D-004X767</v>
      </c>
      <c r="C652" s="126" t="s">
        <v>43</v>
      </c>
      <c r="D652" s="126" t="s">
        <v>43</v>
      </c>
      <c r="E652" s="143" t="s">
        <v>2257</v>
      </c>
      <c r="F652" s="143" t="s">
        <v>2258</v>
      </c>
      <c r="G652" s="126" t="s">
        <v>230</v>
      </c>
      <c r="H652" s="126" t="s">
        <v>139</v>
      </c>
      <c r="I652" s="127">
        <v>3.8</v>
      </c>
      <c r="J652" s="127"/>
      <c r="K652" s="127"/>
      <c r="L652" s="127"/>
      <c r="M652" s="144">
        <v>767</v>
      </c>
      <c r="N652" s="129">
        <v>10.404999999999999</v>
      </c>
      <c r="O652" s="129"/>
      <c r="P652" s="129"/>
      <c r="Q652" s="130"/>
      <c r="R652" s="131"/>
      <c r="S652" s="131"/>
      <c r="T652" s="132"/>
      <c r="U652" s="132"/>
      <c r="V652" s="132"/>
      <c r="W652" s="132"/>
      <c r="X652" s="132"/>
      <c r="Y652" s="133" t="s">
        <v>1942</v>
      </c>
      <c r="Z652" s="126" t="s">
        <v>64</v>
      </c>
      <c r="AA652" s="134" t="s">
        <v>154</v>
      </c>
      <c r="AB652" s="134" t="s">
        <v>1943</v>
      </c>
      <c r="AC652" s="134"/>
      <c r="AD652" s="134">
        <v>44585</v>
      </c>
      <c r="AE652" s="134"/>
      <c r="AF652" s="134">
        <f t="shared" ca="1" si="55"/>
        <v>44963</v>
      </c>
      <c r="AG652" s="126">
        <f t="shared" ca="1" si="56"/>
        <v>378</v>
      </c>
      <c r="AH652" s="126" t="str">
        <f t="shared" si="57"/>
        <v/>
      </c>
      <c r="AI652" s="134"/>
      <c r="AJ652" s="143" t="s">
        <v>2259</v>
      </c>
      <c r="AK652" s="129">
        <v>10.404999999999999</v>
      </c>
      <c r="AL652" s="129">
        <v>10.414999999999999</v>
      </c>
      <c r="AM652" s="129">
        <v>10.439999999999998</v>
      </c>
      <c r="AN652" s="129">
        <v>10.444999999999999</v>
      </c>
      <c r="AO652" s="126" t="str">
        <f t="shared" si="58"/>
        <v/>
      </c>
      <c r="AR652" s="99" t="s">
        <v>136</v>
      </c>
    </row>
    <row r="653" spans="1:44" s="99" customFormat="1" ht="21" customHeight="1" x14ac:dyDescent="0.35">
      <c r="A653" s="99">
        <v>425</v>
      </c>
      <c r="B653" s="126" t="str">
        <f t="shared" si="54"/>
        <v>RM-304L/1D-004X768</v>
      </c>
      <c r="C653" s="126" t="s">
        <v>43</v>
      </c>
      <c r="D653" s="126" t="s">
        <v>43</v>
      </c>
      <c r="E653" s="143" t="s">
        <v>2260</v>
      </c>
      <c r="F653" s="143" t="s">
        <v>2261</v>
      </c>
      <c r="G653" s="126" t="s">
        <v>230</v>
      </c>
      <c r="H653" s="126" t="s">
        <v>139</v>
      </c>
      <c r="I653" s="127">
        <v>3.81</v>
      </c>
      <c r="J653" s="127"/>
      <c r="K653" s="127"/>
      <c r="L653" s="127"/>
      <c r="M653" s="144">
        <v>768</v>
      </c>
      <c r="N653" s="129">
        <v>10.404999999999999</v>
      </c>
      <c r="O653" s="129"/>
      <c r="P653" s="129"/>
      <c r="Q653" s="130"/>
      <c r="R653" s="131"/>
      <c r="S653" s="131"/>
      <c r="T653" s="132"/>
      <c r="U653" s="132"/>
      <c r="V653" s="132"/>
      <c r="W653" s="132"/>
      <c r="X653" s="132"/>
      <c r="Y653" s="133" t="s">
        <v>1942</v>
      </c>
      <c r="Z653" s="126" t="s">
        <v>64</v>
      </c>
      <c r="AA653" s="134" t="s">
        <v>154</v>
      </c>
      <c r="AB653" s="134" t="s">
        <v>1943</v>
      </c>
      <c r="AC653" s="134"/>
      <c r="AD653" s="134">
        <v>44585</v>
      </c>
      <c r="AE653" s="134"/>
      <c r="AF653" s="134">
        <f t="shared" ca="1" si="55"/>
        <v>44963</v>
      </c>
      <c r="AG653" s="126">
        <f t="shared" ca="1" si="56"/>
        <v>378</v>
      </c>
      <c r="AH653" s="126" t="str">
        <f t="shared" si="57"/>
        <v/>
      </c>
      <c r="AI653" s="134"/>
      <c r="AJ653" s="143" t="s">
        <v>2259</v>
      </c>
      <c r="AK653" s="129">
        <v>10.404999999999999</v>
      </c>
      <c r="AL653" s="129">
        <v>10.414999999999999</v>
      </c>
      <c r="AM653" s="129">
        <v>10.439999999999998</v>
      </c>
      <c r="AN653" s="129">
        <v>10.444999999999999</v>
      </c>
      <c r="AO653" s="126" t="str">
        <f t="shared" si="58"/>
        <v/>
      </c>
      <c r="AR653" s="99" t="s">
        <v>136</v>
      </c>
    </row>
    <row r="654" spans="1:44" s="99" customFormat="1" ht="21" customHeight="1" x14ac:dyDescent="0.35">
      <c r="A654" s="99">
        <v>425</v>
      </c>
      <c r="B654" s="126" t="str">
        <f t="shared" si="54"/>
        <v>RM-304L/1D-004X767</v>
      </c>
      <c r="C654" s="126" t="s">
        <v>43</v>
      </c>
      <c r="D654" s="126" t="s">
        <v>43</v>
      </c>
      <c r="E654" s="143" t="s">
        <v>2262</v>
      </c>
      <c r="F654" s="143" t="s">
        <v>2263</v>
      </c>
      <c r="G654" s="126" t="s">
        <v>230</v>
      </c>
      <c r="H654" s="126" t="s">
        <v>139</v>
      </c>
      <c r="I654" s="127">
        <v>3.8</v>
      </c>
      <c r="J654" s="127"/>
      <c r="K654" s="127"/>
      <c r="L654" s="127"/>
      <c r="M654" s="144">
        <v>767</v>
      </c>
      <c r="N654" s="129">
        <v>10.404999999999999</v>
      </c>
      <c r="O654" s="129"/>
      <c r="P654" s="129"/>
      <c r="Q654" s="130"/>
      <c r="R654" s="131"/>
      <c r="S654" s="131"/>
      <c r="T654" s="132"/>
      <c r="U654" s="132"/>
      <c r="V654" s="132"/>
      <c r="W654" s="132"/>
      <c r="X654" s="132"/>
      <c r="Y654" s="133" t="s">
        <v>1942</v>
      </c>
      <c r="Z654" s="126" t="s">
        <v>64</v>
      </c>
      <c r="AA654" s="134" t="s">
        <v>154</v>
      </c>
      <c r="AB654" s="134" t="s">
        <v>1943</v>
      </c>
      <c r="AC654" s="134"/>
      <c r="AD654" s="134">
        <v>44585</v>
      </c>
      <c r="AE654" s="134"/>
      <c r="AF654" s="134">
        <f t="shared" ca="1" si="55"/>
        <v>44963</v>
      </c>
      <c r="AG654" s="126">
        <f t="shared" ca="1" si="56"/>
        <v>378</v>
      </c>
      <c r="AH654" s="126" t="str">
        <f t="shared" si="57"/>
        <v/>
      </c>
      <c r="AI654" s="134"/>
      <c r="AJ654" s="143" t="s">
        <v>2264</v>
      </c>
      <c r="AK654" s="129">
        <v>10.404999999999999</v>
      </c>
      <c r="AL654" s="129">
        <v>10.414999999999999</v>
      </c>
      <c r="AM654" s="129">
        <v>10.439999999999998</v>
      </c>
      <c r="AN654" s="129">
        <v>10.444999999999999</v>
      </c>
      <c r="AO654" s="126" t="str">
        <f t="shared" si="58"/>
        <v/>
      </c>
      <c r="AR654" s="99" t="s">
        <v>136</v>
      </c>
    </row>
    <row r="655" spans="1:44" s="99" customFormat="1" ht="21" customHeight="1" x14ac:dyDescent="0.35">
      <c r="A655" s="99">
        <v>425</v>
      </c>
      <c r="B655" s="126" t="str">
        <f t="shared" si="54"/>
        <v>RM-304L/1D-004X768</v>
      </c>
      <c r="C655" s="126" t="s">
        <v>43</v>
      </c>
      <c r="D655" s="126" t="s">
        <v>43</v>
      </c>
      <c r="E655" s="143" t="s">
        <v>2265</v>
      </c>
      <c r="F655" s="143" t="s">
        <v>2266</v>
      </c>
      <c r="G655" s="126" t="s">
        <v>230</v>
      </c>
      <c r="H655" s="126" t="s">
        <v>139</v>
      </c>
      <c r="I655" s="127">
        <v>3.81</v>
      </c>
      <c r="J655" s="127"/>
      <c r="K655" s="127"/>
      <c r="L655" s="127"/>
      <c r="M655" s="144">
        <v>768</v>
      </c>
      <c r="N655" s="129">
        <v>10.4</v>
      </c>
      <c r="O655" s="129"/>
      <c r="P655" s="129"/>
      <c r="Q655" s="130"/>
      <c r="R655" s="131"/>
      <c r="S655" s="131"/>
      <c r="T655" s="132"/>
      <c r="U655" s="132"/>
      <c r="V655" s="132"/>
      <c r="W655" s="132"/>
      <c r="X655" s="132"/>
      <c r="Y655" s="133" t="s">
        <v>1942</v>
      </c>
      <c r="Z655" s="126" t="s">
        <v>64</v>
      </c>
      <c r="AA655" s="134" t="s">
        <v>154</v>
      </c>
      <c r="AB655" s="134" t="s">
        <v>1943</v>
      </c>
      <c r="AC655" s="134"/>
      <c r="AD655" s="134">
        <v>44585</v>
      </c>
      <c r="AE655" s="134"/>
      <c r="AF655" s="134">
        <f t="shared" ca="1" si="55"/>
        <v>44963</v>
      </c>
      <c r="AG655" s="126">
        <f t="shared" ca="1" si="56"/>
        <v>378</v>
      </c>
      <c r="AH655" s="126" t="str">
        <f t="shared" si="57"/>
        <v/>
      </c>
      <c r="AI655" s="134"/>
      <c r="AJ655" s="143" t="s">
        <v>2264</v>
      </c>
      <c r="AK655" s="129">
        <v>10.4</v>
      </c>
      <c r="AL655" s="129">
        <v>10.41</v>
      </c>
      <c r="AM655" s="129">
        <v>10.434999999999999</v>
      </c>
      <c r="AN655" s="129">
        <v>10.44</v>
      </c>
      <c r="AO655" s="126" t="str">
        <f t="shared" si="58"/>
        <v/>
      </c>
      <c r="AR655" s="99" t="s">
        <v>136</v>
      </c>
    </row>
    <row r="656" spans="1:44" s="99" customFormat="1" ht="21" customHeight="1" x14ac:dyDescent="0.35">
      <c r="A656" s="99">
        <v>425</v>
      </c>
      <c r="B656" s="126" t="str">
        <f t="shared" si="54"/>
        <v>RM-304L/1D-004X768</v>
      </c>
      <c r="C656" s="126" t="s">
        <v>43</v>
      </c>
      <c r="D656" s="126" t="s">
        <v>43</v>
      </c>
      <c r="E656" s="143" t="s">
        <v>2267</v>
      </c>
      <c r="F656" s="143" t="s">
        <v>2268</v>
      </c>
      <c r="G656" s="126" t="s">
        <v>230</v>
      </c>
      <c r="H656" s="126" t="s">
        <v>139</v>
      </c>
      <c r="I656" s="127">
        <v>3.81</v>
      </c>
      <c r="J656" s="127"/>
      <c r="K656" s="127"/>
      <c r="L656" s="127"/>
      <c r="M656" s="144">
        <v>768</v>
      </c>
      <c r="N656" s="129">
        <v>10.385</v>
      </c>
      <c r="O656" s="129"/>
      <c r="P656" s="129"/>
      <c r="Q656" s="130"/>
      <c r="R656" s="131"/>
      <c r="S656" s="131"/>
      <c r="T656" s="132"/>
      <c r="U656" s="132"/>
      <c r="V656" s="132"/>
      <c r="W656" s="132"/>
      <c r="X656" s="132"/>
      <c r="Y656" s="133" t="s">
        <v>1942</v>
      </c>
      <c r="Z656" s="126" t="s">
        <v>64</v>
      </c>
      <c r="AA656" s="134" t="s">
        <v>154</v>
      </c>
      <c r="AB656" s="134" t="s">
        <v>1943</v>
      </c>
      <c r="AC656" s="134"/>
      <c r="AD656" s="134">
        <v>44585</v>
      </c>
      <c r="AE656" s="134"/>
      <c r="AF656" s="134">
        <f t="shared" ca="1" si="55"/>
        <v>44963</v>
      </c>
      <c r="AG656" s="126">
        <f t="shared" ca="1" si="56"/>
        <v>378</v>
      </c>
      <c r="AH656" s="126" t="str">
        <f t="shared" si="57"/>
        <v/>
      </c>
      <c r="AI656" s="134"/>
      <c r="AJ656" s="143" t="s">
        <v>2269</v>
      </c>
      <c r="AK656" s="129">
        <v>10.385</v>
      </c>
      <c r="AL656" s="129">
        <v>10.395</v>
      </c>
      <c r="AM656" s="129">
        <v>10.419999999999998</v>
      </c>
      <c r="AN656" s="129">
        <v>10.424999999999999</v>
      </c>
      <c r="AO656" s="126" t="str">
        <f t="shared" si="58"/>
        <v/>
      </c>
      <c r="AR656" s="99" t="s">
        <v>136</v>
      </c>
    </row>
    <row r="657" spans="1:44" s="99" customFormat="1" ht="21" customHeight="1" x14ac:dyDescent="0.35">
      <c r="A657" s="99">
        <v>425</v>
      </c>
      <c r="B657" s="126" t="str">
        <f t="shared" si="54"/>
        <v>RM-304L/1D-004X768</v>
      </c>
      <c r="C657" s="126" t="s">
        <v>43</v>
      </c>
      <c r="D657" s="126" t="s">
        <v>43</v>
      </c>
      <c r="E657" s="143" t="s">
        <v>2270</v>
      </c>
      <c r="F657" s="143" t="s">
        <v>2271</v>
      </c>
      <c r="G657" s="126" t="s">
        <v>230</v>
      </c>
      <c r="H657" s="126" t="s">
        <v>139</v>
      </c>
      <c r="I657" s="127">
        <v>3.79</v>
      </c>
      <c r="J657" s="127"/>
      <c r="K657" s="127"/>
      <c r="L657" s="127"/>
      <c r="M657" s="144">
        <v>768</v>
      </c>
      <c r="N657" s="129">
        <v>10.365</v>
      </c>
      <c r="O657" s="129"/>
      <c r="P657" s="129"/>
      <c r="Q657" s="130"/>
      <c r="R657" s="131"/>
      <c r="S657" s="131"/>
      <c r="T657" s="132"/>
      <c r="U657" s="132"/>
      <c r="V657" s="132"/>
      <c r="W657" s="132"/>
      <c r="X657" s="132"/>
      <c r="Y657" s="133" t="s">
        <v>1942</v>
      </c>
      <c r="Z657" s="126" t="s">
        <v>64</v>
      </c>
      <c r="AA657" s="134" t="s">
        <v>154</v>
      </c>
      <c r="AB657" s="134" t="s">
        <v>1943</v>
      </c>
      <c r="AC657" s="134"/>
      <c r="AD657" s="134">
        <v>44585</v>
      </c>
      <c r="AE657" s="134"/>
      <c r="AF657" s="134">
        <f t="shared" ca="1" si="55"/>
        <v>44963</v>
      </c>
      <c r="AG657" s="126">
        <f t="shared" ca="1" si="56"/>
        <v>378</v>
      </c>
      <c r="AH657" s="126" t="str">
        <f t="shared" si="57"/>
        <v/>
      </c>
      <c r="AI657" s="134"/>
      <c r="AJ657" s="143" t="s">
        <v>2269</v>
      </c>
      <c r="AK657" s="129">
        <v>10.365</v>
      </c>
      <c r="AL657" s="129">
        <v>10.375</v>
      </c>
      <c r="AM657" s="129">
        <v>10.399999999999999</v>
      </c>
      <c r="AN657" s="129">
        <v>10.404999999999999</v>
      </c>
      <c r="AO657" s="126" t="str">
        <f t="shared" si="58"/>
        <v/>
      </c>
      <c r="AR657" s="99" t="s">
        <v>136</v>
      </c>
    </row>
    <row r="658" spans="1:44" s="99" customFormat="1" ht="21" customHeight="1" x14ac:dyDescent="0.35">
      <c r="A658" s="99">
        <v>425</v>
      </c>
      <c r="B658" s="126" t="str">
        <f t="shared" si="54"/>
        <v>RM-304L/1D-004X767</v>
      </c>
      <c r="C658" s="126" t="s">
        <v>43</v>
      </c>
      <c r="D658" s="126" t="s">
        <v>43</v>
      </c>
      <c r="E658" s="143" t="s">
        <v>2272</v>
      </c>
      <c r="F658" s="143" t="s">
        <v>2273</v>
      </c>
      <c r="G658" s="126" t="s">
        <v>230</v>
      </c>
      <c r="H658" s="126" t="s">
        <v>139</v>
      </c>
      <c r="I658" s="127">
        <v>3.8</v>
      </c>
      <c r="J658" s="127"/>
      <c r="K658" s="127"/>
      <c r="L658" s="127"/>
      <c r="M658" s="144">
        <v>767</v>
      </c>
      <c r="N658" s="129">
        <v>10.395</v>
      </c>
      <c r="O658" s="129"/>
      <c r="P658" s="129"/>
      <c r="Q658" s="130"/>
      <c r="R658" s="131"/>
      <c r="S658" s="131"/>
      <c r="T658" s="132"/>
      <c r="U658" s="132"/>
      <c r="V658" s="132"/>
      <c r="W658" s="132"/>
      <c r="X658" s="132"/>
      <c r="Y658" s="133" t="s">
        <v>1942</v>
      </c>
      <c r="Z658" s="126" t="s">
        <v>64</v>
      </c>
      <c r="AA658" s="134" t="s">
        <v>154</v>
      </c>
      <c r="AB658" s="134" t="s">
        <v>1943</v>
      </c>
      <c r="AC658" s="134"/>
      <c r="AD658" s="134">
        <v>44585</v>
      </c>
      <c r="AE658" s="134"/>
      <c r="AF658" s="134">
        <f t="shared" ca="1" si="55"/>
        <v>44963</v>
      </c>
      <c r="AG658" s="126">
        <f t="shared" ca="1" si="56"/>
        <v>378</v>
      </c>
      <c r="AH658" s="126" t="str">
        <f t="shared" si="57"/>
        <v/>
      </c>
      <c r="AI658" s="134"/>
      <c r="AJ658" s="143" t="s">
        <v>2274</v>
      </c>
      <c r="AK658" s="129">
        <v>10.395</v>
      </c>
      <c r="AL658" s="129">
        <v>10.404999999999999</v>
      </c>
      <c r="AM658" s="129">
        <v>10.429999999999998</v>
      </c>
      <c r="AN658" s="129">
        <v>10.434999999999999</v>
      </c>
      <c r="AO658" s="126" t="str">
        <f t="shared" si="58"/>
        <v/>
      </c>
      <c r="AR658" s="99" t="s">
        <v>136</v>
      </c>
    </row>
    <row r="659" spans="1:44" s="99" customFormat="1" ht="21" customHeight="1" x14ac:dyDescent="0.35">
      <c r="A659" s="99">
        <v>425</v>
      </c>
      <c r="B659" s="126" t="str">
        <f t="shared" si="54"/>
        <v>RM-304L/1D-004X768</v>
      </c>
      <c r="C659" s="126" t="s">
        <v>43</v>
      </c>
      <c r="D659" s="126" t="s">
        <v>43</v>
      </c>
      <c r="E659" s="143" t="s">
        <v>2275</v>
      </c>
      <c r="F659" s="143" t="s">
        <v>2276</v>
      </c>
      <c r="G659" s="126" t="s">
        <v>230</v>
      </c>
      <c r="H659" s="126" t="s">
        <v>139</v>
      </c>
      <c r="I659" s="127">
        <v>3.8</v>
      </c>
      <c r="J659" s="127"/>
      <c r="K659" s="127"/>
      <c r="L659" s="127"/>
      <c r="M659" s="144">
        <v>768</v>
      </c>
      <c r="N659" s="129">
        <v>10.39</v>
      </c>
      <c r="O659" s="129"/>
      <c r="P659" s="129"/>
      <c r="Q659" s="130"/>
      <c r="R659" s="131"/>
      <c r="S659" s="131"/>
      <c r="T659" s="132"/>
      <c r="U659" s="132"/>
      <c r="V659" s="132"/>
      <c r="W659" s="132"/>
      <c r="X659" s="132"/>
      <c r="Y659" s="133" t="s">
        <v>1942</v>
      </c>
      <c r="Z659" s="126" t="s">
        <v>64</v>
      </c>
      <c r="AA659" s="134" t="s">
        <v>154</v>
      </c>
      <c r="AB659" s="134" t="s">
        <v>1943</v>
      </c>
      <c r="AC659" s="134"/>
      <c r="AD659" s="134">
        <v>44585</v>
      </c>
      <c r="AE659" s="134"/>
      <c r="AF659" s="134">
        <f t="shared" ca="1" si="55"/>
        <v>44963</v>
      </c>
      <c r="AG659" s="126">
        <f t="shared" ca="1" si="56"/>
        <v>378</v>
      </c>
      <c r="AH659" s="126" t="str">
        <f t="shared" si="57"/>
        <v/>
      </c>
      <c r="AI659" s="134"/>
      <c r="AJ659" s="143" t="s">
        <v>2274</v>
      </c>
      <c r="AK659" s="129">
        <v>10.39</v>
      </c>
      <c r="AL659" s="129">
        <v>10.4</v>
      </c>
      <c r="AM659" s="129">
        <v>10.424999999999999</v>
      </c>
      <c r="AN659" s="129">
        <v>10.43</v>
      </c>
      <c r="AO659" s="126" t="str">
        <f t="shared" si="58"/>
        <v/>
      </c>
      <c r="AR659" s="99" t="s">
        <v>136</v>
      </c>
    </row>
    <row r="660" spans="1:44" s="99" customFormat="1" ht="21" customHeight="1" x14ac:dyDescent="0.35">
      <c r="A660" s="99">
        <v>425</v>
      </c>
      <c r="B660" s="126" t="str">
        <f t="shared" si="54"/>
        <v>RM-304L/1D-004X770</v>
      </c>
      <c r="C660" s="126" t="s">
        <v>43</v>
      </c>
      <c r="D660" s="126" t="s">
        <v>43</v>
      </c>
      <c r="E660" s="143" t="s">
        <v>2277</v>
      </c>
      <c r="F660" s="143" t="s">
        <v>2278</v>
      </c>
      <c r="G660" s="126" t="s">
        <v>230</v>
      </c>
      <c r="H660" s="126" t="s">
        <v>139</v>
      </c>
      <c r="I660" s="127">
        <v>3.89</v>
      </c>
      <c r="J660" s="127"/>
      <c r="K660" s="127"/>
      <c r="L660" s="127"/>
      <c r="M660" s="144">
        <v>770</v>
      </c>
      <c r="N660" s="129">
        <v>11.11</v>
      </c>
      <c r="O660" s="129"/>
      <c r="P660" s="129"/>
      <c r="Q660" s="130"/>
      <c r="R660" s="131"/>
      <c r="S660" s="131"/>
      <c r="T660" s="132"/>
      <c r="U660" s="132"/>
      <c r="V660" s="132"/>
      <c r="W660" s="132"/>
      <c r="X660" s="132"/>
      <c r="Y660" s="133" t="s">
        <v>1942</v>
      </c>
      <c r="Z660" s="126" t="s">
        <v>64</v>
      </c>
      <c r="AA660" s="134" t="s">
        <v>154</v>
      </c>
      <c r="AB660" s="134" t="s">
        <v>1943</v>
      </c>
      <c r="AC660" s="134"/>
      <c r="AD660" s="134">
        <v>44585</v>
      </c>
      <c r="AE660" s="134"/>
      <c r="AF660" s="134">
        <f t="shared" ca="1" si="55"/>
        <v>44963</v>
      </c>
      <c r="AG660" s="126">
        <f t="shared" ca="1" si="56"/>
        <v>378</v>
      </c>
      <c r="AH660" s="126" t="str">
        <f t="shared" si="57"/>
        <v/>
      </c>
      <c r="AI660" s="134"/>
      <c r="AJ660" s="143" t="s">
        <v>2279</v>
      </c>
      <c r="AK660" s="129">
        <v>11.11</v>
      </c>
      <c r="AL660" s="129">
        <v>11.12</v>
      </c>
      <c r="AM660" s="129">
        <v>11.144999999999998</v>
      </c>
      <c r="AN660" s="129">
        <v>11.149999999999999</v>
      </c>
      <c r="AO660" s="126" t="str">
        <f t="shared" si="58"/>
        <v/>
      </c>
      <c r="AR660" s="99" t="s">
        <v>136</v>
      </c>
    </row>
    <row r="661" spans="1:44" s="99" customFormat="1" ht="21" customHeight="1" x14ac:dyDescent="0.35">
      <c r="A661" s="99">
        <v>425</v>
      </c>
      <c r="B661" s="126" t="str">
        <f t="shared" si="54"/>
        <v>RM-304L/1D-004X771</v>
      </c>
      <c r="C661" s="126" t="s">
        <v>43</v>
      </c>
      <c r="D661" s="126" t="s">
        <v>43</v>
      </c>
      <c r="E661" s="143" t="s">
        <v>2280</v>
      </c>
      <c r="F661" s="143" t="s">
        <v>2281</v>
      </c>
      <c r="G661" s="126" t="s">
        <v>230</v>
      </c>
      <c r="H661" s="126" t="s">
        <v>139</v>
      </c>
      <c r="I661" s="127">
        <v>3.89</v>
      </c>
      <c r="J661" s="127"/>
      <c r="K661" s="127"/>
      <c r="L661" s="127"/>
      <c r="M661" s="144">
        <v>771</v>
      </c>
      <c r="N661" s="129">
        <v>11.13</v>
      </c>
      <c r="O661" s="129"/>
      <c r="P661" s="129"/>
      <c r="Q661" s="130"/>
      <c r="R661" s="131"/>
      <c r="S661" s="131"/>
      <c r="T661" s="132"/>
      <c r="U661" s="132"/>
      <c r="V661" s="132"/>
      <c r="W661" s="132"/>
      <c r="X661" s="132"/>
      <c r="Y661" s="133" t="s">
        <v>1942</v>
      </c>
      <c r="Z661" s="126" t="s">
        <v>64</v>
      </c>
      <c r="AA661" s="134" t="s">
        <v>154</v>
      </c>
      <c r="AB661" s="134" t="s">
        <v>1943</v>
      </c>
      <c r="AC661" s="134"/>
      <c r="AD661" s="134">
        <v>44585</v>
      </c>
      <c r="AE661" s="134"/>
      <c r="AF661" s="134">
        <f t="shared" ca="1" si="55"/>
        <v>44963</v>
      </c>
      <c r="AG661" s="126">
        <f t="shared" ca="1" si="56"/>
        <v>378</v>
      </c>
      <c r="AH661" s="126" t="str">
        <f t="shared" si="57"/>
        <v/>
      </c>
      <c r="AI661" s="134"/>
      <c r="AJ661" s="143" t="s">
        <v>2279</v>
      </c>
      <c r="AK661" s="129">
        <v>11.13</v>
      </c>
      <c r="AL661" s="129">
        <v>11.14</v>
      </c>
      <c r="AM661" s="129">
        <v>11.164999999999999</v>
      </c>
      <c r="AN661" s="129">
        <v>11.17</v>
      </c>
      <c r="AO661" s="126" t="str">
        <f t="shared" si="58"/>
        <v/>
      </c>
      <c r="AR661" s="99" t="s">
        <v>136</v>
      </c>
    </row>
    <row r="662" spans="1:44" s="99" customFormat="1" ht="21" customHeight="1" x14ac:dyDescent="0.35">
      <c r="A662" s="99">
        <v>425</v>
      </c>
      <c r="B662" s="126" t="str">
        <f t="shared" si="54"/>
        <v>RM-304L/1D-004X770</v>
      </c>
      <c r="C662" s="126" t="s">
        <v>43</v>
      </c>
      <c r="D662" s="126" t="s">
        <v>43</v>
      </c>
      <c r="E662" s="143" t="s">
        <v>2282</v>
      </c>
      <c r="F662" s="143" t="s">
        <v>2283</v>
      </c>
      <c r="G662" s="126" t="s">
        <v>230</v>
      </c>
      <c r="H662" s="126" t="s">
        <v>139</v>
      </c>
      <c r="I662" s="127">
        <v>3.87</v>
      </c>
      <c r="J662" s="127"/>
      <c r="K662" s="127"/>
      <c r="L662" s="127"/>
      <c r="M662" s="144">
        <v>770</v>
      </c>
      <c r="N662" s="129">
        <v>11.89</v>
      </c>
      <c r="O662" s="129"/>
      <c r="P662" s="129"/>
      <c r="Q662" s="130"/>
      <c r="R662" s="131"/>
      <c r="S662" s="131"/>
      <c r="T662" s="132"/>
      <c r="U662" s="132"/>
      <c r="V662" s="132"/>
      <c r="W662" s="132"/>
      <c r="X662" s="132"/>
      <c r="Y662" s="133" t="s">
        <v>1942</v>
      </c>
      <c r="Z662" s="126" t="s">
        <v>64</v>
      </c>
      <c r="AA662" s="134" t="s">
        <v>154</v>
      </c>
      <c r="AB662" s="134" t="s">
        <v>1943</v>
      </c>
      <c r="AC662" s="134"/>
      <c r="AD662" s="134">
        <v>44585</v>
      </c>
      <c r="AE662" s="134"/>
      <c r="AF662" s="134">
        <f t="shared" ca="1" si="55"/>
        <v>44963</v>
      </c>
      <c r="AG662" s="126">
        <f t="shared" ca="1" si="56"/>
        <v>378</v>
      </c>
      <c r="AH662" s="126" t="str">
        <f t="shared" si="57"/>
        <v/>
      </c>
      <c r="AI662" s="134"/>
      <c r="AJ662" s="143" t="s">
        <v>2284</v>
      </c>
      <c r="AK662" s="129">
        <v>11.89</v>
      </c>
      <c r="AL662" s="129">
        <v>11.9</v>
      </c>
      <c r="AM662" s="129">
        <v>11.924999999999999</v>
      </c>
      <c r="AN662" s="129">
        <v>11.93</v>
      </c>
      <c r="AO662" s="126" t="str">
        <f t="shared" si="58"/>
        <v/>
      </c>
      <c r="AR662" s="99" t="s">
        <v>136</v>
      </c>
    </row>
    <row r="663" spans="1:44" s="99" customFormat="1" ht="21" customHeight="1" x14ac:dyDescent="0.35">
      <c r="A663" s="99">
        <v>425</v>
      </c>
      <c r="B663" s="126" t="str">
        <f t="shared" si="54"/>
        <v>RM-304L/1D-004X770</v>
      </c>
      <c r="C663" s="126" t="s">
        <v>43</v>
      </c>
      <c r="D663" s="126" t="s">
        <v>43</v>
      </c>
      <c r="E663" s="143" t="s">
        <v>2285</v>
      </c>
      <c r="F663" s="143" t="s">
        <v>2286</v>
      </c>
      <c r="G663" s="126" t="s">
        <v>230</v>
      </c>
      <c r="H663" s="126" t="s">
        <v>139</v>
      </c>
      <c r="I663" s="127">
        <v>3.87</v>
      </c>
      <c r="J663" s="127"/>
      <c r="K663" s="127"/>
      <c r="L663" s="127"/>
      <c r="M663" s="144">
        <v>770</v>
      </c>
      <c r="N663" s="129">
        <v>11.89</v>
      </c>
      <c r="O663" s="129"/>
      <c r="P663" s="129"/>
      <c r="Q663" s="130"/>
      <c r="R663" s="131"/>
      <c r="S663" s="131"/>
      <c r="T663" s="132"/>
      <c r="U663" s="132"/>
      <c r="V663" s="132"/>
      <c r="W663" s="132"/>
      <c r="X663" s="132"/>
      <c r="Y663" s="133" t="s">
        <v>1942</v>
      </c>
      <c r="Z663" s="126" t="s">
        <v>64</v>
      </c>
      <c r="AA663" s="134" t="s">
        <v>154</v>
      </c>
      <c r="AB663" s="134" t="s">
        <v>1943</v>
      </c>
      <c r="AC663" s="134"/>
      <c r="AD663" s="134">
        <v>44585</v>
      </c>
      <c r="AE663" s="134"/>
      <c r="AF663" s="134">
        <f t="shared" ca="1" si="55"/>
        <v>44963</v>
      </c>
      <c r="AG663" s="126">
        <f t="shared" ca="1" si="56"/>
        <v>378</v>
      </c>
      <c r="AH663" s="126" t="str">
        <f t="shared" si="57"/>
        <v/>
      </c>
      <c r="AI663" s="134"/>
      <c r="AJ663" s="143" t="s">
        <v>2284</v>
      </c>
      <c r="AK663" s="129">
        <v>11.89</v>
      </c>
      <c r="AL663" s="129">
        <v>11.9</v>
      </c>
      <c r="AM663" s="129">
        <v>11.924999999999999</v>
      </c>
      <c r="AN663" s="129">
        <v>11.93</v>
      </c>
      <c r="AO663" s="126" t="str">
        <f t="shared" si="58"/>
        <v/>
      </c>
      <c r="AR663" s="99" t="s">
        <v>136</v>
      </c>
    </row>
    <row r="664" spans="1:44" s="99" customFormat="1" ht="21" customHeight="1" x14ac:dyDescent="0.35">
      <c r="A664" s="99">
        <v>425</v>
      </c>
      <c r="B664" s="126" t="str">
        <f t="shared" si="54"/>
        <v>RM-304L/1D-004X770</v>
      </c>
      <c r="C664" s="126" t="s">
        <v>43</v>
      </c>
      <c r="D664" s="126" t="s">
        <v>43</v>
      </c>
      <c r="E664" s="143" t="s">
        <v>2287</v>
      </c>
      <c r="F664" s="143" t="s">
        <v>2288</v>
      </c>
      <c r="G664" s="126" t="s">
        <v>230</v>
      </c>
      <c r="H664" s="126" t="s">
        <v>139</v>
      </c>
      <c r="I664" s="127">
        <v>3.87</v>
      </c>
      <c r="J664" s="127"/>
      <c r="K664" s="127"/>
      <c r="L664" s="127"/>
      <c r="M664" s="144">
        <v>770</v>
      </c>
      <c r="N664" s="129">
        <v>11.765000000000001</v>
      </c>
      <c r="O664" s="129"/>
      <c r="P664" s="129"/>
      <c r="Q664" s="130"/>
      <c r="R664" s="131"/>
      <c r="S664" s="131"/>
      <c r="T664" s="132"/>
      <c r="U664" s="132"/>
      <c r="V664" s="132"/>
      <c r="W664" s="132"/>
      <c r="X664" s="132"/>
      <c r="Y664" s="133" t="s">
        <v>1942</v>
      </c>
      <c r="Z664" s="126" t="s">
        <v>64</v>
      </c>
      <c r="AA664" s="134" t="s">
        <v>154</v>
      </c>
      <c r="AB664" s="134" t="s">
        <v>1943</v>
      </c>
      <c r="AC664" s="134"/>
      <c r="AD664" s="134">
        <v>44585</v>
      </c>
      <c r="AE664" s="134"/>
      <c r="AF664" s="134">
        <f t="shared" ca="1" si="55"/>
        <v>44963</v>
      </c>
      <c r="AG664" s="126">
        <f t="shared" ca="1" si="56"/>
        <v>378</v>
      </c>
      <c r="AH664" s="126" t="str">
        <f t="shared" si="57"/>
        <v/>
      </c>
      <c r="AI664" s="134"/>
      <c r="AJ664" s="143" t="s">
        <v>2289</v>
      </c>
      <c r="AK664" s="129">
        <v>11.765000000000001</v>
      </c>
      <c r="AL664" s="129">
        <v>11.775</v>
      </c>
      <c r="AM664" s="129">
        <v>11.799999999999999</v>
      </c>
      <c r="AN664" s="129">
        <v>11.805</v>
      </c>
      <c r="AO664" s="126" t="str">
        <f t="shared" si="58"/>
        <v/>
      </c>
      <c r="AR664" s="99" t="s">
        <v>136</v>
      </c>
    </row>
    <row r="665" spans="1:44" s="99" customFormat="1" ht="21" customHeight="1" x14ac:dyDescent="0.35">
      <c r="A665" s="99">
        <v>425</v>
      </c>
      <c r="B665" s="126" t="str">
        <f t="shared" si="54"/>
        <v>RM-304L/1D-004X771</v>
      </c>
      <c r="C665" s="126" t="s">
        <v>43</v>
      </c>
      <c r="D665" s="126" t="s">
        <v>43</v>
      </c>
      <c r="E665" s="143" t="s">
        <v>2290</v>
      </c>
      <c r="F665" s="143" t="s">
        <v>2291</v>
      </c>
      <c r="G665" s="126" t="s">
        <v>230</v>
      </c>
      <c r="H665" s="126" t="s">
        <v>139</v>
      </c>
      <c r="I665" s="127">
        <v>3.87</v>
      </c>
      <c r="J665" s="127"/>
      <c r="K665" s="127"/>
      <c r="L665" s="127"/>
      <c r="M665" s="144">
        <v>771</v>
      </c>
      <c r="N665" s="129">
        <v>11.79</v>
      </c>
      <c r="O665" s="129"/>
      <c r="P665" s="129"/>
      <c r="Q665" s="130"/>
      <c r="R665" s="131"/>
      <c r="S665" s="131"/>
      <c r="T665" s="132"/>
      <c r="U665" s="132"/>
      <c r="V665" s="132"/>
      <c r="W665" s="132"/>
      <c r="X665" s="132"/>
      <c r="Y665" s="133" t="s">
        <v>1942</v>
      </c>
      <c r="Z665" s="126" t="s">
        <v>64</v>
      </c>
      <c r="AA665" s="134" t="s">
        <v>154</v>
      </c>
      <c r="AB665" s="134" t="s">
        <v>1943</v>
      </c>
      <c r="AC665" s="134"/>
      <c r="AD665" s="134">
        <v>44585</v>
      </c>
      <c r="AE665" s="134"/>
      <c r="AF665" s="134">
        <f t="shared" ca="1" si="55"/>
        <v>44963</v>
      </c>
      <c r="AG665" s="126">
        <f t="shared" ca="1" si="56"/>
        <v>378</v>
      </c>
      <c r="AH665" s="126" t="str">
        <f t="shared" si="57"/>
        <v/>
      </c>
      <c r="AI665" s="134"/>
      <c r="AJ665" s="143" t="s">
        <v>2289</v>
      </c>
      <c r="AK665" s="129">
        <v>11.79</v>
      </c>
      <c r="AL665" s="129">
        <v>11.8</v>
      </c>
      <c r="AM665" s="129">
        <v>11.824999999999999</v>
      </c>
      <c r="AN665" s="129">
        <v>11.83</v>
      </c>
      <c r="AO665" s="126" t="str">
        <f t="shared" si="58"/>
        <v/>
      </c>
      <c r="AR665" s="99" t="s">
        <v>136</v>
      </c>
    </row>
    <row r="666" spans="1:44" s="99" customFormat="1" ht="21" customHeight="1" x14ac:dyDescent="0.35">
      <c r="A666" s="99">
        <v>425</v>
      </c>
      <c r="B666" s="126" t="str">
        <f t="shared" si="54"/>
        <v>RM-304L/1D-004X770</v>
      </c>
      <c r="C666" s="126" t="s">
        <v>43</v>
      </c>
      <c r="D666" s="126" t="s">
        <v>43</v>
      </c>
      <c r="E666" s="143" t="s">
        <v>2292</v>
      </c>
      <c r="F666" s="143" t="s">
        <v>2293</v>
      </c>
      <c r="G666" s="126" t="s">
        <v>230</v>
      </c>
      <c r="H666" s="126" t="s">
        <v>139</v>
      </c>
      <c r="I666" s="127">
        <v>3.7</v>
      </c>
      <c r="J666" s="127"/>
      <c r="K666" s="127"/>
      <c r="L666" s="127"/>
      <c r="M666" s="144">
        <v>770</v>
      </c>
      <c r="N666" s="129">
        <v>10.395</v>
      </c>
      <c r="O666" s="129"/>
      <c r="P666" s="129"/>
      <c r="Q666" s="130"/>
      <c r="R666" s="131"/>
      <c r="S666" s="131"/>
      <c r="T666" s="132"/>
      <c r="U666" s="132"/>
      <c r="V666" s="132"/>
      <c r="W666" s="132"/>
      <c r="X666" s="132"/>
      <c r="Y666" s="133" t="s">
        <v>1942</v>
      </c>
      <c r="Z666" s="126" t="s">
        <v>64</v>
      </c>
      <c r="AA666" s="134" t="s">
        <v>154</v>
      </c>
      <c r="AB666" s="134" t="s">
        <v>1943</v>
      </c>
      <c r="AC666" s="134"/>
      <c r="AD666" s="134">
        <v>44585</v>
      </c>
      <c r="AE666" s="134"/>
      <c r="AF666" s="134">
        <f t="shared" ca="1" si="55"/>
        <v>44963</v>
      </c>
      <c r="AG666" s="126">
        <f t="shared" ca="1" si="56"/>
        <v>378</v>
      </c>
      <c r="AH666" s="126" t="str">
        <f t="shared" si="57"/>
        <v/>
      </c>
      <c r="AI666" s="134"/>
      <c r="AJ666" s="143" t="s">
        <v>2294</v>
      </c>
      <c r="AK666" s="129">
        <v>10.395</v>
      </c>
      <c r="AL666" s="129">
        <v>10.404999999999999</v>
      </c>
      <c r="AM666" s="129">
        <v>10.429999999999998</v>
      </c>
      <c r="AN666" s="129">
        <v>10.434999999999999</v>
      </c>
      <c r="AO666" s="126" t="str">
        <f t="shared" si="58"/>
        <v/>
      </c>
      <c r="AR666" s="99" t="s">
        <v>136</v>
      </c>
    </row>
    <row r="667" spans="1:44" s="99" customFormat="1" ht="21" customHeight="1" x14ac:dyDescent="0.35">
      <c r="A667" s="99">
        <v>425</v>
      </c>
      <c r="B667" s="126" t="str">
        <f t="shared" si="54"/>
        <v>RM-304L/1D-004X771</v>
      </c>
      <c r="C667" s="126" t="s">
        <v>43</v>
      </c>
      <c r="D667" s="126" t="s">
        <v>43</v>
      </c>
      <c r="E667" s="143" t="s">
        <v>2295</v>
      </c>
      <c r="F667" s="143" t="s">
        <v>2296</v>
      </c>
      <c r="G667" s="126" t="s">
        <v>230</v>
      </c>
      <c r="H667" s="126" t="s">
        <v>139</v>
      </c>
      <c r="I667" s="127">
        <v>3.7</v>
      </c>
      <c r="J667" s="127"/>
      <c r="K667" s="127"/>
      <c r="L667" s="127"/>
      <c r="M667" s="144">
        <v>771</v>
      </c>
      <c r="N667" s="129">
        <v>10.395</v>
      </c>
      <c r="O667" s="129"/>
      <c r="P667" s="129"/>
      <c r="Q667" s="130"/>
      <c r="R667" s="131"/>
      <c r="S667" s="131"/>
      <c r="T667" s="132"/>
      <c r="U667" s="132"/>
      <c r="V667" s="132"/>
      <c r="W667" s="132"/>
      <c r="X667" s="132"/>
      <c r="Y667" s="133" t="s">
        <v>1942</v>
      </c>
      <c r="Z667" s="126" t="s">
        <v>64</v>
      </c>
      <c r="AA667" s="134" t="s">
        <v>154</v>
      </c>
      <c r="AB667" s="134" t="s">
        <v>1943</v>
      </c>
      <c r="AC667" s="134"/>
      <c r="AD667" s="134">
        <v>44585</v>
      </c>
      <c r="AE667" s="134"/>
      <c r="AF667" s="134">
        <f t="shared" ca="1" si="55"/>
        <v>44963</v>
      </c>
      <c r="AG667" s="126">
        <f t="shared" ca="1" si="56"/>
        <v>378</v>
      </c>
      <c r="AH667" s="126" t="str">
        <f t="shared" si="57"/>
        <v/>
      </c>
      <c r="AI667" s="134"/>
      <c r="AJ667" s="143" t="s">
        <v>2294</v>
      </c>
      <c r="AK667" s="129">
        <v>10.395</v>
      </c>
      <c r="AL667" s="129">
        <v>10.404999999999999</v>
      </c>
      <c r="AM667" s="129">
        <v>10.429999999999998</v>
      </c>
      <c r="AN667" s="129">
        <v>10.434999999999999</v>
      </c>
      <c r="AO667" s="126" t="str">
        <f t="shared" si="58"/>
        <v/>
      </c>
      <c r="AR667" s="99" t="s">
        <v>136</v>
      </c>
    </row>
    <row r="668" spans="1:44" s="99" customFormat="1" ht="21" customHeight="1" x14ac:dyDescent="0.35">
      <c r="A668" s="99">
        <v>425</v>
      </c>
      <c r="B668" s="126" t="str">
        <f t="shared" si="54"/>
        <v>RM-304L/1D-003X770</v>
      </c>
      <c r="C668" s="126" t="s">
        <v>43</v>
      </c>
      <c r="D668" s="126" t="s">
        <v>43</v>
      </c>
      <c r="E668" s="143" t="s">
        <v>2297</v>
      </c>
      <c r="F668" s="143" t="s">
        <v>2298</v>
      </c>
      <c r="G668" s="126" t="s">
        <v>230</v>
      </c>
      <c r="H668" s="126" t="s">
        <v>139</v>
      </c>
      <c r="I668" s="127">
        <v>2.82</v>
      </c>
      <c r="J668" s="127"/>
      <c r="K668" s="127"/>
      <c r="L668" s="127"/>
      <c r="M668" s="144">
        <v>770</v>
      </c>
      <c r="N668" s="129">
        <v>10.32</v>
      </c>
      <c r="O668" s="129"/>
      <c r="P668" s="129"/>
      <c r="Q668" s="130"/>
      <c r="R668" s="131"/>
      <c r="S668" s="131"/>
      <c r="T668" s="132"/>
      <c r="U668" s="132"/>
      <c r="V668" s="132"/>
      <c r="W668" s="132"/>
      <c r="X668" s="132"/>
      <c r="Y668" s="133" t="s">
        <v>1942</v>
      </c>
      <c r="Z668" s="126" t="s">
        <v>64</v>
      </c>
      <c r="AA668" s="134" t="s">
        <v>154</v>
      </c>
      <c r="AB668" s="134" t="s">
        <v>1943</v>
      </c>
      <c r="AC668" s="134"/>
      <c r="AD668" s="134">
        <v>44585</v>
      </c>
      <c r="AE668" s="134"/>
      <c r="AF668" s="134">
        <f t="shared" ca="1" si="55"/>
        <v>44963</v>
      </c>
      <c r="AG668" s="126">
        <f t="shared" ca="1" si="56"/>
        <v>378</v>
      </c>
      <c r="AH668" s="126" t="str">
        <f t="shared" si="57"/>
        <v/>
      </c>
      <c r="AI668" s="134"/>
      <c r="AJ668" s="143" t="s">
        <v>2299</v>
      </c>
      <c r="AK668" s="129">
        <v>10.32</v>
      </c>
      <c r="AL668" s="129">
        <v>10.33</v>
      </c>
      <c r="AM668" s="129">
        <v>10.354999999999999</v>
      </c>
      <c r="AN668" s="129">
        <v>10.36</v>
      </c>
      <c r="AO668" s="126" t="str">
        <f t="shared" si="58"/>
        <v/>
      </c>
      <c r="AR668" s="99" t="s">
        <v>136</v>
      </c>
    </row>
    <row r="669" spans="1:44" s="99" customFormat="1" ht="21" customHeight="1" x14ac:dyDescent="0.35">
      <c r="A669" s="99">
        <v>425</v>
      </c>
      <c r="B669" s="126" t="str">
        <f t="shared" si="54"/>
        <v>RM-304L/1D-003X771</v>
      </c>
      <c r="C669" s="126" t="s">
        <v>43</v>
      </c>
      <c r="D669" s="126" t="s">
        <v>43</v>
      </c>
      <c r="E669" s="143" t="s">
        <v>2300</v>
      </c>
      <c r="F669" s="143" t="s">
        <v>2301</v>
      </c>
      <c r="G669" s="126" t="s">
        <v>230</v>
      </c>
      <c r="H669" s="126" t="s">
        <v>139</v>
      </c>
      <c r="I669" s="127">
        <v>2.83</v>
      </c>
      <c r="J669" s="127"/>
      <c r="K669" s="127"/>
      <c r="L669" s="127"/>
      <c r="M669" s="144">
        <v>771</v>
      </c>
      <c r="N669" s="129">
        <v>10.345000000000001</v>
      </c>
      <c r="O669" s="129"/>
      <c r="P669" s="129"/>
      <c r="Q669" s="130"/>
      <c r="R669" s="131"/>
      <c r="S669" s="131"/>
      <c r="T669" s="132"/>
      <c r="U669" s="132"/>
      <c r="V669" s="132"/>
      <c r="W669" s="132"/>
      <c r="X669" s="132"/>
      <c r="Y669" s="133" t="s">
        <v>1942</v>
      </c>
      <c r="Z669" s="126" t="s">
        <v>64</v>
      </c>
      <c r="AA669" s="134" t="s">
        <v>154</v>
      </c>
      <c r="AB669" s="134" t="s">
        <v>1943</v>
      </c>
      <c r="AC669" s="134"/>
      <c r="AD669" s="134">
        <v>44585</v>
      </c>
      <c r="AE669" s="134"/>
      <c r="AF669" s="134">
        <f t="shared" ca="1" si="55"/>
        <v>44963</v>
      </c>
      <c r="AG669" s="126">
        <f t="shared" ca="1" si="56"/>
        <v>378</v>
      </c>
      <c r="AH669" s="126" t="str">
        <f t="shared" si="57"/>
        <v/>
      </c>
      <c r="AI669" s="134"/>
      <c r="AJ669" s="143" t="s">
        <v>2299</v>
      </c>
      <c r="AK669" s="129">
        <v>10.345000000000001</v>
      </c>
      <c r="AL669" s="129">
        <v>10.355</v>
      </c>
      <c r="AM669" s="129">
        <v>10.379999999999999</v>
      </c>
      <c r="AN669" s="129">
        <v>10.385</v>
      </c>
      <c r="AO669" s="126" t="str">
        <f t="shared" si="58"/>
        <v/>
      </c>
      <c r="AR669" s="99" t="s">
        <v>136</v>
      </c>
    </row>
    <row r="670" spans="1:44" s="99" customFormat="1" ht="21" customHeight="1" x14ac:dyDescent="0.35">
      <c r="A670" s="99">
        <v>425</v>
      </c>
      <c r="B670" s="126" t="str">
        <f t="shared" si="54"/>
        <v>RM-304L/1D-004X770</v>
      </c>
      <c r="C670" s="126" t="s">
        <v>43</v>
      </c>
      <c r="D670" s="126" t="s">
        <v>43</v>
      </c>
      <c r="E670" s="143" t="s">
        <v>2302</v>
      </c>
      <c r="F670" s="143" t="s">
        <v>2303</v>
      </c>
      <c r="G670" s="126" t="s">
        <v>230</v>
      </c>
      <c r="H670" s="126" t="s">
        <v>139</v>
      </c>
      <c r="I670" s="127">
        <v>3.89</v>
      </c>
      <c r="J670" s="127"/>
      <c r="K670" s="127"/>
      <c r="L670" s="127"/>
      <c r="M670" s="144">
        <v>770</v>
      </c>
      <c r="N670" s="129">
        <v>11.914999999999999</v>
      </c>
      <c r="O670" s="129"/>
      <c r="P670" s="129"/>
      <c r="Q670" s="130"/>
      <c r="R670" s="131"/>
      <c r="S670" s="131"/>
      <c r="T670" s="132"/>
      <c r="U670" s="132"/>
      <c r="V670" s="132"/>
      <c r="W670" s="132"/>
      <c r="X670" s="132"/>
      <c r="Y670" s="133" t="s">
        <v>1942</v>
      </c>
      <c r="Z670" s="126" t="s">
        <v>64</v>
      </c>
      <c r="AA670" s="134" t="s">
        <v>154</v>
      </c>
      <c r="AB670" s="134" t="s">
        <v>1943</v>
      </c>
      <c r="AC670" s="134"/>
      <c r="AD670" s="134">
        <v>44585</v>
      </c>
      <c r="AE670" s="134"/>
      <c r="AF670" s="134">
        <f t="shared" ca="1" si="55"/>
        <v>44963</v>
      </c>
      <c r="AG670" s="126">
        <f t="shared" ca="1" si="56"/>
        <v>378</v>
      </c>
      <c r="AH670" s="126" t="str">
        <f t="shared" si="57"/>
        <v/>
      </c>
      <c r="AI670" s="134"/>
      <c r="AJ670" s="143" t="s">
        <v>2304</v>
      </c>
      <c r="AK670" s="129">
        <v>11.914999999999999</v>
      </c>
      <c r="AL670" s="129">
        <v>11.925000000000001</v>
      </c>
      <c r="AM670" s="129">
        <v>11.95</v>
      </c>
      <c r="AN670" s="129">
        <v>11.955</v>
      </c>
      <c r="AO670" s="126" t="str">
        <f t="shared" si="58"/>
        <v/>
      </c>
      <c r="AR670" s="99" t="s">
        <v>136</v>
      </c>
    </row>
    <row r="671" spans="1:44" s="99" customFormat="1" ht="21" customHeight="1" x14ac:dyDescent="0.35">
      <c r="A671" s="99">
        <v>425</v>
      </c>
      <c r="B671" s="126" t="str">
        <f t="shared" si="54"/>
        <v>RM-304L/1D-004X770</v>
      </c>
      <c r="C671" s="126" t="s">
        <v>43</v>
      </c>
      <c r="D671" s="126" t="s">
        <v>43</v>
      </c>
      <c r="E671" s="143" t="s">
        <v>2305</v>
      </c>
      <c r="F671" s="143" t="s">
        <v>2306</v>
      </c>
      <c r="G671" s="126" t="s">
        <v>230</v>
      </c>
      <c r="H671" s="126" t="s">
        <v>139</v>
      </c>
      <c r="I671" s="127">
        <v>3.89</v>
      </c>
      <c r="J671" s="127"/>
      <c r="K671" s="127"/>
      <c r="L671" s="127"/>
      <c r="M671" s="144">
        <v>770</v>
      </c>
      <c r="N671" s="129">
        <v>11.875</v>
      </c>
      <c r="O671" s="129"/>
      <c r="P671" s="129"/>
      <c r="Q671" s="130"/>
      <c r="R671" s="131"/>
      <c r="S671" s="131"/>
      <c r="T671" s="132"/>
      <c r="U671" s="132"/>
      <c r="V671" s="132"/>
      <c r="W671" s="132"/>
      <c r="X671" s="132"/>
      <c r="Y671" s="133" t="s">
        <v>1942</v>
      </c>
      <c r="Z671" s="126" t="s">
        <v>64</v>
      </c>
      <c r="AA671" s="134" t="s">
        <v>154</v>
      </c>
      <c r="AB671" s="134" t="s">
        <v>1943</v>
      </c>
      <c r="AC671" s="134"/>
      <c r="AD671" s="134">
        <v>44585</v>
      </c>
      <c r="AE671" s="134"/>
      <c r="AF671" s="134">
        <f t="shared" ca="1" si="55"/>
        <v>44963</v>
      </c>
      <c r="AG671" s="126">
        <f t="shared" ca="1" si="56"/>
        <v>378</v>
      </c>
      <c r="AH671" s="126" t="str">
        <f t="shared" si="57"/>
        <v/>
      </c>
      <c r="AI671" s="134"/>
      <c r="AJ671" s="143" t="s">
        <v>2304</v>
      </c>
      <c r="AK671" s="129">
        <v>11.875</v>
      </c>
      <c r="AL671" s="129">
        <v>11.885</v>
      </c>
      <c r="AM671" s="129">
        <v>11.909999999999998</v>
      </c>
      <c r="AN671" s="129">
        <v>11.914999999999999</v>
      </c>
      <c r="AO671" s="126" t="str">
        <f t="shared" si="58"/>
        <v/>
      </c>
      <c r="AR671" s="99" t="s">
        <v>136</v>
      </c>
    </row>
    <row r="672" spans="1:44" s="99" customFormat="1" ht="21" customHeight="1" x14ac:dyDescent="0.35">
      <c r="A672" s="99">
        <v>425</v>
      </c>
      <c r="B672" s="126" t="str">
        <f t="shared" si="54"/>
        <v>RM-304/1D-003X770</v>
      </c>
      <c r="C672" s="126" t="s">
        <v>43</v>
      </c>
      <c r="D672" s="126" t="s">
        <v>43</v>
      </c>
      <c r="E672" s="143" t="s">
        <v>2307</v>
      </c>
      <c r="F672" s="143" t="s">
        <v>2308</v>
      </c>
      <c r="G672" s="126">
        <v>304</v>
      </c>
      <c r="H672" s="126" t="s">
        <v>139</v>
      </c>
      <c r="I672" s="127">
        <v>2.96</v>
      </c>
      <c r="J672" s="127"/>
      <c r="K672" s="127"/>
      <c r="L672" s="127"/>
      <c r="M672" s="144">
        <v>770</v>
      </c>
      <c r="N672" s="129">
        <v>11.81</v>
      </c>
      <c r="O672" s="129"/>
      <c r="P672" s="129"/>
      <c r="Q672" s="130"/>
      <c r="R672" s="131"/>
      <c r="S672" s="131"/>
      <c r="T672" s="132"/>
      <c r="U672" s="132"/>
      <c r="V672" s="132"/>
      <c r="W672" s="132"/>
      <c r="X672" s="132"/>
      <c r="Y672" s="133" t="s">
        <v>1942</v>
      </c>
      <c r="Z672" s="126" t="s">
        <v>64</v>
      </c>
      <c r="AA672" s="134" t="s">
        <v>154</v>
      </c>
      <c r="AB672" s="134" t="s">
        <v>1943</v>
      </c>
      <c r="AC672" s="134"/>
      <c r="AD672" s="134">
        <v>44585</v>
      </c>
      <c r="AE672" s="134"/>
      <c r="AF672" s="134">
        <f t="shared" ca="1" si="55"/>
        <v>44963</v>
      </c>
      <c r="AG672" s="126">
        <f t="shared" ca="1" si="56"/>
        <v>378</v>
      </c>
      <c r="AH672" s="126" t="str">
        <f t="shared" si="57"/>
        <v/>
      </c>
      <c r="AI672" s="134"/>
      <c r="AJ672" s="143" t="s">
        <v>2309</v>
      </c>
      <c r="AK672" s="129">
        <v>11.81</v>
      </c>
      <c r="AL672" s="129">
        <v>11.82</v>
      </c>
      <c r="AM672" s="129">
        <v>11.844999999999999</v>
      </c>
      <c r="AN672" s="129">
        <v>11.85</v>
      </c>
      <c r="AO672" s="126" t="str">
        <f t="shared" si="58"/>
        <v/>
      </c>
      <c r="AR672" s="99" t="s">
        <v>136</v>
      </c>
    </row>
    <row r="673" spans="1:44" s="99" customFormat="1" ht="21" customHeight="1" x14ac:dyDescent="0.35">
      <c r="A673" s="99">
        <v>425</v>
      </c>
      <c r="B673" s="126" t="str">
        <f t="shared" si="54"/>
        <v>RM-304/1D-003X771</v>
      </c>
      <c r="C673" s="126" t="s">
        <v>43</v>
      </c>
      <c r="D673" s="126" t="s">
        <v>43</v>
      </c>
      <c r="E673" s="143" t="s">
        <v>2310</v>
      </c>
      <c r="F673" s="143" t="s">
        <v>2311</v>
      </c>
      <c r="G673" s="126">
        <v>304</v>
      </c>
      <c r="H673" s="126" t="s">
        <v>139</v>
      </c>
      <c r="I673" s="127">
        <v>2.95</v>
      </c>
      <c r="J673" s="127"/>
      <c r="K673" s="127"/>
      <c r="L673" s="127"/>
      <c r="M673" s="144">
        <v>771</v>
      </c>
      <c r="N673" s="129">
        <v>11.824999999999999</v>
      </c>
      <c r="O673" s="129"/>
      <c r="P673" s="129"/>
      <c r="Q673" s="130"/>
      <c r="R673" s="131"/>
      <c r="S673" s="131"/>
      <c r="T673" s="132"/>
      <c r="U673" s="132"/>
      <c r="V673" s="132"/>
      <c r="W673" s="132"/>
      <c r="X673" s="132"/>
      <c r="Y673" s="133" t="s">
        <v>1942</v>
      </c>
      <c r="Z673" s="126" t="s">
        <v>64</v>
      </c>
      <c r="AA673" s="134" t="s">
        <v>154</v>
      </c>
      <c r="AB673" s="134" t="s">
        <v>1943</v>
      </c>
      <c r="AC673" s="134"/>
      <c r="AD673" s="134">
        <v>44585</v>
      </c>
      <c r="AE673" s="134"/>
      <c r="AF673" s="134">
        <f t="shared" ca="1" si="55"/>
        <v>44963</v>
      </c>
      <c r="AG673" s="126">
        <f t="shared" ca="1" si="56"/>
        <v>378</v>
      </c>
      <c r="AH673" s="126" t="str">
        <f t="shared" si="57"/>
        <v/>
      </c>
      <c r="AI673" s="134"/>
      <c r="AJ673" s="143" t="s">
        <v>2309</v>
      </c>
      <c r="AK673" s="129">
        <v>11.824999999999999</v>
      </c>
      <c r="AL673" s="129">
        <v>11.835000000000001</v>
      </c>
      <c r="AM673" s="129">
        <v>11.86</v>
      </c>
      <c r="AN673" s="129">
        <v>11.865</v>
      </c>
      <c r="AO673" s="126" t="str">
        <f t="shared" si="58"/>
        <v/>
      </c>
      <c r="AR673" s="99" t="s">
        <v>136</v>
      </c>
    </row>
    <row r="674" spans="1:44" s="99" customFormat="1" ht="21" customHeight="1" x14ac:dyDescent="0.35">
      <c r="A674" s="99">
        <v>425</v>
      </c>
      <c r="B674" s="126" t="str">
        <f t="shared" si="54"/>
        <v>RM-304L/1D-004X770</v>
      </c>
      <c r="C674" s="126" t="s">
        <v>43</v>
      </c>
      <c r="D674" s="126" t="s">
        <v>43</v>
      </c>
      <c r="E674" s="143" t="s">
        <v>2312</v>
      </c>
      <c r="F674" s="143" t="s">
        <v>2313</v>
      </c>
      <c r="G674" s="126" t="s">
        <v>230</v>
      </c>
      <c r="H674" s="126" t="s">
        <v>139</v>
      </c>
      <c r="I674" s="127">
        <v>3.9</v>
      </c>
      <c r="J674" s="127"/>
      <c r="K674" s="127"/>
      <c r="L674" s="127"/>
      <c r="M674" s="144">
        <v>770</v>
      </c>
      <c r="N674" s="129">
        <v>11.88</v>
      </c>
      <c r="O674" s="129"/>
      <c r="P674" s="129"/>
      <c r="Q674" s="130"/>
      <c r="R674" s="131"/>
      <c r="S674" s="131"/>
      <c r="T674" s="132"/>
      <c r="U674" s="132"/>
      <c r="V674" s="132"/>
      <c r="W674" s="132"/>
      <c r="X674" s="132"/>
      <c r="Y674" s="133" t="s">
        <v>1942</v>
      </c>
      <c r="Z674" s="126" t="s">
        <v>64</v>
      </c>
      <c r="AA674" s="134" t="s">
        <v>154</v>
      </c>
      <c r="AB674" s="134" t="s">
        <v>1943</v>
      </c>
      <c r="AC674" s="134"/>
      <c r="AD674" s="134">
        <v>44585</v>
      </c>
      <c r="AE674" s="134"/>
      <c r="AF674" s="134">
        <f t="shared" ca="1" si="55"/>
        <v>44963</v>
      </c>
      <c r="AG674" s="126">
        <f t="shared" ca="1" si="56"/>
        <v>378</v>
      </c>
      <c r="AH674" s="126" t="str">
        <f t="shared" si="57"/>
        <v/>
      </c>
      <c r="AI674" s="134"/>
      <c r="AJ674" s="143" t="s">
        <v>2314</v>
      </c>
      <c r="AK674" s="129">
        <v>11.88</v>
      </c>
      <c r="AL674" s="129">
        <v>11.89</v>
      </c>
      <c r="AM674" s="129">
        <v>11.914999999999999</v>
      </c>
      <c r="AN674" s="129">
        <v>11.92</v>
      </c>
      <c r="AO674" s="126" t="str">
        <f t="shared" si="58"/>
        <v/>
      </c>
      <c r="AR674" s="99" t="s">
        <v>136</v>
      </c>
    </row>
    <row r="675" spans="1:44" s="99" customFormat="1" ht="21" customHeight="1" x14ac:dyDescent="0.35">
      <c r="A675" s="99">
        <v>425</v>
      </c>
      <c r="B675" s="126" t="str">
        <f t="shared" si="54"/>
        <v>RM-304L/1D-004X772</v>
      </c>
      <c r="C675" s="126" t="s">
        <v>43</v>
      </c>
      <c r="D675" s="126" t="s">
        <v>43</v>
      </c>
      <c r="E675" s="143" t="s">
        <v>2315</v>
      </c>
      <c r="F675" s="143" t="s">
        <v>2316</v>
      </c>
      <c r="G675" s="126" t="s">
        <v>230</v>
      </c>
      <c r="H675" s="126" t="s">
        <v>139</v>
      </c>
      <c r="I675" s="127">
        <v>3.9</v>
      </c>
      <c r="J675" s="127"/>
      <c r="K675" s="127"/>
      <c r="L675" s="127"/>
      <c r="M675" s="144">
        <v>772</v>
      </c>
      <c r="N675" s="129">
        <v>11.925000000000001</v>
      </c>
      <c r="O675" s="129"/>
      <c r="P675" s="129"/>
      <c r="Q675" s="130"/>
      <c r="R675" s="131"/>
      <c r="S675" s="131"/>
      <c r="T675" s="132"/>
      <c r="U675" s="132"/>
      <c r="V675" s="132"/>
      <c r="W675" s="132"/>
      <c r="X675" s="132"/>
      <c r="Y675" s="133" t="s">
        <v>1942</v>
      </c>
      <c r="Z675" s="126" t="s">
        <v>64</v>
      </c>
      <c r="AA675" s="134" t="s">
        <v>154</v>
      </c>
      <c r="AB675" s="134" t="s">
        <v>1943</v>
      </c>
      <c r="AC675" s="134"/>
      <c r="AD675" s="134">
        <v>44585</v>
      </c>
      <c r="AE675" s="134"/>
      <c r="AF675" s="134">
        <f t="shared" ca="1" si="55"/>
        <v>44963</v>
      </c>
      <c r="AG675" s="126">
        <f t="shared" ca="1" si="56"/>
        <v>378</v>
      </c>
      <c r="AH675" s="126" t="str">
        <f t="shared" si="57"/>
        <v/>
      </c>
      <c r="AI675" s="134"/>
      <c r="AJ675" s="143" t="s">
        <v>2314</v>
      </c>
      <c r="AK675" s="129">
        <v>11.925000000000001</v>
      </c>
      <c r="AL675" s="129">
        <v>11.935</v>
      </c>
      <c r="AM675" s="129">
        <v>11.959999999999999</v>
      </c>
      <c r="AN675" s="129">
        <v>11.965</v>
      </c>
      <c r="AO675" s="126" t="str">
        <f t="shared" si="58"/>
        <v/>
      </c>
      <c r="AR675" s="99" t="s">
        <v>136</v>
      </c>
    </row>
    <row r="676" spans="1:44" s="99" customFormat="1" ht="21" customHeight="1" x14ac:dyDescent="0.35">
      <c r="A676" s="99">
        <v>425</v>
      </c>
      <c r="B676" s="126" t="str">
        <f t="shared" si="54"/>
        <v>RM-304L/1D-003X770</v>
      </c>
      <c r="C676" s="126" t="s">
        <v>43</v>
      </c>
      <c r="D676" s="126" t="s">
        <v>43</v>
      </c>
      <c r="E676" s="143" t="s">
        <v>2317</v>
      </c>
      <c r="F676" s="143" t="s">
        <v>2318</v>
      </c>
      <c r="G676" s="126" t="s">
        <v>230</v>
      </c>
      <c r="H676" s="126" t="s">
        <v>139</v>
      </c>
      <c r="I676" s="127">
        <v>3.49</v>
      </c>
      <c r="J676" s="127"/>
      <c r="K676" s="127"/>
      <c r="L676" s="127"/>
      <c r="M676" s="144">
        <v>770</v>
      </c>
      <c r="N676" s="129">
        <v>10.414999999999999</v>
      </c>
      <c r="O676" s="129"/>
      <c r="P676" s="129"/>
      <c r="Q676" s="130"/>
      <c r="R676" s="131"/>
      <c r="S676" s="131"/>
      <c r="T676" s="132"/>
      <c r="U676" s="132"/>
      <c r="V676" s="132"/>
      <c r="W676" s="132"/>
      <c r="X676" s="132"/>
      <c r="Y676" s="133" t="s">
        <v>1942</v>
      </c>
      <c r="Z676" s="126" t="s">
        <v>64</v>
      </c>
      <c r="AA676" s="134" t="s">
        <v>154</v>
      </c>
      <c r="AB676" s="134" t="s">
        <v>1943</v>
      </c>
      <c r="AC676" s="134"/>
      <c r="AD676" s="134">
        <v>44585</v>
      </c>
      <c r="AE676" s="134"/>
      <c r="AF676" s="134">
        <f t="shared" ca="1" si="55"/>
        <v>44963</v>
      </c>
      <c r="AG676" s="126">
        <f t="shared" ca="1" si="56"/>
        <v>378</v>
      </c>
      <c r="AH676" s="126" t="str">
        <f t="shared" si="57"/>
        <v/>
      </c>
      <c r="AI676" s="134"/>
      <c r="AJ676" s="143" t="s">
        <v>2319</v>
      </c>
      <c r="AK676" s="129">
        <v>10.414999999999999</v>
      </c>
      <c r="AL676" s="129">
        <v>10.425000000000001</v>
      </c>
      <c r="AM676" s="129">
        <v>10.45</v>
      </c>
      <c r="AN676" s="129">
        <v>10.455</v>
      </c>
      <c r="AO676" s="126" t="str">
        <f t="shared" si="58"/>
        <v/>
      </c>
      <c r="AR676" s="99" t="s">
        <v>136</v>
      </c>
    </row>
    <row r="677" spans="1:44" s="99" customFormat="1" ht="21" customHeight="1" x14ac:dyDescent="0.35">
      <c r="A677" s="99">
        <v>425</v>
      </c>
      <c r="B677" s="126" t="str">
        <f t="shared" si="54"/>
        <v>RM-304L/1D-003X772</v>
      </c>
      <c r="C677" s="126" t="s">
        <v>43</v>
      </c>
      <c r="D677" s="126" t="s">
        <v>43</v>
      </c>
      <c r="E677" s="143" t="s">
        <v>2320</v>
      </c>
      <c r="F677" s="143" t="s">
        <v>2321</v>
      </c>
      <c r="G677" s="126" t="s">
        <v>230</v>
      </c>
      <c r="H677" s="126" t="s">
        <v>139</v>
      </c>
      <c r="I677" s="127">
        <v>3.49</v>
      </c>
      <c r="J677" s="127"/>
      <c r="K677" s="127"/>
      <c r="L677" s="127"/>
      <c r="M677" s="144">
        <v>772</v>
      </c>
      <c r="N677" s="129">
        <v>10.425000000000001</v>
      </c>
      <c r="O677" s="129"/>
      <c r="P677" s="129"/>
      <c r="Q677" s="130"/>
      <c r="R677" s="131"/>
      <c r="S677" s="131"/>
      <c r="T677" s="132"/>
      <c r="U677" s="132"/>
      <c r="V677" s="132"/>
      <c r="W677" s="132"/>
      <c r="X677" s="132"/>
      <c r="Y677" s="133" t="s">
        <v>1942</v>
      </c>
      <c r="Z677" s="126" t="s">
        <v>64</v>
      </c>
      <c r="AA677" s="134" t="s">
        <v>154</v>
      </c>
      <c r="AB677" s="134" t="s">
        <v>1943</v>
      </c>
      <c r="AC677" s="134"/>
      <c r="AD677" s="134">
        <v>44585</v>
      </c>
      <c r="AE677" s="134"/>
      <c r="AF677" s="134">
        <f t="shared" ca="1" si="55"/>
        <v>44963</v>
      </c>
      <c r="AG677" s="126">
        <f t="shared" ca="1" si="56"/>
        <v>378</v>
      </c>
      <c r="AH677" s="126" t="str">
        <f t="shared" si="57"/>
        <v/>
      </c>
      <c r="AI677" s="134"/>
      <c r="AJ677" s="143" t="s">
        <v>2319</v>
      </c>
      <c r="AK677" s="129">
        <v>10.425000000000001</v>
      </c>
      <c r="AL677" s="129">
        <v>10.435</v>
      </c>
      <c r="AM677" s="129">
        <v>10.459999999999999</v>
      </c>
      <c r="AN677" s="129">
        <v>10.465</v>
      </c>
      <c r="AO677" s="126" t="str">
        <f t="shared" si="58"/>
        <v/>
      </c>
      <c r="AR677" s="99" t="s">
        <v>136</v>
      </c>
    </row>
    <row r="678" spans="1:44" s="99" customFormat="1" ht="21" customHeight="1" x14ac:dyDescent="0.35">
      <c r="A678" s="99">
        <v>425</v>
      </c>
      <c r="B678" s="126" t="str">
        <f t="shared" si="54"/>
        <v>RM-304L/1D-004X770</v>
      </c>
      <c r="C678" s="126" t="s">
        <v>43</v>
      </c>
      <c r="D678" s="126" t="s">
        <v>43</v>
      </c>
      <c r="E678" s="143" t="s">
        <v>2322</v>
      </c>
      <c r="F678" s="143" t="s">
        <v>2323</v>
      </c>
      <c r="G678" s="126" t="s">
        <v>230</v>
      </c>
      <c r="H678" s="126" t="s">
        <v>139</v>
      </c>
      <c r="I678" s="127">
        <v>3.89</v>
      </c>
      <c r="J678" s="127"/>
      <c r="K678" s="127"/>
      <c r="L678" s="127"/>
      <c r="M678" s="144">
        <v>770</v>
      </c>
      <c r="N678" s="129">
        <v>11.94</v>
      </c>
      <c r="O678" s="129"/>
      <c r="P678" s="129"/>
      <c r="Q678" s="130"/>
      <c r="R678" s="131"/>
      <c r="S678" s="131"/>
      <c r="T678" s="132"/>
      <c r="U678" s="132"/>
      <c r="V678" s="132"/>
      <c r="W678" s="132"/>
      <c r="X678" s="132"/>
      <c r="Y678" s="133" t="s">
        <v>1942</v>
      </c>
      <c r="Z678" s="126" t="s">
        <v>64</v>
      </c>
      <c r="AA678" s="134" t="s">
        <v>154</v>
      </c>
      <c r="AB678" s="134" t="s">
        <v>1943</v>
      </c>
      <c r="AC678" s="134"/>
      <c r="AD678" s="134">
        <v>44585</v>
      </c>
      <c r="AE678" s="134"/>
      <c r="AF678" s="134">
        <f t="shared" ca="1" si="55"/>
        <v>44963</v>
      </c>
      <c r="AG678" s="126">
        <f t="shared" ca="1" si="56"/>
        <v>378</v>
      </c>
      <c r="AH678" s="126" t="str">
        <f t="shared" si="57"/>
        <v/>
      </c>
      <c r="AI678" s="134"/>
      <c r="AJ678" s="143" t="s">
        <v>2324</v>
      </c>
      <c r="AK678" s="129">
        <v>11.94</v>
      </c>
      <c r="AL678" s="129">
        <v>11.95</v>
      </c>
      <c r="AM678" s="129">
        <v>11.974999999999998</v>
      </c>
      <c r="AN678" s="129">
        <v>11.979999999999999</v>
      </c>
      <c r="AO678" s="126" t="str">
        <f t="shared" si="58"/>
        <v/>
      </c>
      <c r="AR678" s="99" t="s">
        <v>136</v>
      </c>
    </row>
    <row r="679" spans="1:44" s="99" customFormat="1" ht="21" customHeight="1" x14ac:dyDescent="0.35">
      <c r="A679" s="99">
        <v>425</v>
      </c>
      <c r="B679" s="126" t="str">
        <f t="shared" si="54"/>
        <v>RM-304L/1D-004X773</v>
      </c>
      <c r="C679" s="126" t="s">
        <v>43</v>
      </c>
      <c r="D679" s="126" t="s">
        <v>43</v>
      </c>
      <c r="E679" s="143" t="s">
        <v>2325</v>
      </c>
      <c r="F679" s="143" t="s">
        <v>2326</v>
      </c>
      <c r="G679" s="126" t="s">
        <v>230</v>
      </c>
      <c r="H679" s="126" t="s">
        <v>139</v>
      </c>
      <c r="I679" s="127">
        <v>3.89</v>
      </c>
      <c r="J679" s="127"/>
      <c r="K679" s="127"/>
      <c r="L679" s="127"/>
      <c r="M679" s="144">
        <v>773</v>
      </c>
      <c r="N679" s="129">
        <v>11.994999999999999</v>
      </c>
      <c r="O679" s="129"/>
      <c r="P679" s="129"/>
      <c r="Q679" s="130"/>
      <c r="R679" s="131"/>
      <c r="S679" s="131"/>
      <c r="T679" s="132"/>
      <c r="U679" s="132"/>
      <c r="V679" s="132"/>
      <c r="W679" s="132"/>
      <c r="X679" s="132"/>
      <c r="Y679" s="133" t="s">
        <v>1942</v>
      </c>
      <c r="Z679" s="126" t="s">
        <v>64</v>
      </c>
      <c r="AA679" s="134" t="s">
        <v>154</v>
      </c>
      <c r="AB679" s="134" t="s">
        <v>1943</v>
      </c>
      <c r="AC679" s="134"/>
      <c r="AD679" s="134">
        <v>44585</v>
      </c>
      <c r="AE679" s="134"/>
      <c r="AF679" s="134">
        <f t="shared" ca="1" si="55"/>
        <v>44963</v>
      </c>
      <c r="AG679" s="126">
        <f t="shared" ca="1" si="56"/>
        <v>378</v>
      </c>
      <c r="AH679" s="126" t="str">
        <f t="shared" si="57"/>
        <v/>
      </c>
      <c r="AI679" s="134"/>
      <c r="AJ679" s="143" t="s">
        <v>2324</v>
      </c>
      <c r="AK679" s="129">
        <v>11.994999999999999</v>
      </c>
      <c r="AL679" s="129">
        <v>12.005000000000001</v>
      </c>
      <c r="AM679" s="129">
        <v>12.03</v>
      </c>
      <c r="AN679" s="129">
        <v>12.035</v>
      </c>
      <c r="AO679" s="126" t="str">
        <f t="shared" si="58"/>
        <v/>
      </c>
      <c r="AR679" s="99" t="s">
        <v>136</v>
      </c>
    </row>
    <row r="680" spans="1:44" s="99" customFormat="1" ht="21" customHeight="1" x14ac:dyDescent="0.35">
      <c r="A680" s="99">
        <v>425</v>
      </c>
      <c r="B680" s="126" t="str">
        <f t="shared" si="54"/>
        <v>RM-304L/1D-004X770</v>
      </c>
      <c r="C680" s="126" t="s">
        <v>43</v>
      </c>
      <c r="D680" s="126" t="s">
        <v>43</v>
      </c>
      <c r="E680" s="143" t="s">
        <v>2327</v>
      </c>
      <c r="F680" s="143" t="s">
        <v>2328</v>
      </c>
      <c r="G680" s="126" t="s">
        <v>230</v>
      </c>
      <c r="H680" s="126" t="s">
        <v>139</v>
      </c>
      <c r="I680" s="127">
        <v>3.89</v>
      </c>
      <c r="J680" s="127"/>
      <c r="K680" s="127"/>
      <c r="L680" s="127"/>
      <c r="M680" s="144">
        <v>770</v>
      </c>
      <c r="N680" s="129">
        <v>11.88</v>
      </c>
      <c r="O680" s="129"/>
      <c r="P680" s="129"/>
      <c r="Q680" s="130"/>
      <c r="R680" s="131"/>
      <c r="S680" s="131"/>
      <c r="T680" s="132"/>
      <c r="U680" s="132"/>
      <c r="V680" s="132"/>
      <c r="W680" s="132"/>
      <c r="X680" s="132"/>
      <c r="Y680" s="133" t="s">
        <v>1942</v>
      </c>
      <c r="Z680" s="126" t="s">
        <v>64</v>
      </c>
      <c r="AA680" s="134" t="s">
        <v>154</v>
      </c>
      <c r="AB680" s="134" t="s">
        <v>1943</v>
      </c>
      <c r="AC680" s="134"/>
      <c r="AD680" s="134">
        <v>44585</v>
      </c>
      <c r="AE680" s="134"/>
      <c r="AF680" s="134">
        <f t="shared" ca="1" si="55"/>
        <v>44963</v>
      </c>
      <c r="AG680" s="126">
        <f t="shared" ca="1" si="56"/>
        <v>378</v>
      </c>
      <c r="AH680" s="126" t="str">
        <f t="shared" si="57"/>
        <v/>
      </c>
      <c r="AI680" s="134"/>
      <c r="AJ680" s="143" t="s">
        <v>2329</v>
      </c>
      <c r="AK680" s="129">
        <v>11.88</v>
      </c>
      <c r="AL680" s="129">
        <v>11.89</v>
      </c>
      <c r="AM680" s="129">
        <v>11.914999999999999</v>
      </c>
      <c r="AN680" s="129">
        <v>11.92</v>
      </c>
      <c r="AO680" s="126" t="str">
        <f t="shared" si="58"/>
        <v/>
      </c>
      <c r="AR680" s="99" t="s">
        <v>136</v>
      </c>
    </row>
    <row r="681" spans="1:44" s="99" customFormat="1" ht="21" customHeight="1" x14ac:dyDescent="0.35">
      <c r="A681" s="99">
        <v>425</v>
      </c>
      <c r="B681" s="126" t="str">
        <f t="shared" si="54"/>
        <v>RM-304L/1D-004X771</v>
      </c>
      <c r="C681" s="126" t="s">
        <v>43</v>
      </c>
      <c r="D681" s="126" t="s">
        <v>43</v>
      </c>
      <c r="E681" s="143" t="s">
        <v>2330</v>
      </c>
      <c r="F681" s="143" t="s">
        <v>2331</v>
      </c>
      <c r="G681" s="126" t="s">
        <v>230</v>
      </c>
      <c r="H681" s="126" t="s">
        <v>139</v>
      </c>
      <c r="I681" s="127">
        <v>3.89</v>
      </c>
      <c r="J681" s="127"/>
      <c r="K681" s="127"/>
      <c r="L681" s="127"/>
      <c r="M681" s="144">
        <v>771</v>
      </c>
      <c r="N681" s="129">
        <v>11.914999999999999</v>
      </c>
      <c r="O681" s="129"/>
      <c r="P681" s="129"/>
      <c r="Q681" s="130"/>
      <c r="R681" s="131"/>
      <c r="S681" s="131"/>
      <c r="T681" s="132"/>
      <c r="U681" s="132"/>
      <c r="V681" s="132"/>
      <c r="W681" s="132"/>
      <c r="X681" s="132"/>
      <c r="Y681" s="133" t="s">
        <v>1942</v>
      </c>
      <c r="Z681" s="126" t="s">
        <v>64</v>
      </c>
      <c r="AA681" s="134" t="s">
        <v>154</v>
      </c>
      <c r="AB681" s="134" t="s">
        <v>1943</v>
      </c>
      <c r="AC681" s="134"/>
      <c r="AD681" s="134">
        <v>44585</v>
      </c>
      <c r="AE681" s="134"/>
      <c r="AF681" s="134">
        <f t="shared" ca="1" si="55"/>
        <v>44963</v>
      </c>
      <c r="AG681" s="126">
        <f t="shared" ca="1" si="56"/>
        <v>378</v>
      </c>
      <c r="AH681" s="126" t="str">
        <f t="shared" si="57"/>
        <v/>
      </c>
      <c r="AI681" s="134"/>
      <c r="AJ681" s="143" t="s">
        <v>2329</v>
      </c>
      <c r="AK681" s="129">
        <v>11.914999999999999</v>
      </c>
      <c r="AL681" s="129">
        <v>11.925000000000001</v>
      </c>
      <c r="AM681" s="129">
        <v>11.95</v>
      </c>
      <c r="AN681" s="129">
        <v>11.955</v>
      </c>
      <c r="AO681" s="126" t="str">
        <f t="shared" si="58"/>
        <v/>
      </c>
      <c r="AR681" s="99" t="s">
        <v>136</v>
      </c>
    </row>
    <row r="682" spans="1:44" s="99" customFormat="1" ht="21" customHeight="1" x14ac:dyDescent="0.35">
      <c r="A682" s="99">
        <v>425</v>
      </c>
      <c r="B682" s="126" t="str">
        <f t="shared" si="54"/>
        <v>RM-304L/1D-004X770</v>
      </c>
      <c r="C682" s="126" t="s">
        <v>43</v>
      </c>
      <c r="D682" s="126" t="s">
        <v>43</v>
      </c>
      <c r="E682" s="143" t="s">
        <v>2332</v>
      </c>
      <c r="F682" s="143" t="s">
        <v>2333</v>
      </c>
      <c r="G682" s="126" t="s">
        <v>230</v>
      </c>
      <c r="H682" s="126" t="s">
        <v>139</v>
      </c>
      <c r="I682" s="127">
        <v>3.88</v>
      </c>
      <c r="J682" s="127"/>
      <c r="K682" s="127"/>
      <c r="L682" s="127"/>
      <c r="M682" s="144">
        <v>770</v>
      </c>
      <c r="N682" s="129">
        <v>11.96</v>
      </c>
      <c r="O682" s="129"/>
      <c r="P682" s="129"/>
      <c r="Q682" s="130"/>
      <c r="R682" s="131"/>
      <c r="S682" s="131"/>
      <c r="T682" s="132"/>
      <c r="U682" s="132"/>
      <c r="V682" s="132"/>
      <c r="W682" s="132"/>
      <c r="X682" s="132"/>
      <c r="Y682" s="133" t="s">
        <v>1942</v>
      </c>
      <c r="Z682" s="126" t="s">
        <v>64</v>
      </c>
      <c r="AA682" s="134" t="s">
        <v>154</v>
      </c>
      <c r="AB682" s="134" t="s">
        <v>1943</v>
      </c>
      <c r="AC682" s="134"/>
      <c r="AD682" s="134">
        <v>44585</v>
      </c>
      <c r="AE682" s="134"/>
      <c r="AF682" s="134">
        <f t="shared" ca="1" si="55"/>
        <v>44963</v>
      </c>
      <c r="AG682" s="126">
        <f t="shared" ca="1" si="56"/>
        <v>378</v>
      </c>
      <c r="AH682" s="126" t="str">
        <f t="shared" si="57"/>
        <v/>
      </c>
      <c r="AI682" s="134"/>
      <c r="AJ682" s="143" t="s">
        <v>2334</v>
      </c>
      <c r="AK682" s="129">
        <v>11.96</v>
      </c>
      <c r="AL682" s="129">
        <v>11.97</v>
      </c>
      <c r="AM682" s="129">
        <v>11.994999999999999</v>
      </c>
      <c r="AN682" s="129">
        <v>12</v>
      </c>
      <c r="AO682" s="126" t="str">
        <f t="shared" si="58"/>
        <v/>
      </c>
      <c r="AR682" s="99" t="s">
        <v>136</v>
      </c>
    </row>
    <row r="683" spans="1:44" s="99" customFormat="1" ht="21" customHeight="1" x14ac:dyDescent="0.35">
      <c r="A683" s="99">
        <v>425</v>
      </c>
      <c r="B683" s="126" t="str">
        <f t="shared" si="54"/>
        <v>RM-304L/1D-004X771</v>
      </c>
      <c r="C683" s="126" t="s">
        <v>43</v>
      </c>
      <c r="D683" s="126" t="s">
        <v>43</v>
      </c>
      <c r="E683" s="143" t="s">
        <v>2335</v>
      </c>
      <c r="F683" s="143" t="s">
        <v>2336</v>
      </c>
      <c r="G683" s="126" t="s">
        <v>230</v>
      </c>
      <c r="H683" s="126" t="s">
        <v>139</v>
      </c>
      <c r="I683" s="127">
        <v>3.88</v>
      </c>
      <c r="J683" s="127"/>
      <c r="K683" s="127"/>
      <c r="L683" s="127"/>
      <c r="M683" s="144">
        <v>771</v>
      </c>
      <c r="N683" s="129">
        <v>11.955</v>
      </c>
      <c r="O683" s="129"/>
      <c r="P683" s="129"/>
      <c r="Q683" s="130"/>
      <c r="R683" s="131"/>
      <c r="S683" s="131"/>
      <c r="T683" s="132"/>
      <c r="U683" s="132"/>
      <c r="V683" s="132"/>
      <c r="W683" s="132"/>
      <c r="X683" s="132"/>
      <c r="Y683" s="133" t="s">
        <v>1942</v>
      </c>
      <c r="Z683" s="126" t="s">
        <v>64</v>
      </c>
      <c r="AA683" s="134" t="s">
        <v>154</v>
      </c>
      <c r="AB683" s="134" t="s">
        <v>1943</v>
      </c>
      <c r="AC683" s="134"/>
      <c r="AD683" s="134">
        <v>44585</v>
      </c>
      <c r="AE683" s="134"/>
      <c r="AF683" s="134">
        <f t="shared" ca="1" si="55"/>
        <v>44963</v>
      </c>
      <c r="AG683" s="126">
        <f t="shared" ca="1" si="56"/>
        <v>378</v>
      </c>
      <c r="AH683" s="126" t="str">
        <f t="shared" si="57"/>
        <v/>
      </c>
      <c r="AI683" s="134"/>
      <c r="AJ683" s="143" t="s">
        <v>2334</v>
      </c>
      <c r="AK683" s="129">
        <v>11.955</v>
      </c>
      <c r="AL683" s="129">
        <v>11.965</v>
      </c>
      <c r="AM683" s="129">
        <v>11.989999999999998</v>
      </c>
      <c r="AN683" s="129">
        <v>11.994999999999999</v>
      </c>
      <c r="AO683" s="126" t="str">
        <f t="shared" si="58"/>
        <v/>
      </c>
      <c r="AR683" s="99" t="s">
        <v>136</v>
      </c>
    </row>
    <row r="684" spans="1:44" s="99" customFormat="1" ht="21" customHeight="1" x14ac:dyDescent="0.35">
      <c r="A684" s="99">
        <v>425</v>
      </c>
      <c r="B684" s="126" t="str">
        <f t="shared" si="54"/>
        <v>RM-304L/1D-003X770</v>
      </c>
      <c r="C684" s="126" t="s">
        <v>43</v>
      </c>
      <c r="D684" s="126" t="s">
        <v>43</v>
      </c>
      <c r="E684" s="143" t="s">
        <v>2337</v>
      </c>
      <c r="F684" s="143" t="s">
        <v>2338</v>
      </c>
      <c r="G684" s="126" t="s">
        <v>230</v>
      </c>
      <c r="H684" s="126" t="s">
        <v>139</v>
      </c>
      <c r="I684" s="127">
        <v>3.07</v>
      </c>
      <c r="J684" s="127"/>
      <c r="K684" s="127"/>
      <c r="L684" s="127"/>
      <c r="M684" s="144">
        <v>770</v>
      </c>
      <c r="N684" s="129">
        <v>10.484999999999999</v>
      </c>
      <c r="O684" s="129"/>
      <c r="P684" s="129"/>
      <c r="Q684" s="130"/>
      <c r="R684" s="131"/>
      <c r="S684" s="131"/>
      <c r="T684" s="132"/>
      <c r="U684" s="132"/>
      <c r="V684" s="132"/>
      <c r="W684" s="132"/>
      <c r="X684" s="132"/>
      <c r="Y684" s="133" t="s">
        <v>1942</v>
      </c>
      <c r="Z684" s="126" t="s">
        <v>64</v>
      </c>
      <c r="AA684" s="134" t="s">
        <v>154</v>
      </c>
      <c r="AB684" s="134" t="s">
        <v>1943</v>
      </c>
      <c r="AC684" s="134"/>
      <c r="AD684" s="134">
        <v>44585</v>
      </c>
      <c r="AE684" s="134"/>
      <c r="AF684" s="134">
        <f t="shared" ca="1" si="55"/>
        <v>44963</v>
      </c>
      <c r="AG684" s="126">
        <f t="shared" ca="1" si="56"/>
        <v>378</v>
      </c>
      <c r="AH684" s="126" t="str">
        <f t="shared" si="57"/>
        <v/>
      </c>
      <c r="AI684" s="134"/>
      <c r="AJ684" s="143" t="s">
        <v>2339</v>
      </c>
      <c r="AK684" s="129">
        <v>10.484999999999999</v>
      </c>
      <c r="AL684" s="129">
        <v>10.494999999999999</v>
      </c>
      <c r="AM684" s="129">
        <v>10.519999999999998</v>
      </c>
      <c r="AN684" s="129">
        <v>10.524999999999999</v>
      </c>
      <c r="AO684" s="126" t="str">
        <f t="shared" si="58"/>
        <v/>
      </c>
      <c r="AR684" s="99" t="s">
        <v>136</v>
      </c>
    </row>
    <row r="685" spans="1:44" s="99" customFormat="1" ht="21" customHeight="1" x14ac:dyDescent="0.35">
      <c r="A685" s="99">
        <v>425</v>
      </c>
      <c r="B685" s="126" t="str">
        <f t="shared" si="54"/>
        <v>RM-304L/1D-003X771</v>
      </c>
      <c r="C685" s="126" t="s">
        <v>43</v>
      </c>
      <c r="D685" s="126" t="s">
        <v>43</v>
      </c>
      <c r="E685" s="143" t="s">
        <v>2340</v>
      </c>
      <c r="F685" s="143" t="s">
        <v>2341</v>
      </c>
      <c r="G685" s="126" t="s">
        <v>230</v>
      </c>
      <c r="H685" s="126" t="s">
        <v>139</v>
      </c>
      <c r="I685" s="127">
        <v>3.07</v>
      </c>
      <c r="J685" s="127"/>
      <c r="K685" s="127"/>
      <c r="L685" s="127"/>
      <c r="M685" s="144">
        <v>771</v>
      </c>
      <c r="N685" s="129">
        <v>10.5</v>
      </c>
      <c r="O685" s="129"/>
      <c r="P685" s="129"/>
      <c r="Q685" s="130"/>
      <c r="R685" s="131"/>
      <c r="S685" s="131"/>
      <c r="T685" s="132"/>
      <c r="U685" s="132"/>
      <c r="V685" s="132"/>
      <c r="W685" s="132"/>
      <c r="X685" s="132"/>
      <c r="Y685" s="133" t="s">
        <v>1942</v>
      </c>
      <c r="Z685" s="126" t="s">
        <v>64</v>
      </c>
      <c r="AA685" s="134" t="s">
        <v>154</v>
      </c>
      <c r="AB685" s="134" t="s">
        <v>1943</v>
      </c>
      <c r="AC685" s="134"/>
      <c r="AD685" s="134">
        <v>44585</v>
      </c>
      <c r="AE685" s="134"/>
      <c r="AF685" s="134">
        <f t="shared" ca="1" si="55"/>
        <v>44963</v>
      </c>
      <c r="AG685" s="126">
        <f t="shared" ca="1" si="56"/>
        <v>378</v>
      </c>
      <c r="AH685" s="126" t="str">
        <f t="shared" si="57"/>
        <v/>
      </c>
      <c r="AI685" s="134"/>
      <c r="AJ685" s="143" t="s">
        <v>2339</v>
      </c>
      <c r="AK685" s="129">
        <v>10.5</v>
      </c>
      <c r="AL685" s="129">
        <v>10.51</v>
      </c>
      <c r="AM685" s="129">
        <v>10.534999999999998</v>
      </c>
      <c r="AN685" s="129">
        <v>10.54</v>
      </c>
      <c r="AO685" s="126" t="str">
        <f t="shared" si="58"/>
        <v/>
      </c>
      <c r="AR685" s="99" t="s">
        <v>136</v>
      </c>
    </row>
    <row r="686" spans="1:44" s="99" customFormat="1" ht="21" customHeight="1" x14ac:dyDescent="0.35">
      <c r="A686" s="99">
        <v>425</v>
      </c>
      <c r="B686" s="126" t="str">
        <f t="shared" si="54"/>
        <v>RM-304L/1D-003X770</v>
      </c>
      <c r="C686" s="126" t="s">
        <v>43</v>
      </c>
      <c r="D686" s="126" t="s">
        <v>43</v>
      </c>
      <c r="E686" s="143" t="s">
        <v>2342</v>
      </c>
      <c r="F686" s="143" t="s">
        <v>2343</v>
      </c>
      <c r="G686" s="126" t="s">
        <v>230</v>
      </c>
      <c r="H686" s="126" t="s">
        <v>139</v>
      </c>
      <c r="I686" s="127">
        <v>3.2</v>
      </c>
      <c r="J686" s="127"/>
      <c r="K686" s="127"/>
      <c r="L686" s="127"/>
      <c r="M686" s="144">
        <v>770</v>
      </c>
      <c r="N686" s="129">
        <v>10.5</v>
      </c>
      <c r="O686" s="129"/>
      <c r="P686" s="129"/>
      <c r="Q686" s="130"/>
      <c r="R686" s="131"/>
      <c r="S686" s="131"/>
      <c r="T686" s="132"/>
      <c r="U686" s="132"/>
      <c r="V686" s="132"/>
      <c r="W686" s="132"/>
      <c r="X686" s="132"/>
      <c r="Y686" s="133" t="s">
        <v>1942</v>
      </c>
      <c r="Z686" s="126" t="s">
        <v>64</v>
      </c>
      <c r="AA686" s="134" t="s">
        <v>154</v>
      </c>
      <c r="AB686" s="134" t="s">
        <v>1943</v>
      </c>
      <c r="AC686" s="134"/>
      <c r="AD686" s="134">
        <v>44585</v>
      </c>
      <c r="AE686" s="134"/>
      <c r="AF686" s="134">
        <f t="shared" ca="1" si="55"/>
        <v>44963</v>
      </c>
      <c r="AG686" s="126">
        <f t="shared" ca="1" si="56"/>
        <v>378</v>
      </c>
      <c r="AH686" s="126" t="str">
        <f t="shared" si="57"/>
        <v/>
      </c>
      <c r="AI686" s="134"/>
      <c r="AJ686" s="143" t="s">
        <v>2344</v>
      </c>
      <c r="AK686" s="129">
        <v>10.5</v>
      </c>
      <c r="AL686" s="129">
        <v>10.51</v>
      </c>
      <c r="AM686" s="129">
        <v>10.534999999999998</v>
      </c>
      <c r="AN686" s="129">
        <v>10.54</v>
      </c>
      <c r="AO686" s="126" t="str">
        <f t="shared" si="58"/>
        <v/>
      </c>
      <c r="AR686" s="99" t="s">
        <v>136</v>
      </c>
    </row>
    <row r="687" spans="1:44" s="99" customFormat="1" ht="21" customHeight="1" x14ac:dyDescent="0.35">
      <c r="A687" s="99">
        <v>425</v>
      </c>
      <c r="B687" s="126" t="str">
        <f t="shared" si="54"/>
        <v>RM-304L/1D-003X772</v>
      </c>
      <c r="C687" s="126" t="s">
        <v>43</v>
      </c>
      <c r="D687" s="126" t="s">
        <v>43</v>
      </c>
      <c r="E687" s="143" t="s">
        <v>2345</v>
      </c>
      <c r="F687" s="143" t="s">
        <v>2346</v>
      </c>
      <c r="G687" s="126" t="s">
        <v>230</v>
      </c>
      <c r="H687" s="126" t="s">
        <v>139</v>
      </c>
      <c r="I687" s="127">
        <v>3.2</v>
      </c>
      <c r="J687" s="127"/>
      <c r="K687" s="127"/>
      <c r="L687" s="127"/>
      <c r="M687" s="144">
        <v>772</v>
      </c>
      <c r="N687" s="129">
        <v>10.515000000000001</v>
      </c>
      <c r="O687" s="129"/>
      <c r="P687" s="129"/>
      <c r="Q687" s="130"/>
      <c r="R687" s="131"/>
      <c r="S687" s="131"/>
      <c r="T687" s="132"/>
      <c r="U687" s="132"/>
      <c r="V687" s="132"/>
      <c r="W687" s="132"/>
      <c r="X687" s="132"/>
      <c r="Y687" s="133" t="s">
        <v>1942</v>
      </c>
      <c r="Z687" s="126" t="s">
        <v>64</v>
      </c>
      <c r="AA687" s="134" t="s">
        <v>154</v>
      </c>
      <c r="AB687" s="134" t="s">
        <v>1943</v>
      </c>
      <c r="AC687" s="134"/>
      <c r="AD687" s="134">
        <v>44585</v>
      </c>
      <c r="AE687" s="134"/>
      <c r="AF687" s="134">
        <f t="shared" ca="1" si="55"/>
        <v>44963</v>
      </c>
      <c r="AG687" s="126">
        <f t="shared" ca="1" si="56"/>
        <v>378</v>
      </c>
      <c r="AH687" s="126" t="str">
        <f t="shared" si="57"/>
        <v/>
      </c>
      <c r="AI687" s="134"/>
      <c r="AJ687" s="143" t="s">
        <v>2344</v>
      </c>
      <c r="AK687" s="129">
        <v>10.515000000000001</v>
      </c>
      <c r="AL687" s="129">
        <v>10.525</v>
      </c>
      <c r="AM687" s="129">
        <v>10.549999999999999</v>
      </c>
      <c r="AN687" s="129">
        <v>10.555</v>
      </c>
      <c r="AO687" s="126" t="str">
        <f t="shared" si="58"/>
        <v/>
      </c>
      <c r="AR687" s="99" t="s">
        <v>136</v>
      </c>
    </row>
    <row r="688" spans="1:44" s="99" customFormat="1" ht="21" customHeight="1" x14ac:dyDescent="0.35">
      <c r="A688" s="99">
        <v>425</v>
      </c>
      <c r="B688" s="126" t="str">
        <f t="shared" si="54"/>
        <v>RM-304/1D-003X770</v>
      </c>
      <c r="C688" s="126" t="s">
        <v>43</v>
      </c>
      <c r="D688" s="126" t="s">
        <v>43</v>
      </c>
      <c r="E688" s="143" t="s">
        <v>2347</v>
      </c>
      <c r="F688" s="143" t="s">
        <v>2348</v>
      </c>
      <c r="G688" s="126">
        <v>304</v>
      </c>
      <c r="H688" s="126" t="s">
        <v>139</v>
      </c>
      <c r="I688" s="127">
        <v>2.98</v>
      </c>
      <c r="J688" s="127"/>
      <c r="K688" s="127"/>
      <c r="L688" s="127"/>
      <c r="M688" s="144">
        <v>770</v>
      </c>
      <c r="N688" s="129">
        <v>10.455</v>
      </c>
      <c r="O688" s="129"/>
      <c r="P688" s="129"/>
      <c r="Q688" s="130"/>
      <c r="R688" s="131"/>
      <c r="S688" s="131"/>
      <c r="T688" s="132"/>
      <c r="U688" s="132"/>
      <c r="V688" s="132"/>
      <c r="W688" s="132"/>
      <c r="X688" s="132"/>
      <c r="Y688" s="133" t="s">
        <v>1942</v>
      </c>
      <c r="Z688" s="126" t="s">
        <v>64</v>
      </c>
      <c r="AA688" s="134" t="s">
        <v>154</v>
      </c>
      <c r="AB688" s="134" t="s">
        <v>1943</v>
      </c>
      <c r="AC688" s="134"/>
      <c r="AD688" s="134">
        <v>44585</v>
      </c>
      <c r="AE688" s="134"/>
      <c r="AF688" s="134">
        <f t="shared" ca="1" si="55"/>
        <v>44963</v>
      </c>
      <c r="AG688" s="126">
        <f t="shared" ca="1" si="56"/>
        <v>378</v>
      </c>
      <c r="AH688" s="126" t="str">
        <f t="shared" si="57"/>
        <v/>
      </c>
      <c r="AI688" s="134"/>
      <c r="AJ688" s="143" t="s">
        <v>2349</v>
      </c>
      <c r="AK688" s="129">
        <v>10.455</v>
      </c>
      <c r="AL688" s="129">
        <v>10.465</v>
      </c>
      <c r="AM688" s="129">
        <v>10.489999999999998</v>
      </c>
      <c r="AN688" s="129">
        <v>10.494999999999999</v>
      </c>
      <c r="AO688" s="126" t="str">
        <f t="shared" si="58"/>
        <v/>
      </c>
      <c r="AR688" s="99" t="s">
        <v>136</v>
      </c>
    </row>
    <row r="689" spans="1:44" s="99" customFormat="1" ht="21" customHeight="1" x14ac:dyDescent="0.35">
      <c r="A689" s="99">
        <v>425</v>
      </c>
      <c r="B689" s="126" t="str">
        <f t="shared" si="54"/>
        <v>RM-304/1D-003X772</v>
      </c>
      <c r="C689" s="126" t="s">
        <v>43</v>
      </c>
      <c r="D689" s="126" t="s">
        <v>43</v>
      </c>
      <c r="E689" s="143" t="s">
        <v>2350</v>
      </c>
      <c r="F689" s="143" t="s">
        <v>2351</v>
      </c>
      <c r="G689" s="126">
        <v>304</v>
      </c>
      <c r="H689" s="126" t="s">
        <v>139</v>
      </c>
      <c r="I689" s="127">
        <v>2.98</v>
      </c>
      <c r="J689" s="127"/>
      <c r="K689" s="127"/>
      <c r="L689" s="127"/>
      <c r="M689" s="144">
        <v>772</v>
      </c>
      <c r="N689" s="129">
        <v>10.49</v>
      </c>
      <c r="O689" s="129"/>
      <c r="P689" s="129"/>
      <c r="Q689" s="130"/>
      <c r="R689" s="131"/>
      <c r="S689" s="131"/>
      <c r="T689" s="132"/>
      <c r="U689" s="132"/>
      <c r="V689" s="132"/>
      <c r="W689" s="132"/>
      <c r="X689" s="132"/>
      <c r="Y689" s="133" t="s">
        <v>1942</v>
      </c>
      <c r="Z689" s="126" t="s">
        <v>64</v>
      </c>
      <c r="AA689" s="134" t="s">
        <v>154</v>
      </c>
      <c r="AB689" s="134" t="s">
        <v>1943</v>
      </c>
      <c r="AC689" s="134"/>
      <c r="AD689" s="134">
        <v>44585</v>
      </c>
      <c r="AE689" s="134"/>
      <c r="AF689" s="134">
        <f t="shared" ca="1" si="55"/>
        <v>44963</v>
      </c>
      <c r="AG689" s="126">
        <f t="shared" ca="1" si="56"/>
        <v>378</v>
      </c>
      <c r="AH689" s="126" t="str">
        <f t="shared" si="57"/>
        <v/>
      </c>
      <c r="AI689" s="134"/>
      <c r="AJ689" s="143" t="s">
        <v>2349</v>
      </c>
      <c r="AK689" s="129">
        <v>10.49</v>
      </c>
      <c r="AL689" s="129">
        <v>10.5</v>
      </c>
      <c r="AM689" s="129">
        <v>10.524999999999999</v>
      </c>
      <c r="AN689" s="129">
        <v>10.53</v>
      </c>
      <c r="AO689" s="126" t="str">
        <f t="shared" si="58"/>
        <v/>
      </c>
      <c r="AR689" s="99" t="s">
        <v>136</v>
      </c>
    </row>
    <row r="690" spans="1:44" s="99" customFormat="1" ht="21" customHeight="1" x14ac:dyDescent="0.35">
      <c r="A690" s="99">
        <v>425</v>
      </c>
      <c r="B690" s="126" t="str">
        <f t="shared" si="54"/>
        <v>RM-304L/1D-003X770</v>
      </c>
      <c r="C690" s="126" t="s">
        <v>43</v>
      </c>
      <c r="D690" s="126" t="s">
        <v>43</v>
      </c>
      <c r="E690" s="143" t="s">
        <v>2352</v>
      </c>
      <c r="F690" s="143" t="s">
        <v>2353</v>
      </c>
      <c r="G690" s="126" t="s">
        <v>230</v>
      </c>
      <c r="H690" s="126" t="s">
        <v>139</v>
      </c>
      <c r="I690" s="127">
        <v>3.03</v>
      </c>
      <c r="J690" s="127"/>
      <c r="K690" s="127"/>
      <c r="L690" s="127"/>
      <c r="M690" s="144">
        <v>770</v>
      </c>
      <c r="N690" s="129">
        <v>10.49</v>
      </c>
      <c r="O690" s="129"/>
      <c r="P690" s="129"/>
      <c r="Q690" s="130"/>
      <c r="R690" s="131"/>
      <c r="S690" s="131"/>
      <c r="T690" s="132"/>
      <c r="U690" s="132"/>
      <c r="V690" s="132"/>
      <c r="W690" s="132"/>
      <c r="X690" s="132"/>
      <c r="Y690" s="133" t="s">
        <v>1942</v>
      </c>
      <c r="Z690" s="126" t="s">
        <v>64</v>
      </c>
      <c r="AA690" s="134" t="s">
        <v>154</v>
      </c>
      <c r="AB690" s="134" t="s">
        <v>1943</v>
      </c>
      <c r="AC690" s="134"/>
      <c r="AD690" s="134">
        <v>44585</v>
      </c>
      <c r="AE690" s="134"/>
      <c r="AF690" s="134">
        <f t="shared" ca="1" si="55"/>
        <v>44963</v>
      </c>
      <c r="AG690" s="126">
        <f t="shared" ca="1" si="56"/>
        <v>378</v>
      </c>
      <c r="AH690" s="126" t="str">
        <f t="shared" si="57"/>
        <v/>
      </c>
      <c r="AI690" s="134"/>
      <c r="AJ690" s="143" t="s">
        <v>2354</v>
      </c>
      <c r="AK690" s="129">
        <v>10.49</v>
      </c>
      <c r="AL690" s="129">
        <v>10.5</v>
      </c>
      <c r="AM690" s="129">
        <v>10.524999999999999</v>
      </c>
      <c r="AN690" s="129">
        <v>10.53</v>
      </c>
      <c r="AO690" s="126" t="str">
        <f t="shared" si="58"/>
        <v/>
      </c>
      <c r="AR690" s="99" t="s">
        <v>136</v>
      </c>
    </row>
    <row r="691" spans="1:44" s="99" customFormat="1" ht="21" customHeight="1" x14ac:dyDescent="0.35">
      <c r="A691" s="99">
        <v>425</v>
      </c>
      <c r="B691" s="126" t="str">
        <f t="shared" si="54"/>
        <v>RM-304L/1D-003X772</v>
      </c>
      <c r="C691" s="126" t="s">
        <v>43</v>
      </c>
      <c r="D691" s="126" t="s">
        <v>43</v>
      </c>
      <c r="E691" s="143" t="s">
        <v>2355</v>
      </c>
      <c r="F691" s="143" t="s">
        <v>2356</v>
      </c>
      <c r="G691" s="126" t="s">
        <v>230</v>
      </c>
      <c r="H691" s="126" t="s">
        <v>139</v>
      </c>
      <c r="I691" s="127">
        <v>3.03</v>
      </c>
      <c r="J691" s="127"/>
      <c r="K691" s="127"/>
      <c r="L691" s="127"/>
      <c r="M691" s="144">
        <v>772</v>
      </c>
      <c r="N691" s="129">
        <v>10.53</v>
      </c>
      <c r="O691" s="129"/>
      <c r="P691" s="129"/>
      <c r="Q691" s="130"/>
      <c r="R691" s="131"/>
      <c r="S691" s="131"/>
      <c r="T691" s="132"/>
      <c r="U691" s="132"/>
      <c r="V691" s="132"/>
      <c r="W691" s="132"/>
      <c r="X691" s="132"/>
      <c r="Y691" s="133" t="s">
        <v>1942</v>
      </c>
      <c r="Z691" s="126" t="s">
        <v>64</v>
      </c>
      <c r="AA691" s="134" t="s">
        <v>154</v>
      </c>
      <c r="AB691" s="134" t="s">
        <v>1943</v>
      </c>
      <c r="AC691" s="134"/>
      <c r="AD691" s="134">
        <v>44585</v>
      </c>
      <c r="AE691" s="134"/>
      <c r="AF691" s="134">
        <f t="shared" ca="1" si="55"/>
        <v>44963</v>
      </c>
      <c r="AG691" s="126">
        <f t="shared" ca="1" si="56"/>
        <v>378</v>
      </c>
      <c r="AH691" s="126" t="str">
        <f t="shared" si="57"/>
        <v/>
      </c>
      <c r="AI691" s="134"/>
      <c r="AJ691" s="143" t="s">
        <v>2354</v>
      </c>
      <c r="AK691" s="129">
        <v>10.53</v>
      </c>
      <c r="AL691" s="129">
        <v>10.54</v>
      </c>
      <c r="AM691" s="129">
        <v>10.564999999999998</v>
      </c>
      <c r="AN691" s="129">
        <v>10.569999999999999</v>
      </c>
      <c r="AO691" s="126" t="str">
        <f t="shared" si="58"/>
        <v/>
      </c>
      <c r="AR691" s="99" t="s">
        <v>136</v>
      </c>
    </row>
    <row r="692" spans="1:44" s="99" customFormat="1" ht="21" customHeight="1" x14ac:dyDescent="0.35">
      <c r="A692" s="99">
        <v>425</v>
      </c>
      <c r="B692" s="126" t="str">
        <f t="shared" si="54"/>
        <v>RM-304L/1D-004X770</v>
      </c>
      <c r="C692" s="126" t="s">
        <v>43</v>
      </c>
      <c r="D692" s="126" t="s">
        <v>43</v>
      </c>
      <c r="E692" s="143" t="s">
        <v>2357</v>
      </c>
      <c r="F692" s="143" t="s">
        <v>2358</v>
      </c>
      <c r="G692" s="126" t="s">
        <v>230</v>
      </c>
      <c r="H692" s="126" t="s">
        <v>139</v>
      </c>
      <c r="I692" s="127">
        <v>3.77</v>
      </c>
      <c r="J692" s="127"/>
      <c r="K692" s="127"/>
      <c r="L692" s="127"/>
      <c r="M692" s="144">
        <v>770</v>
      </c>
      <c r="N692" s="129">
        <v>9.4649999999999999</v>
      </c>
      <c r="O692" s="129"/>
      <c r="P692" s="129"/>
      <c r="Q692" s="130"/>
      <c r="R692" s="131"/>
      <c r="S692" s="131"/>
      <c r="T692" s="132"/>
      <c r="U692" s="132"/>
      <c r="V692" s="132"/>
      <c r="W692" s="132"/>
      <c r="X692" s="132"/>
      <c r="Y692" s="133" t="s">
        <v>1942</v>
      </c>
      <c r="Z692" s="126" t="s">
        <v>64</v>
      </c>
      <c r="AA692" s="134" t="s">
        <v>154</v>
      </c>
      <c r="AB692" s="134" t="s">
        <v>1943</v>
      </c>
      <c r="AC692" s="134"/>
      <c r="AD692" s="134">
        <v>44585</v>
      </c>
      <c r="AE692" s="134"/>
      <c r="AF692" s="134">
        <f t="shared" ca="1" si="55"/>
        <v>44963</v>
      </c>
      <c r="AG692" s="126">
        <f t="shared" ca="1" si="56"/>
        <v>378</v>
      </c>
      <c r="AH692" s="126" t="str">
        <f t="shared" si="57"/>
        <v/>
      </c>
      <c r="AI692" s="134"/>
      <c r="AJ692" s="143" t="s">
        <v>2359</v>
      </c>
      <c r="AK692" s="129">
        <v>9.4649999999999999</v>
      </c>
      <c r="AL692" s="129">
        <v>9.4749999999999996</v>
      </c>
      <c r="AM692" s="129">
        <v>9.4999999999999982</v>
      </c>
      <c r="AN692" s="129">
        <v>9.504999999999999</v>
      </c>
      <c r="AO692" s="126" t="str">
        <f t="shared" si="58"/>
        <v/>
      </c>
      <c r="AR692" s="99" t="s">
        <v>136</v>
      </c>
    </row>
    <row r="693" spans="1:44" s="99" customFormat="1" ht="21" customHeight="1" x14ac:dyDescent="0.35">
      <c r="A693" s="99">
        <v>425</v>
      </c>
      <c r="B693" s="126" t="str">
        <f t="shared" si="54"/>
        <v>RM-304L/1D-004X772</v>
      </c>
      <c r="C693" s="126" t="s">
        <v>43</v>
      </c>
      <c r="D693" s="126" t="s">
        <v>43</v>
      </c>
      <c r="E693" s="143" t="s">
        <v>2360</v>
      </c>
      <c r="F693" s="143" t="s">
        <v>2361</v>
      </c>
      <c r="G693" s="126" t="s">
        <v>230</v>
      </c>
      <c r="H693" s="126" t="s">
        <v>139</v>
      </c>
      <c r="I693" s="127">
        <v>3.77</v>
      </c>
      <c r="J693" s="127"/>
      <c r="K693" s="127"/>
      <c r="L693" s="127"/>
      <c r="M693" s="144">
        <v>772</v>
      </c>
      <c r="N693" s="129">
        <v>9.4749999999999996</v>
      </c>
      <c r="O693" s="129"/>
      <c r="P693" s="129"/>
      <c r="Q693" s="130"/>
      <c r="R693" s="131"/>
      <c r="S693" s="131"/>
      <c r="T693" s="132"/>
      <c r="U693" s="132"/>
      <c r="V693" s="132"/>
      <c r="W693" s="132"/>
      <c r="X693" s="132"/>
      <c r="Y693" s="133" t="s">
        <v>1942</v>
      </c>
      <c r="Z693" s="126" t="s">
        <v>64</v>
      </c>
      <c r="AA693" s="134" t="s">
        <v>154</v>
      </c>
      <c r="AB693" s="134" t="s">
        <v>1943</v>
      </c>
      <c r="AC693" s="134"/>
      <c r="AD693" s="134">
        <v>44585</v>
      </c>
      <c r="AE693" s="134"/>
      <c r="AF693" s="134">
        <f t="shared" ca="1" si="55"/>
        <v>44963</v>
      </c>
      <c r="AG693" s="126">
        <f t="shared" ca="1" si="56"/>
        <v>378</v>
      </c>
      <c r="AH693" s="126" t="str">
        <f t="shared" si="57"/>
        <v/>
      </c>
      <c r="AI693" s="134"/>
      <c r="AJ693" s="143" t="s">
        <v>2359</v>
      </c>
      <c r="AK693" s="129">
        <v>9.4749999999999996</v>
      </c>
      <c r="AL693" s="129">
        <v>9.4849999999999994</v>
      </c>
      <c r="AM693" s="129">
        <v>9.509999999999998</v>
      </c>
      <c r="AN693" s="129">
        <v>9.5149999999999988</v>
      </c>
      <c r="AO693" s="126" t="str">
        <f t="shared" si="58"/>
        <v/>
      </c>
      <c r="AR693" s="99" t="s">
        <v>136</v>
      </c>
    </row>
    <row r="694" spans="1:44" s="99" customFormat="1" ht="21" customHeight="1" x14ac:dyDescent="0.35">
      <c r="A694" s="99">
        <v>425</v>
      </c>
      <c r="B694" s="126" t="str">
        <f t="shared" si="54"/>
        <v>RM-304/1D-004X770</v>
      </c>
      <c r="C694" s="126" t="s">
        <v>43</v>
      </c>
      <c r="D694" s="126" t="s">
        <v>43</v>
      </c>
      <c r="E694" s="143" t="s">
        <v>2362</v>
      </c>
      <c r="F694" s="143" t="s">
        <v>2363</v>
      </c>
      <c r="G694" s="126">
        <v>304</v>
      </c>
      <c r="H694" s="126" t="s">
        <v>139</v>
      </c>
      <c r="I694" s="127">
        <v>3.97</v>
      </c>
      <c r="J694" s="127"/>
      <c r="K694" s="127"/>
      <c r="L694" s="127"/>
      <c r="M694" s="144">
        <v>770</v>
      </c>
      <c r="N694" s="129">
        <v>10.45</v>
      </c>
      <c r="O694" s="129"/>
      <c r="P694" s="129"/>
      <c r="Q694" s="130"/>
      <c r="R694" s="131"/>
      <c r="S694" s="131"/>
      <c r="T694" s="132"/>
      <c r="U694" s="132"/>
      <c r="V694" s="132"/>
      <c r="W694" s="132"/>
      <c r="X694" s="132"/>
      <c r="Y694" s="133" t="s">
        <v>1942</v>
      </c>
      <c r="Z694" s="126" t="s">
        <v>64</v>
      </c>
      <c r="AA694" s="134" t="s">
        <v>154</v>
      </c>
      <c r="AB694" s="134" t="s">
        <v>1943</v>
      </c>
      <c r="AC694" s="134"/>
      <c r="AD694" s="134">
        <v>44585</v>
      </c>
      <c r="AE694" s="134"/>
      <c r="AF694" s="134">
        <f t="shared" ca="1" si="55"/>
        <v>44963</v>
      </c>
      <c r="AG694" s="126">
        <f t="shared" ca="1" si="56"/>
        <v>378</v>
      </c>
      <c r="AH694" s="126" t="str">
        <f t="shared" si="57"/>
        <v/>
      </c>
      <c r="AI694" s="134"/>
      <c r="AJ694" s="143" t="s">
        <v>2364</v>
      </c>
      <c r="AK694" s="129">
        <v>10.45</v>
      </c>
      <c r="AL694" s="129">
        <v>10.46</v>
      </c>
      <c r="AM694" s="129">
        <v>10.484999999999999</v>
      </c>
      <c r="AN694" s="129">
        <v>10.49</v>
      </c>
      <c r="AO694" s="126" t="str">
        <f t="shared" si="58"/>
        <v/>
      </c>
      <c r="AR694" s="99" t="s">
        <v>136</v>
      </c>
    </row>
    <row r="695" spans="1:44" s="99" customFormat="1" ht="21" customHeight="1" x14ac:dyDescent="0.35">
      <c r="A695" s="99">
        <v>425</v>
      </c>
      <c r="B695" s="126" t="str">
        <f t="shared" si="54"/>
        <v>RM-304/1D-004X772</v>
      </c>
      <c r="C695" s="126" t="s">
        <v>43</v>
      </c>
      <c r="D695" s="126" t="s">
        <v>43</v>
      </c>
      <c r="E695" s="143" t="s">
        <v>2365</v>
      </c>
      <c r="F695" s="143" t="s">
        <v>2366</v>
      </c>
      <c r="G695" s="126">
        <v>304</v>
      </c>
      <c r="H695" s="126" t="s">
        <v>139</v>
      </c>
      <c r="I695" s="127">
        <v>3.97</v>
      </c>
      <c r="J695" s="127"/>
      <c r="K695" s="127"/>
      <c r="L695" s="127"/>
      <c r="M695" s="144">
        <v>772</v>
      </c>
      <c r="N695" s="129">
        <v>10.47</v>
      </c>
      <c r="O695" s="129"/>
      <c r="P695" s="129"/>
      <c r="Q695" s="130"/>
      <c r="R695" s="131"/>
      <c r="S695" s="131"/>
      <c r="T695" s="132"/>
      <c r="U695" s="132"/>
      <c r="V695" s="132"/>
      <c r="W695" s="132"/>
      <c r="X695" s="132"/>
      <c r="Y695" s="133" t="s">
        <v>1942</v>
      </c>
      <c r="Z695" s="126" t="s">
        <v>64</v>
      </c>
      <c r="AA695" s="134" t="s">
        <v>154</v>
      </c>
      <c r="AB695" s="134" t="s">
        <v>1943</v>
      </c>
      <c r="AC695" s="134"/>
      <c r="AD695" s="134">
        <v>44585</v>
      </c>
      <c r="AE695" s="134"/>
      <c r="AF695" s="134">
        <f t="shared" ca="1" si="55"/>
        <v>44963</v>
      </c>
      <c r="AG695" s="126">
        <f t="shared" ca="1" si="56"/>
        <v>378</v>
      </c>
      <c r="AH695" s="126" t="str">
        <f t="shared" si="57"/>
        <v/>
      </c>
      <c r="AI695" s="134"/>
      <c r="AJ695" s="143" t="s">
        <v>2364</v>
      </c>
      <c r="AK695" s="129">
        <v>10.47</v>
      </c>
      <c r="AL695" s="129">
        <v>10.48</v>
      </c>
      <c r="AM695" s="129">
        <v>10.504999999999999</v>
      </c>
      <c r="AN695" s="129">
        <v>10.51</v>
      </c>
      <c r="AO695" s="126" t="str">
        <f t="shared" si="58"/>
        <v/>
      </c>
      <c r="AR695" s="99" t="s">
        <v>136</v>
      </c>
    </row>
    <row r="696" spans="1:44" s="99" customFormat="1" ht="21" customHeight="1" x14ac:dyDescent="0.35">
      <c r="A696" s="99">
        <v>425</v>
      </c>
      <c r="B696" s="126" t="str">
        <f t="shared" si="54"/>
        <v>RM-304/1D-003X770</v>
      </c>
      <c r="C696" s="126" t="s">
        <v>43</v>
      </c>
      <c r="D696" s="126" t="s">
        <v>43</v>
      </c>
      <c r="E696" s="143" t="s">
        <v>2367</v>
      </c>
      <c r="F696" s="143" t="s">
        <v>2368</v>
      </c>
      <c r="G696" s="126">
        <v>304</v>
      </c>
      <c r="H696" s="126" t="s">
        <v>139</v>
      </c>
      <c r="I696" s="127">
        <v>3.18</v>
      </c>
      <c r="J696" s="127"/>
      <c r="K696" s="127"/>
      <c r="L696" s="127"/>
      <c r="M696" s="144">
        <v>770</v>
      </c>
      <c r="N696" s="129">
        <v>10.455</v>
      </c>
      <c r="O696" s="129"/>
      <c r="P696" s="129"/>
      <c r="Q696" s="130"/>
      <c r="R696" s="131"/>
      <c r="S696" s="131"/>
      <c r="T696" s="132"/>
      <c r="U696" s="132"/>
      <c r="V696" s="132"/>
      <c r="W696" s="132"/>
      <c r="X696" s="132"/>
      <c r="Y696" s="133" t="s">
        <v>1942</v>
      </c>
      <c r="Z696" s="126" t="s">
        <v>64</v>
      </c>
      <c r="AA696" s="134" t="s">
        <v>154</v>
      </c>
      <c r="AB696" s="134" t="s">
        <v>1943</v>
      </c>
      <c r="AC696" s="134"/>
      <c r="AD696" s="134">
        <v>44585</v>
      </c>
      <c r="AE696" s="134"/>
      <c r="AF696" s="134">
        <f t="shared" ca="1" si="55"/>
        <v>44963</v>
      </c>
      <c r="AG696" s="126">
        <f t="shared" ca="1" si="56"/>
        <v>378</v>
      </c>
      <c r="AH696" s="126" t="str">
        <f t="shared" si="57"/>
        <v/>
      </c>
      <c r="AI696" s="134"/>
      <c r="AJ696" s="143" t="s">
        <v>2369</v>
      </c>
      <c r="AK696" s="129">
        <v>10.455</v>
      </c>
      <c r="AL696" s="129">
        <v>10.465</v>
      </c>
      <c r="AM696" s="129">
        <v>10.489999999999998</v>
      </c>
      <c r="AN696" s="129">
        <v>10.494999999999999</v>
      </c>
      <c r="AO696" s="126" t="str">
        <f t="shared" si="58"/>
        <v/>
      </c>
      <c r="AR696" s="99" t="s">
        <v>136</v>
      </c>
    </row>
    <row r="697" spans="1:44" s="99" customFormat="1" ht="21" customHeight="1" x14ac:dyDescent="0.35">
      <c r="A697" s="99">
        <v>425</v>
      </c>
      <c r="B697" s="126" t="str">
        <f t="shared" si="54"/>
        <v>RM-304/1D-003X772</v>
      </c>
      <c r="C697" s="126" t="s">
        <v>43</v>
      </c>
      <c r="D697" s="126" t="s">
        <v>43</v>
      </c>
      <c r="E697" s="143" t="s">
        <v>2370</v>
      </c>
      <c r="F697" s="143" t="s">
        <v>2371</v>
      </c>
      <c r="G697" s="126">
        <v>304</v>
      </c>
      <c r="H697" s="126" t="s">
        <v>139</v>
      </c>
      <c r="I697" s="127">
        <v>3.18</v>
      </c>
      <c r="J697" s="127"/>
      <c r="K697" s="127"/>
      <c r="L697" s="127"/>
      <c r="M697" s="144">
        <v>772</v>
      </c>
      <c r="N697" s="129">
        <v>10.49</v>
      </c>
      <c r="O697" s="129"/>
      <c r="P697" s="129"/>
      <c r="Q697" s="130"/>
      <c r="R697" s="131"/>
      <c r="S697" s="131"/>
      <c r="T697" s="132"/>
      <c r="U697" s="132"/>
      <c r="V697" s="132"/>
      <c r="W697" s="132"/>
      <c r="X697" s="132"/>
      <c r="Y697" s="133" t="s">
        <v>1942</v>
      </c>
      <c r="Z697" s="126" t="s">
        <v>64</v>
      </c>
      <c r="AA697" s="134" t="s">
        <v>154</v>
      </c>
      <c r="AB697" s="134" t="s">
        <v>1943</v>
      </c>
      <c r="AC697" s="134"/>
      <c r="AD697" s="134">
        <v>44585</v>
      </c>
      <c r="AE697" s="134"/>
      <c r="AF697" s="134">
        <f t="shared" ca="1" si="55"/>
        <v>44963</v>
      </c>
      <c r="AG697" s="126">
        <f t="shared" ca="1" si="56"/>
        <v>378</v>
      </c>
      <c r="AH697" s="126" t="str">
        <f t="shared" si="57"/>
        <v/>
      </c>
      <c r="AI697" s="134"/>
      <c r="AJ697" s="143" t="s">
        <v>2369</v>
      </c>
      <c r="AK697" s="129">
        <v>10.49</v>
      </c>
      <c r="AL697" s="129">
        <v>10.5</v>
      </c>
      <c r="AM697" s="129">
        <v>10.524999999999999</v>
      </c>
      <c r="AN697" s="129">
        <v>10.53</v>
      </c>
      <c r="AO697" s="126" t="str">
        <f t="shared" si="58"/>
        <v/>
      </c>
      <c r="AR697" s="99" t="s">
        <v>136</v>
      </c>
    </row>
    <row r="698" spans="1:44" s="99" customFormat="1" ht="21" customHeight="1" x14ac:dyDescent="0.35">
      <c r="A698" s="99">
        <v>425</v>
      </c>
      <c r="B698" s="126" t="str">
        <f t="shared" ref="B698:B757" si="59">IF(C698="HOLD RM","HOLD RM",IF(C698="BAL","WIP",IF(C698="HOLD SLT","HOLD SLT",IF(C698="MILL","RM",IF(C698="RE SLT","WIP",IF(C698="RM","RM",IF(C698="RM BAL","RM",IF(C698="RM SLT","RM",IF(C698="RR","WIP",IF(C698="SKP","WIP",IF(C698="SLT","WIP",IF(C698="CTL","WIP",IF(C698="RM SLT RUST","RM SLT RUST",0)))))))))))))&amp;"-"&amp;G698&amp;"/"&amp;IF(H698="2B","2B",IF(H698="NO.1","1D",IF(H698="FH","FH",0)))&amp;"-"&amp;IF(J698="",(TEXT(I698,"0.00")),TEXT(J698,"0.00"))&amp;"X"&amp;M698</f>
        <v>RM-304L/1D-004X767</v>
      </c>
      <c r="C698" s="126" t="s">
        <v>43</v>
      </c>
      <c r="D698" s="126" t="s">
        <v>43</v>
      </c>
      <c r="E698" s="143" t="s">
        <v>2372</v>
      </c>
      <c r="F698" s="143" t="s">
        <v>2373</v>
      </c>
      <c r="G698" s="126" t="s">
        <v>230</v>
      </c>
      <c r="H698" s="126" t="s">
        <v>139</v>
      </c>
      <c r="I698" s="127">
        <v>3.78</v>
      </c>
      <c r="J698" s="127"/>
      <c r="K698" s="127"/>
      <c r="L698" s="127"/>
      <c r="M698" s="144">
        <v>767</v>
      </c>
      <c r="N698" s="129">
        <v>11.99</v>
      </c>
      <c r="O698" s="129"/>
      <c r="P698" s="129"/>
      <c r="Q698" s="130"/>
      <c r="R698" s="131"/>
      <c r="S698" s="131"/>
      <c r="T698" s="132"/>
      <c r="U698" s="132"/>
      <c r="V698" s="132"/>
      <c r="W698" s="132"/>
      <c r="X698" s="132"/>
      <c r="Y698" s="133" t="s">
        <v>1942</v>
      </c>
      <c r="Z698" s="126" t="s">
        <v>64</v>
      </c>
      <c r="AA698" s="134" t="s">
        <v>154</v>
      </c>
      <c r="AB698" s="134" t="s">
        <v>1943</v>
      </c>
      <c r="AC698" s="134"/>
      <c r="AD698" s="134">
        <v>44585</v>
      </c>
      <c r="AE698" s="134"/>
      <c r="AF698" s="134">
        <f t="shared" ca="1" si="55"/>
        <v>44963</v>
      </c>
      <c r="AG698" s="126">
        <f t="shared" ca="1" si="56"/>
        <v>378</v>
      </c>
      <c r="AH698" s="126" t="str">
        <f t="shared" si="57"/>
        <v/>
      </c>
      <c r="AI698" s="134"/>
      <c r="AJ698" s="143" t="s">
        <v>2374</v>
      </c>
      <c r="AK698" s="129">
        <v>11.99</v>
      </c>
      <c r="AL698" s="129">
        <v>12</v>
      </c>
      <c r="AM698" s="129">
        <v>12.024999999999999</v>
      </c>
      <c r="AN698" s="129">
        <v>12.03</v>
      </c>
      <c r="AO698" s="126" t="str">
        <f t="shared" si="58"/>
        <v/>
      </c>
      <c r="AR698" s="99" t="s">
        <v>136</v>
      </c>
    </row>
    <row r="699" spans="1:44" s="99" customFormat="1" ht="21" customHeight="1" x14ac:dyDescent="0.35">
      <c r="A699" s="99">
        <v>425</v>
      </c>
      <c r="B699" s="126" t="str">
        <f t="shared" si="59"/>
        <v>RM-304L/1D-004X768</v>
      </c>
      <c r="C699" s="126" t="s">
        <v>43</v>
      </c>
      <c r="D699" s="126" t="s">
        <v>43</v>
      </c>
      <c r="E699" s="143" t="s">
        <v>2375</v>
      </c>
      <c r="F699" s="143" t="s">
        <v>2376</v>
      </c>
      <c r="G699" s="126" t="s">
        <v>230</v>
      </c>
      <c r="H699" s="126" t="s">
        <v>139</v>
      </c>
      <c r="I699" s="127">
        <v>3.78</v>
      </c>
      <c r="J699" s="127"/>
      <c r="K699" s="127"/>
      <c r="L699" s="127"/>
      <c r="M699" s="144">
        <v>768</v>
      </c>
      <c r="N699" s="129">
        <v>12.03</v>
      </c>
      <c r="O699" s="129"/>
      <c r="P699" s="129"/>
      <c r="Q699" s="130"/>
      <c r="R699" s="131"/>
      <c r="S699" s="131"/>
      <c r="T699" s="132"/>
      <c r="U699" s="132"/>
      <c r="V699" s="132"/>
      <c r="W699" s="132"/>
      <c r="X699" s="132"/>
      <c r="Y699" s="133" t="s">
        <v>1942</v>
      </c>
      <c r="Z699" s="126" t="s">
        <v>64</v>
      </c>
      <c r="AA699" s="134" t="s">
        <v>154</v>
      </c>
      <c r="AB699" s="134" t="s">
        <v>1943</v>
      </c>
      <c r="AC699" s="134"/>
      <c r="AD699" s="134">
        <v>44585</v>
      </c>
      <c r="AE699" s="134"/>
      <c r="AF699" s="134">
        <f t="shared" ca="1" si="55"/>
        <v>44963</v>
      </c>
      <c r="AG699" s="126">
        <f t="shared" ca="1" si="56"/>
        <v>378</v>
      </c>
      <c r="AH699" s="126" t="str">
        <f t="shared" si="57"/>
        <v/>
      </c>
      <c r="AI699" s="134"/>
      <c r="AJ699" s="143" t="s">
        <v>2374</v>
      </c>
      <c r="AK699" s="129">
        <v>12.03</v>
      </c>
      <c r="AL699" s="129">
        <v>12.04</v>
      </c>
      <c r="AM699" s="129">
        <v>12.064999999999998</v>
      </c>
      <c r="AN699" s="129">
        <v>12.069999999999999</v>
      </c>
      <c r="AO699" s="126" t="str">
        <f t="shared" si="58"/>
        <v/>
      </c>
      <c r="AR699" s="99" t="s">
        <v>136</v>
      </c>
    </row>
    <row r="700" spans="1:44" s="99" customFormat="1" ht="21" customHeight="1" x14ac:dyDescent="0.35">
      <c r="A700" s="99">
        <v>425</v>
      </c>
      <c r="B700" s="126" t="str">
        <f t="shared" si="59"/>
        <v>RM-304L/1D-004X769</v>
      </c>
      <c r="C700" s="126" t="s">
        <v>43</v>
      </c>
      <c r="D700" s="126" t="s">
        <v>43</v>
      </c>
      <c r="E700" s="143" t="s">
        <v>2377</v>
      </c>
      <c r="F700" s="143" t="s">
        <v>2378</v>
      </c>
      <c r="G700" s="126" t="s">
        <v>230</v>
      </c>
      <c r="H700" s="126" t="s">
        <v>139</v>
      </c>
      <c r="I700" s="127">
        <v>3.8</v>
      </c>
      <c r="J700" s="127"/>
      <c r="K700" s="127"/>
      <c r="L700" s="127"/>
      <c r="M700" s="144">
        <v>769</v>
      </c>
      <c r="N700" s="129">
        <v>10.43</v>
      </c>
      <c r="O700" s="129"/>
      <c r="P700" s="129"/>
      <c r="Q700" s="130"/>
      <c r="R700" s="131"/>
      <c r="S700" s="131"/>
      <c r="T700" s="132"/>
      <c r="U700" s="132"/>
      <c r="V700" s="132"/>
      <c r="W700" s="132"/>
      <c r="X700" s="132"/>
      <c r="Y700" s="133" t="s">
        <v>1942</v>
      </c>
      <c r="Z700" s="126" t="s">
        <v>64</v>
      </c>
      <c r="AA700" s="134" t="s">
        <v>154</v>
      </c>
      <c r="AB700" s="134" t="s">
        <v>1943</v>
      </c>
      <c r="AC700" s="134"/>
      <c r="AD700" s="134">
        <v>44585</v>
      </c>
      <c r="AE700" s="134"/>
      <c r="AF700" s="134">
        <f t="shared" ca="1" si="55"/>
        <v>44963</v>
      </c>
      <c r="AG700" s="126">
        <f t="shared" ca="1" si="56"/>
        <v>378</v>
      </c>
      <c r="AH700" s="126" t="str">
        <f t="shared" si="57"/>
        <v/>
      </c>
      <c r="AI700" s="134"/>
      <c r="AJ700" s="143" t="s">
        <v>2379</v>
      </c>
      <c r="AK700" s="129">
        <v>10.43</v>
      </c>
      <c r="AL700" s="129">
        <v>10.44</v>
      </c>
      <c r="AM700" s="129">
        <v>10.464999999999998</v>
      </c>
      <c r="AN700" s="129">
        <v>10.469999999999999</v>
      </c>
      <c r="AO700" s="126" t="str">
        <f t="shared" si="58"/>
        <v/>
      </c>
      <c r="AR700" s="99" t="s">
        <v>136</v>
      </c>
    </row>
    <row r="701" spans="1:44" s="99" customFormat="1" ht="21" customHeight="1" x14ac:dyDescent="0.35">
      <c r="A701" s="99">
        <v>425</v>
      </c>
      <c r="B701" s="126" t="str">
        <f t="shared" si="59"/>
        <v>RM-304L/1D-004X768</v>
      </c>
      <c r="C701" s="126" t="s">
        <v>43</v>
      </c>
      <c r="D701" s="126" t="s">
        <v>43</v>
      </c>
      <c r="E701" s="143" t="s">
        <v>2380</v>
      </c>
      <c r="F701" s="143" t="s">
        <v>2381</v>
      </c>
      <c r="G701" s="126" t="s">
        <v>230</v>
      </c>
      <c r="H701" s="126" t="s">
        <v>139</v>
      </c>
      <c r="I701" s="127">
        <v>3.79</v>
      </c>
      <c r="J701" s="127"/>
      <c r="K701" s="127"/>
      <c r="L701" s="127"/>
      <c r="M701" s="144">
        <v>768</v>
      </c>
      <c r="N701" s="129">
        <v>10.42</v>
      </c>
      <c r="O701" s="129"/>
      <c r="P701" s="129"/>
      <c r="Q701" s="130"/>
      <c r="R701" s="131"/>
      <c r="S701" s="131"/>
      <c r="T701" s="132"/>
      <c r="U701" s="132"/>
      <c r="V701" s="132"/>
      <c r="W701" s="132"/>
      <c r="X701" s="132"/>
      <c r="Y701" s="133" t="s">
        <v>1942</v>
      </c>
      <c r="Z701" s="126" t="s">
        <v>64</v>
      </c>
      <c r="AA701" s="134" t="s">
        <v>154</v>
      </c>
      <c r="AB701" s="134" t="s">
        <v>1943</v>
      </c>
      <c r="AC701" s="134"/>
      <c r="AD701" s="134">
        <v>44585</v>
      </c>
      <c r="AE701" s="134"/>
      <c r="AF701" s="134">
        <f t="shared" ca="1" si="55"/>
        <v>44963</v>
      </c>
      <c r="AG701" s="126">
        <f t="shared" ca="1" si="56"/>
        <v>378</v>
      </c>
      <c r="AH701" s="126" t="str">
        <f t="shared" si="57"/>
        <v/>
      </c>
      <c r="AI701" s="134"/>
      <c r="AJ701" s="143" t="s">
        <v>2379</v>
      </c>
      <c r="AK701" s="129">
        <v>10.42</v>
      </c>
      <c r="AL701" s="129">
        <v>10.43</v>
      </c>
      <c r="AM701" s="129">
        <v>10.454999999999998</v>
      </c>
      <c r="AN701" s="129">
        <v>10.459999999999999</v>
      </c>
      <c r="AO701" s="126" t="str">
        <f t="shared" si="58"/>
        <v/>
      </c>
      <c r="AR701" s="99" t="s">
        <v>136</v>
      </c>
    </row>
    <row r="702" spans="1:44" s="99" customFormat="1" ht="21" customHeight="1" x14ac:dyDescent="0.35">
      <c r="A702" s="99">
        <v>425</v>
      </c>
      <c r="B702" s="126" t="str">
        <f t="shared" si="59"/>
        <v>RM-304L/1D-004X769</v>
      </c>
      <c r="C702" s="126" t="s">
        <v>43</v>
      </c>
      <c r="D702" s="126" t="s">
        <v>43</v>
      </c>
      <c r="E702" s="143" t="s">
        <v>2382</v>
      </c>
      <c r="F702" s="143" t="s">
        <v>2383</v>
      </c>
      <c r="G702" s="126" t="s">
        <v>230</v>
      </c>
      <c r="H702" s="126" t="s">
        <v>139</v>
      </c>
      <c r="I702" s="127">
        <v>3.8</v>
      </c>
      <c r="J702" s="127"/>
      <c r="K702" s="127"/>
      <c r="L702" s="127"/>
      <c r="M702" s="144">
        <v>769</v>
      </c>
      <c r="N702" s="129">
        <v>12.15</v>
      </c>
      <c r="O702" s="129"/>
      <c r="P702" s="129"/>
      <c r="Q702" s="130"/>
      <c r="R702" s="131"/>
      <c r="S702" s="131"/>
      <c r="T702" s="132"/>
      <c r="U702" s="132"/>
      <c r="V702" s="132"/>
      <c r="W702" s="132"/>
      <c r="X702" s="132"/>
      <c r="Y702" s="133" t="s">
        <v>1942</v>
      </c>
      <c r="Z702" s="126" t="s">
        <v>64</v>
      </c>
      <c r="AA702" s="134" t="s">
        <v>154</v>
      </c>
      <c r="AB702" s="134" t="s">
        <v>1943</v>
      </c>
      <c r="AC702" s="134"/>
      <c r="AD702" s="134">
        <v>44585</v>
      </c>
      <c r="AE702" s="134"/>
      <c r="AF702" s="134">
        <f t="shared" ca="1" si="55"/>
        <v>44963</v>
      </c>
      <c r="AG702" s="126">
        <f t="shared" ca="1" si="56"/>
        <v>378</v>
      </c>
      <c r="AH702" s="126" t="str">
        <f t="shared" si="57"/>
        <v/>
      </c>
      <c r="AI702" s="134"/>
      <c r="AJ702" s="143" t="s">
        <v>2384</v>
      </c>
      <c r="AK702" s="129">
        <v>12.15</v>
      </c>
      <c r="AL702" s="129">
        <v>12.16</v>
      </c>
      <c r="AM702" s="129">
        <v>12.184999999999999</v>
      </c>
      <c r="AN702" s="129">
        <v>12.19</v>
      </c>
      <c r="AO702" s="126" t="str">
        <f t="shared" si="58"/>
        <v/>
      </c>
      <c r="AR702" s="99" t="s">
        <v>136</v>
      </c>
    </row>
    <row r="703" spans="1:44" s="99" customFormat="1" ht="21" customHeight="1" x14ac:dyDescent="0.35">
      <c r="A703" s="99">
        <v>425</v>
      </c>
      <c r="B703" s="126" t="str">
        <f t="shared" si="59"/>
        <v>RM-304L/1D-004X766</v>
      </c>
      <c r="C703" s="126" t="s">
        <v>43</v>
      </c>
      <c r="D703" s="126" t="s">
        <v>43</v>
      </c>
      <c r="E703" s="143" t="s">
        <v>2385</v>
      </c>
      <c r="F703" s="143" t="s">
        <v>2386</v>
      </c>
      <c r="G703" s="126" t="s">
        <v>230</v>
      </c>
      <c r="H703" s="126" t="s">
        <v>139</v>
      </c>
      <c r="I703" s="127">
        <v>3.78</v>
      </c>
      <c r="J703" s="127"/>
      <c r="K703" s="127"/>
      <c r="L703" s="127"/>
      <c r="M703" s="144">
        <v>766</v>
      </c>
      <c r="N703" s="129">
        <v>12.15</v>
      </c>
      <c r="O703" s="129"/>
      <c r="P703" s="129"/>
      <c r="Q703" s="130"/>
      <c r="R703" s="131"/>
      <c r="S703" s="131"/>
      <c r="T703" s="132"/>
      <c r="U703" s="132"/>
      <c r="V703" s="132"/>
      <c r="W703" s="132"/>
      <c r="X703" s="132"/>
      <c r="Y703" s="133" t="s">
        <v>1942</v>
      </c>
      <c r="Z703" s="126" t="s">
        <v>64</v>
      </c>
      <c r="AA703" s="134" t="s">
        <v>154</v>
      </c>
      <c r="AB703" s="134" t="s">
        <v>1943</v>
      </c>
      <c r="AC703" s="134"/>
      <c r="AD703" s="134">
        <v>44585</v>
      </c>
      <c r="AE703" s="134"/>
      <c r="AF703" s="134">
        <f t="shared" ca="1" si="55"/>
        <v>44963</v>
      </c>
      <c r="AG703" s="126">
        <f t="shared" ca="1" si="56"/>
        <v>378</v>
      </c>
      <c r="AH703" s="126" t="str">
        <f t="shared" si="57"/>
        <v/>
      </c>
      <c r="AI703" s="134"/>
      <c r="AJ703" s="143" t="s">
        <v>2384</v>
      </c>
      <c r="AK703" s="129">
        <v>12.15</v>
      </c>
      <c r="AL703" s="129">
        <v>12.16</v>
      </c>
      <c r="AM703" s="129">
        <v>12.184999999999999</v>
      </c>
      <c r="AN703" s="129">
        <v>12.19</v>
      </c>
      <c r="AO703" s="126" t="str">
        <f t="shared" si="58"/>
        <v/>
      </c>
      <c r="AR703" s="99" t="s">
        <v>136</v>
      </c>
    </row>
    <row r="704" spans="1:44" s="99" customFormat="1" ht="21" customHeight="1" x14ac:dyDescent="0.35">
      <c r="A704" s="99">
        <v>425</v>
      </c>
      <c r="B704" s="126" t="str">
        <f t="shared" si="59"/>
        <v>RM-304L/1D-003X769</v>
      </c>
      <c r="C704" s="126" t="s">
        <v>43</v>
      </c>
      <c r="D704" s="126" t="s">
        <v>43</v>
      </c>
      <c r="E704" s="143" t="s">
        <v>2387</v>
      </c>
      <c r="F704" s="143" t="s">
        <v>2388</v>
      </c>
      <c r="G704" s="126" t="s">
        <v>230</v>
      </c>
      <c r="H704" s="126" t="s">
        <v>139</v>
      </c>
      <c r="I704" s="127">
        <v>3.19</v>
      </c>
      <c r="J704" s="127"/>
      <c r="K704" s="127"/>
      <c r="L704" s="127"/>
      <c r="M704" s="144">
        <v>769</v>
      </c>
      <c r="N704" s="129">
        <v>11.69</v>
      </c>
      <c r="O704" s="129"/>
      <c r="P704" s="129"/>
      <c r="Q704" s="130"/>
      <c r="R704" s="131"/>
      <c r="S704" s="131"/>
      <c r="T704" s="132"/>
      <c r="U704" s="132"/>
      <c r="V704" s="132"/>
      <c r="W704" s="132"/>
      <c r="X704" s="132"/>
      <c r="Y704" s="133" t="s">
        <v>1942</v>
      </c>
      <c r="Z704" s="126" t="s">
        <v>64</v>
      </c>
      <c r="AA704" s="134" t="s">
        <v>154</v>
      </c>
      <c r="AB704" s="134" t="s">
        <v>1943</v>
      </c>
      <c r="AC704" s="134"/>
      <c r="AD704" s="134">
        <v>44585</v>
      </c>
      <c r="AE704" s="134"/>
      <c r="AF704" s="134">
        <f t="shared" ca="1" si="55"/>
        <v>44963</v>
      </c>
      <c r="AG704" s="126">
        <f t="shared" ca="1" si="56"/>
        <v>378</v>
      </c>
      <c r="AH704" s="126" t="str">
        <f t="shared" si="57"/>
        <v/>
      </c>
      <c r="AI704" s="134"/>
      <c r="AJ704" s="143" t="s">
        <v>2389</v>
      </c>
      <c r="AK704" s="129">
        <v>11.69</v>
      </c>
      <c r="AL704" s="129">
        <v>11.7</v>
      </c>
      <c r="AM704" s="129">
        <v>11.724999999999998</v>
      </c>
      <c r="AN704" s="129">
        <v>11.729999999999999</v>
      </c>
      <c r="AO704" s="126" t="str">
        <f t="shared" si="58"/>
        <v/>
      </c>
      <c r="AR704" s="99" t="s">
        <v>136</v>
      </c>
    </row>
    <row r="705" spans="1:44" s="99" customFormat="1" ht="21" customHeight="1" x14ac:dyDescent="0.35">
      <c r="A705" s="99">
        <v>425</v>
      </c>
      <c r="B705" s="126" t="str">
        <f t="shared" si="59"/>
        <v>RM-304L/1D-003X768</v>
      </c>
      <c r="C705" s="126" t="s">
        <v>43</v>
      </c>
      <c r="D705" s="126" t="s">
        <v>43</v>
      </c>
      <c r="E705" s="143" t="s">
        <v>2390</v>
      </c>
      <c r="F705" s="143" t="s">
        <v>2391</v>
      </c>
      <c r="G705" s="126" t="s">
        <v>230</v>
      </c>
      <c r="H705" s="126" t="s">
        <v>139</v>
      </c>
      <c r="I705" s="127">
        <v>3.18</v>
      </c>
      <c r="J705" s="127"/>
      <c r="K705" s="127"/>
      <c r="L705" s="127"/>
      <c r="M705" s="144">
        <v>768</v>
      </c>
      <c r="N705" s="129">
        <v>11.664999999999999</v>
      </c>
      <c r="O705" s="129"/>
      <c r="P705" s="129"/>
      <c r="Q705" s="130"/>
      <c r="R705" s="131"/>
      <c r="S705" s="131"/>
      <c r="T705" s="132"/>
      <c r="U705" s="132"/>
      <c r="V705" s="132"/>
      <c r="W705" s="132"/>
      <c r="X705" s="132"/>
      <c r="Y705" s="133" t="s">
        <v>1942</v>
      </c>
      <c r="Z705" s="126" t="s">
        <v>64</v>
      </c>
      <c r="AA705" s="134" t="s">
        <v>154</v>
      </c>
      <c r="AB705" s="134" t="s">
        <v>1943</v>
      </c>
      <c r="AC705" s="134"/>
      <c r="AD705" s="134">
        <v>44585</v>
      </c>
      <c r="AE705" s="134"/>
      <c r="AF705" s="134">
        <f t="shared" ca="1" si="55"/>
        <v>44963</v>
      </c>
      <c r="AG705" s="126">
        <f t="shared" ca="1" si="56"/>
        <v>378</v>
      </c>
      <c r="AH705" s="126" t="str">
        <f t="shared" si="57"/>
        <v/>
      </c>
      <c r="AI705" s="134"/>
      <c r="AJ705" s="143" t="s">
        <v>2389</v>
      </c>
      <c r="AK705" s="129">
        <v>11.664999999999999</v>
      </c>
      <c r="AL705" s="129">
        <v>11.675000000000001</v>
      </c>
      <c r="AM705" s="129">
        <v>11.7</v>
      </c>
      <c r="AN705" s="129">
        <v>11.705</v>
      </c>
      <c r="AO705" s="126" t="str">
        <f t="shared" si="58"/>
        <v/>
      </c>
      <c r="AR705" s="99" t="s">
        <v>136</v>
      </c>
    </row>
    <row r="706" spans="1:44" s="99" customFormat="1" ht="21" customHeight="1" x14ac:dyDescent="0.35">
      <c r="A706" s="99">
        <v>425</v>
      </c>
      <c r="B706" s="126" t="str">
        <f t="shared" si="59"/>
        <v>RM-304L/1D-004X769</v>
      </c>
      <c r="C706" s="126" t="s">
        <v>43</v>
      </c>
      <c r="D706" s="126" t="s">
        <v>43</v>
      </c>
      <c r="E706" s="143" t="s">
        <v>2392</v>
      </c>
      <c r="F706" s="143" t="s">
        <v>2393</v>
      </c>
      <c r="G706" s="126" t="s">
        <v>230</v>
      </c>
      <c r="H706" s="126" t="s">
        <v>139</v>
      </c>
      <c r="I706" s="127">
        <v>3.79</v>
      </c>
      <c r="J706" s="127"/>
      <c r="K706" s="127"/>
      <c r="L706" s="127"/>
      <c r="M706" s="144">
        <v>769</v>
      </c>
      <c r="N706" s="129">
        <v>10.435</v>
      </c>
      <c r="O706" s="129"/>
      <c r="P706" s="129"/>
      <c r="Q706" s="130"/>
      <c r="R706" s="131"/>
      <c r="S706" s="131"/>
      <c r="T706" s="132"/>
      <c r="U706" s="132"/>
      <c r="V706" s="132"/>
      <c r="W706" s="132"/>
      <c r="X706" s="132"/>
      <c r="Y706" s="133" t="s">
        <v>1942</v>
      </c>
      <c r="Z706" s="126" t="s">
        <v>64</v>
      </c>
      <c r="AA706" s="134" t="s">
        <v>154</v>
      </c>
      <c r="AB706" s="134" t="s">
        <v>1943</v>
      </c>
      <c r="AC706" s="134"/>
      <c r="AD706" s="134">
        <v>44585</v>
      </c>
      <c r="AE706" s="134"/>
      <c r="AF706" s="134">
        <f t="shared" ca="1" si="55"/>
        <v>44963</v>
      </c>
      <c r="AG706" s="126">
        <f t="shared" ca="1" si="56"/>
        <v>378</v>
      </c>
      <c r="AH706" s="126" t="str">
        <f t="shared" si="57"/>
        <v/>
      </c>
      <c r="AI706" s="134"/>
      <c r="AJ706" s="143" t="s">
        <v>2394</v>
      </c>
      <c r="AK706" s="129">
        <v>10.435</v>
      </c>
      <c r="AL706" s="129">
        <v>10.445</v>
      </c>
      <c r="AM706" s="129">
        <v>10.469999999999999</v>
      </c>
      <c r="AN706" s="129">
        <v>10.475</v>
      </c>
      <c r="AO706" s="126" t="str">
        <f t="shared" si="58"/>
        <v/>
      </c>
      <c r="AR706" s="99" t="s">
        <v>136</v>
      </c>
    </row>
    <row r="707" spans="1:44" s="99" customFormat="1" ht="21" customHeight="1" x14ac:dyDescent="0.35">
      <c r="A707" s="99">
        <v>425</v>
      </c>
      <c r="B707" s="126" t="str">
        <f t="shared" si="59"/>
        <v>RM-304L/1D-004X767</v>
      </c>
      <c r="C707" s="126" t="s">
        <v>43</v>
      </c>
      <c r="D707" s="126" t="s">
        <v>43</v>
      </c>
      <c r="E707" s="143" t="s">
        <v>2395</v>
      </c>
      <c r="F707" s="143" t="s">
        <v>2396</v>
      </c>
      <c r="G707" s="126" t="s">
        <v>230</v>
      </c>
      <c r="H707" s="126" t="s">
        <v>139</v>
      </c>
      <c r="I707" s="127">
        <v>3.79</v>
      </c>
      <c r="J707" s="127"/>
      <c r="K707" s="127"/>
      <c r="L707" s="127"/>
      <c r="M707" s="144">
        <v>767</v>
      </c>
      <c r="N707" s="129">
        <v>10.395</v>
      </c>
      <c r="O707" s="129"/>
      <c r="P707" s="129"/>
      <c r="Q707" s="130"/>
      <c r="R707" s="131"/>
      <c r="S707" s="131"/>
      <c r="T707" s="132"/>
      <c r="U707" s="132"/>
      <c r="V707" s="132"/>
      <c r="W707" s="132"/>
      <c r="X707" s="132"/>
      <c r="Y707" s="133" t="s">
        <v>1942</v>
      </c>
      <c r="Z707" s="126" t="s">
        <v>64</v>
      </c>
      <c r="AA707" s="134" t="s">
        <v>154</v>
      </c>
      <c r="AB707" s="134" t="s">
        <v>1943</v>
      </c>
      <c r="AC707" s="134"/>
      <c r="AD707" s="134">
        <v>44585</v>
      </c>
      <c r="AE707" s="134"/>
      <c r="AF707" s="134">
        <f t="shared" ca="1" si="55"/>
        <v>44963</v>
      </c>
      <c r="AG707" s="126">
        <f t="shared" ca="1" si="56"/>
        <v>378</v>
      </c>
      <c r="AH707" s="126" t="str">
        <f t="shared" si="57"/>
        <v/>
      </c>
      <c r="AI707" s="134"/>
      <c r="AJ707" s="143" t="s">
        <v>2394</v>
      </c>
      <c r="AK707" s="129">
        <v>10.395</v>
      </c>
      <c r="AL707" s="129">
        <v>10.404999999999999</v>
      </c>
      <c r="AM707" s="129">
        <v>10.429999999999998</v>
      </c>
      <c r="AN707" s="129">
        <v>10.434999999999999</v>
      </c>
      <c r="AO707" s="126" t="str">
        <f t="shared" si="58"/>
        <v/>
      </c>
      <c r="AR707" s="99" t="s">
        <v>136</v>
      </c>
    </row>
    <row r="708" spans="1:44" s="99" customFormat="1" ht="21" customHeight="1" x14ac:dyDescent="0.35">
      <c r="A708" s="99">
        <v>425</v>
      </c>
      <c r="B708" s="126" t="str">
        <f t="shared" si="59"/>
        <v>RM-304L/1D-004X767</v>
      </c>
      <c r="C708" s="126" t="s">
        <v>43</v>
      </c>
      <c r="D708" s="126" t="s">
        <v>43</v>
      </c>
      <c r="E708" s="143" t="s">
        <v>2397</v>
      </c>
      <c r="F708" s="143" t="s">
        <v>2398</v>
      </c>
      <c r="G708" s="126" t="s">
        <v>230</v>
      </c>
      <c r="H708" s="126" t="s">
        <v>139</v>
      </c>
      <c r="I708" s="127">
        <v>3.78</v>
      </c>
      <c r="J708" s="127"/>
      <c r="K708" s="127"/>
      <c r="L708" s="127"/>
      <c r="M708" s="144">
        <v>767</v>
      </c>
      <c r="N708" s="129">
        <v>10.315</v>
      </c>
      <c r="O708" s="129"/>
      <c r="P708" s="129"/>
      <c r="Q708" s="130"/>
      <c r="R708" s="131"/>
      <c r="S708" s="131"/>
      <c r="T708" s="132"/>
      <c r="U708" s="132"/>
      <c r="V708" s="132"/>
      <c r="W708" s="132"/>
      <c r="X708" s="132"/>
      <c r="Y708" s="133" t="s">
        <v>1942</v>
      </c>
      <c r="Z708" s="126" t="s">
        <v>64</v>
      </c>
      <c r="AA708" s="134" t="s">
        <v>154</v>
      </c>
      <c r="AB708" s="134" t="s">
        <v>1943</v>
      </c>
      <c r="AC708" s="134"/>
      <c r="AD708" s="134">
        <v>44585</v>
      </c>
      <c r="AE708" s="134"/>
      <c r="AF708" s="134">
        <f t="shared" ca="1" si="55"/>
        <v>44963</v>
      </c>
      <c r="AG708" s="126">
        <f t="shared" ca="1" si="56"/>
        <v>378</v>
      </c>
      <c r="AH708" s="126" t="str">
        <f t="shared" si="57"/>
        <v/>
      </c>
      <c r="AI708" s="134"/>
      <c r="AJ708" s="143" t="s">
        <v>2399</v>
      </c>
      <c r="AK708" s="129">
        <v>10.315</v>
      </c>
      <c r="AL708" s="129">
        <v>10.324999999999999</v>
      </c>
      <c r="AM708" s="129">
        <v>10.349999999999998</v>
      </c>
      <c r="AN708" s="129">
        <v>10.354999999999999</v>
      </c>
      <c r="AO708" s="126" t="str">
        <f t="shared" si="58"/>
        <v/>
      </c>
      <c r="AR708" s="99" t="s">
        <v>136</v>
      </c>
    </row>
    <row r="709" spans="1:44" s="99" customFormat="1" ht="21" customHeight="1" x14ac:dyDescent="0.35">
      <c r="A709" s="99">
        <v>425</v>
      </c>
      <c r="B709" s="126" t="str">
        <f t="shared" si="59"/>
        <v>RM-304L/1D-004X766</v>
      </c>
      <c r="C709" s="126" t="s">
        <v>43</v>
      </c>
      <c r="D709" s="126" t="s">
        <v>43</v>
      </c>
      <c r="E709" s="143" t="s">
        <v>2400</v>
      </c>
      <c r="F709" s="143" t="s">
        <v>2401</v>
      </c>
      <c r="G709" s="126" t="s">
        <v>230</v>
      </c>
      <c r="H709" s="126" t="s">
        <v>139</v>
      </c>
      <c r="I709" s="127">
        <v>3.79</v>
      </c>
      <c r="J709" s="127"/>
      <c r="K709" s="127"/>
      <c r="L709" s="127"/>
      <c r="M709" s="144">
        <v>766</v>
      </c>
      <c r="N709" s="129">
        <v>10.27</v>
      </c>
      <c r="O709" s="129"/>
      <c r="P709" s="129"/>
      <c r="Q709" s="130"/>
      <c r="R709" s="131"/>
      <c r="S709" s="131"/>
      <c r="T709" s="132"/>
      <c r="U709" s="132"/>
      <c r="V709" s="132"/>
      <c r="W709" s="132"/>
      <c r="X709" s="132"/>
      <c r="Y709" s="133" t="s">
        <v>1942</v>
      </c>
      <c r="Z709" s="126" t="s">
        <v>64</v>
      </c>
      <c r="AA709" s="134" t="s">
        <v>154</v>
      </c>
      <c r="AB709" s="134" t="s">
        <v>1943</v>
      </c>
      <c r="AC709" s="134"/>
      <c r="AD709" s="134">
        <v>44585</v>
      </c>
      <c r="AE709" s="134"/>
      <c r="AF709" s="134">
        <f t="shared" ref="AF709:AF757" ca="1" si="60">TODAY()</f>
        <v>44963</v>
      </c>
      <c r="AG709" s="126">
        <f t="shared" ref="AG709:AG757" ca="1" si="61">IF(AD709&lt;&gt;0,AF709-AD709,0)</f>
        <v>378</v>
      </c>
      <c r="AH709" s="126" t="str">
        <f t="shared" ref="AH709:AH757" si="62">IF(ISNUMBER(V709)=TRUE,AF709-V709,IF(V709="","",(AF709)-(MID(RIGHT(V709,10),4,2)&amp;"/"&amp;LEFT((RIGHT(V709,10)),2)&amp;"/"&amp;RIGHT(V709,4))))</f>
        <v/>
      </c>
      <c r="AI709" s="134"/>
      <c r="AJ709" s="143" t="s">
        <v>2399</v>
      </c>
      <c r="AK709" s="129">
        <v>10.27</v>
      </c>
      <c r="AL709" s="129">
        <v>10.28</v>
      </c>
      <c r="AM709" s="129">
        <v>10.304999999999998</v>
      </c>
      <c r="AN709" s="129">
        <v>10.309999999999999</v>
      </c>
      <c r="AO709" s="126" t="str">
        <f t="shared" ref="AO709:AO757" si="63">IF(ISNUMBER(U709)=TRUE,AF709-U709,IF(U709="","",(AF709)-(MID(RIGHT(U709,10),4,2)&amp;"/"&amp;LEFT((RIGHT(U709,10)),2)&amp;"/"&amp;RIGHT(U709,4))))</f>
        <v/>
      </c>
      <c r="AR709" s="99" t="s">
        <v>136</v>
      </c>
    </row>
    <row r="710" spans="1:44" s="99" customFormat="1" ht="21" customHeight="1" x14ac:dyDescent="0.35">
      <c r="A710" s="99">
        <v>425</v>
      </c>
      <c r="B710" s="126" t="str">
        <f t="shared" si="59"/>
        <v>RM-304L/1D-004X768</v>
      </c>
      <c r="C710" s="126" t="s">
        <v>43</v>
      </c>
      <c r="D710" s="126" t="s">
        <v>43</v>
      </c>
      <c r="E710" s="143" t="s">
        <v>2402</v>
      </c>
      <c r="F710" s="143" t="s">
        <v>2403</v>
      </c>
      <c r="G710" s="126" t="s">
        <v>230</v>
      </c>
      <c r="H710" s="126" t="s">
        <v>139</v>
      </c>
      <c r="I710" s="127">
        <v>3.79</v>
      </c>
      <c r="J710" s="127"/>
      <c r="K710" s="127"/>
      <c r="L710" s="127"/>
      <c r="M710" s="144">
        <v>768</v>
      </c>
      <c r="N710" s="129">
        <v>11.09</v>
      </c>
      <c r="O710" s="129"/>
      <c r="P710" s="129"/>
      <c r="Q710" s="130"/>
      <c r="R710" s="131"/>
      <c r="S710" s="131"/>
      <c r="T710" s="132"/>
      <c r="U710" s="132"/>
      <c r="V710" s="132"/>
      <c r="W710" s="132"/>
      <c r="X710" s="132"/>
      <c r="Y710" s="133" t="s">
        <v>1942</v>
      </c>
      <c r="Z710" s="126" t="s">
        <v>64</v>
      </c>
      <c r="AA710" s="134" t="s">
        <v>154</v>
      </c>
      <c r="AB710" s="134" t="s">
        <v>1943</v>
      </c>
      <c r="AC710" s="134"/>
      <c r="AD710" s="134">
        <v>44585</v>
      </c>
      <c r="AE710" s="134"/>
      <c r="AF710" s="134">
        <f t="shared" ca="1" si="60"/>
        <v>44963</v>
      </c>
      <c r="AG710" s="126">
        <f t="shared" ca="1" si="61"/>
        <v>378</v>
      </c>
      <c r="AH710" s="126" t="str">
        <f t="shared" si="62"/>
        <v/>
      </c>
      <c r="AI710" s="134"/>
      <c r="AJ710" s="143" t="s">
        <v>2404</v>
      </c>
      <c r="AK710" s="129">
        <v>11.09</v>
      </c>
      <c r="AL710" s="129">
        <v>11.1</v>
      </c>
      <c r="AM710" s="129">
        <v>11.124999999999998</v>
      </c>
      <c r="AN710" s="129">
        <v>11.129999999999999</v>
      </c>
      <c r="AO710" s="126" t="str">
        <f t="shared" si="63"/>
        <v/>
      </c>
      <c r="AR710" s="99" t="s">
        <v>136</v>
      </c>
    </row>
    <row r="711" spans="1:44" s="99" customFormat="1" ht="21" customHeight="1" x14ac:dyDescent="0.35">
      <c r="A711" s="99">
        <v>425</v>
      </c>
      <c r="B711" s="126" t="str">
        <f t="shared" si="59"/>
        <v>RM-304L/1D-004X768</v>
      </c>
      <c r="C711" s="126" t="s">
        <v>43</v>
      </c>
      <c r="D711" s="126" t="s">
        <v>43</v>
      </c>
      <c r="E711" s="143" t="s">
        <v>2405</v>
      </c>
      <c r="F711" s="143" t="s">
        <v>2406</v>
      </c>
      <c r="G711" s="126" t="s">
        <v>230</v>
      </c>
      <c r="H711" s="126" t="s">
        <v>139</v>
      </c>
      <c r="I711" s="127">
        <v>3.79</v>
      </c>
      <c r="J711" s="127"/>
      <c r="K711" s="127"/>
      <c r="L711" s="127"/>
      <c r="M711" s="144">
        <v>768</v>
      </c>
      <c r="N711" s="129">
        <v>11.08</v>
      </c>
      <c r="O711" s="129"/>
      <c r="P711" s="129"/>
      <c r="Q711" s="130"/>
      <c r="R711" s="131"/>
      <c r="S711" s="131"/>
      <c r="T711" s="132"/>
      <c r="U711" s="132"/>
      <c r="V711" s="132"/>
      <c r="W711" s="132"/>
      <c r="X711" s="132"/>
      <c r="Y711" s="133" t="s">
        <v>1942</v>
      </c>
      <c r="Z711" s="126" t="s">
        <v>64</v>
      </c>
      <c r="AA711" s="134" t="s">
        <v>154</v>
      </c>
      <c r="AB711" s="134" t="s">
        <v>1943</v>
      </c>
      <c r="AC711" s="134"/>
      <c r="AD711" s="134">
        <v>44585</v>
      </c>
      <c r="AE711" s="134"/>
      <c r="AF711" s="134">
        <f t="shared" ca="1" si="60"/>
        <v>44963</v>
      </c>
      <c r="AG711" s="126">
        <f t="shared" ca="1" si="61"/>
        <v>378</v>
      </c>
      <c r="AH711" s="126" t="str">
        <f t="shared" si="62"/>
        <v/>
      </c>
      <c r="AI711" s="134"/>
      <c r="AJ711" s="143" t="s">
        <v>2404</v>
      </c>
      <c r="AK711" s="129">
        <v>11.08</v>
      </c>
      <c r="AL711" s="129">
        <v>11.09</v>
      </c>
      <c r="AM711" s="129">
        <v>11.114999999999998</v>
      </c>
      <c r="AN711" s="129">
        <v>11.12</v>
      </c>
      <c r="AO711" s="126" t="str">
        <f t="shared" si="63"/>
        <v/>
      </c>
      <c r="AR711" s="99" t="s">
        <v>136</v>
      </c>
    </row>
    <row r="712" spans="1:44" s="99" customFormat="1" ht="21" customHeight="1" x14ac:dyDescent="0.35">
      <c r="A712" s="99">
        <v>425</v>
      </c>
      <c r="B712" s="126" t="str">
        <f t="shared" si="59"/>
        <v>RM-304/1D-004X768</v>
      </c>
      <c r="C712" s="126" t="s">
        <v>43</v>
      </c>
      <c r="D712" s="126" t="s">
        <v>43</v>
      </c>
      <c r="E712" s="143" t="s">
        <v>2407</v>
      </c>
      <c r="F712" s="143" t="s">
        <v>2408</v>
      </c>
      <c r="G712" s="126">
        <v>304</v>
      </c>
      <c r="H712" s="126" t="s">
        <v>139</v>
      </c>
      <c r="I712" s="127">
        <v>3.77</v>
      </c>
      <c r="J712" s="127"/>
      <c r="K712" s="127"/>
      <c r="L712" s="127"/>
      <c r="M712" s="144">
        <v>768</v>
      </c>
      <c r="N712" s="129">
        <v>10.475</v>
      </c>
      <c r="O712" s="129"/>
      <c r="P712" s="129"/>
      <c r="Q712" s="130"/>
      <c r="R712" s="131"/>
      <c r="S712" s="131"/>
      <c r="T712" s="132"/>
      <c r="U712" s="132"/>
      <c r="V712" s="132"/>
      <c r="W712" s="132"/>
      <c r="X712" s="132"/>
      <c r="Y712" s="133" t="s">
        <v>1942</v>
      </c>
      <c r="Z712" s="126" t="s">
        <v>64</v>
      </c>
      <c r="AA712" s="134" t="s">
        <v>154</v>
      </c>
      <c r="AB712" s="134" t="s">
        <v>1943</v>
      </c>
      <c r="AC712" s="134"/>
      <c r="AD712" s="134">
        <v>44585</v>
      </c>
      <c r="AE712" s="134"/>
      <c r="AF712" s="134">
        <f t="shared" ca="1" si="60"/>
        <v>44963</v>
      </c>
      <c r="AG712" s="126">
        <f t="shared" ca="1" si="61"/>
        <v>378</v>
      </c>
      <c r="AH712" s="126" t="str">
        <f t="shared" si="62"/>
        <v/>
      </c>
      <c r="AI712" s="134"/>
      <c r="AJ712" s="143" t="s">
        <v>2409</v>
      </c>
      <c r="AK712" s="129">
        <v>10.475</v>
      </c>
      <c r="AL712" s="129">
        <v>10.484999999999999</v>
      </c>
      <c r="AM712" s="129">
        <v>10.509999999999998</v>
      </c>
      <c r="AN712" s="129">
        <v>10.514999999999999</v>
      </c>
      <c r="AO712" s="126" t="str">
        <f t="shared" si="63"/>
        <v/>
      </c>
      <c r="AR712" s="99" t="s">
        <v>136</v>
      </c>
    </row>
    <row r="713" spans="1:44" s="99" customFormat="1" ht="21" customHeight="1" x14ac:dyDescent="0.35">
      <c r="A713" s="99">
        <v>425</v>
      </c>
      <c r="B713" s="126" t="str">
        <f t="shared" si="59"/>
        <v>RM-304/1D-004X766</v>
      </c>
      <c r="C713" s="126" t="s">
        <v>43</v>
      </c>
      <c r="D713" s="126" t="s">
        <v>43</v>
      </c>
      <c r="E713" s="143" t="s">
        <v>2410</v>
      </c>
      <c r="F713" s="143" t="s">
        <v>2411</v>
      </c>
      <c r="G713" s="126">
        <v>304</v>
      </c>
      <c r="H713" s="126" t="s">
        <v>139</v>
      </c>
      <c r="I713" s="127">
        <v>3.77</v>
      </c>
      <c r="J713" s="127"/>
      <c r="K713" s="127"/>
      <c r="L713" s="127"/>
      <c r="M713" s="144">
        <v>766</v>
      </c>
      <c r="N713" s="129">
        <v>10.41</v>
      </c>
      <c r="O713" s="129"/>
      <c r="P713" s="129"/>
      <c r="Q713" s="130"/>
      <c r="R713" s="131"/>
      <c r="S713" s="131"/>
      <c r="T713" s="132"/>
      <c r="U713" s="132"/>
      <c r="V713" s="132"/>
      <c r="W713" s="132"/>
      <c r="X713" s="132"/>
      <c r="Y713" s="133" t="s">
        <v>1942</v>
      </c>
      <c r="Z713" s="126" t="s">
        <v>64</v>
      </c>
      <c r="AA713" s="134" t="s">
        <v>154</v>
      </c>
      <c r="AB713" s="134" t="s">
        <v>1943</v>
      </c>
      <c r="AC713" s="134"/>
      <c r="AD713" s="134">
        <v>44585</v>
      </c>
      <c r="AE713" s="134"/>
      <c r="AF713" s="134">
        <f t="shared" ca="1" si="60"/>
        <v>44963</v>
      </c>
      <c r="AG713" s="126">
        <f t="shared" ca="1" si="61"/>
        <v>378</v>
      </c>
      <c r="AH713" s="126" t="str">
        <f t="shared" si="62"/>
        <v/>
      </c>
      <c r="AI713" s="134"/>
      <c r="AJ713" s="143" t="s">
        <v>2409</v>
      </c>
      <c r="AK713" s="129">
        <v>10.41</v>
      </c>
      <c r="AL713" s="129">
        <v>10.42</v>
      </c>
      <c r="AM713" s="129">
        <v>10.444999999999999</v>
      </c>
      <c r="AN713" s="129">
        <v>10.45</v>
      </c>
      <c r="AO713" s="126" t="str">
        <f t="shared" si="63"/>
        <v/>
      </c>
      <c r="AR713" s="99" t="s">
        <v>136</v>
      </c>
    </row>
    <row r="714" spans="1:44" s="99" customFormat="1" ht="21" customHeight="1" x14ac:dyDescent="0.35">
      <c r="A714" s="99">
        <v>425</v>
      </c>
      <c r="B714" s="126" t="str">
        <f t="shared" si="59"/>
        <v>RM-304L/1D-003X769</v>
      </c>
      <c r="C714" s="126" t="s">
        <v>43</v>
      </c>
      <c r="D714" s="126" t="s">
        <v>43</v>
      </c>
      <c r="E714" s="143" t="s">
        <v>2412</v>
      </c>
      <c r="F714" s="143" t="s">
        <v>2413</v>
      </c>
      <c r="G714" s="126" t="s">
        <v>230</v>
      </c>
      <c r="H714" s="126" t="s">
        <v>139</v>
      </c>
      <c r="I714" s="127">
        <v>3.18</v>
      </c>
      <c r="J714" s="127"/>
      <c r="K714" s="127"/>
      <c r="L714" s="127"/>
      <c r="M714" s="144">
        <v>769</v>
      </c>
      <c r="N714" s="129">
        <v>12.105</v>
      </c>
      <c r="O714" s="129"/>
      <c r="P714" s="129"/>
      <c r="Q714" s="130"/>
      <c r="R714" s="131"/>
      <c r="S714" s="131"/>
      <c r="T714" s="132"/>
      <c r="U714" s="132"/>
      <c r="V714" s="132"/>
      <c r="W714" s="132"/>
      <c r="X714" s="132"/>
      <c r="Y714" s="133" t="s">
        <v>1942</v>
      </c>
      <c r="Z714" s="126" t="s">
        <v>64</v>
      </c>
      <c r="AA714" s="134" t="s">
        <v>154</v>
      </c>
      <c r="AB714" s="134" t="s">
        <v>1943</v>
      </c>
      <c r="AC714" s="134"/>
      <c r="AD714" s="134">
        <v>44585</v>
      </c>
      <c r="AE714" s="134"/>
      <c r="AF714" s="134">
        <f t="shared" ca="1" si="60"/>
        <v>44963</v>
      </c>
      <c r="AG714" s="126">
        <f t="shared" ca="1" si="61"/>
        <v>378</v>
      </c>
      <c r="AH714" s="126" t="str">
        <f t="shared" si="62"/>
        <v/>
      </c>
      <c r="AI714" s="134"/>
      <c r="AJ714" s="143" t="s">
        <v>2414</v>
      </c>
      <c r="AK714" s="129">
        <v>12.105</v>
      </c>
      <c r="AL714" s="129">
        <v>12.115</v>
      </c>
      <c r="AM714" s="129">
        <v>12.139999999999999</v>
      </c>
      <c r="AN714" s="129">
        <v>12.145</v>
      </c>
      <c r="AO714" s="126" t="str">
        <f t="shared" si="63"/>
        <v/>
      </c>
      <c r="AR714" s="99" t="s">
        <v>136</v>
      </c>
    </row>
    <row r="715" spans="1:44" s="99" customFormat="1" ht="21" customHeight="1" x14ac:dyDescent="0.35">
      <c r="A715" s="99">
        <v>425</v>
      </c>
      <c r="B715" s="126" t="str">
        <f t="shared" si="59"/>
        <v>RM-304L/1D-003X768</v>
      </c>
      <c r="C715" s="126" t="s">
        <v>43</v>
      </c>
      <c r="D715" s="126" t="s">
        <v>43</v>
      </c>
      <c r="E715" s="143" t="s">
        <v>2415</v>
      </c>
      <c r="F715" s="143" t="s">
        <v>2416</v>
      </c>
      <c r="G715" s="126" t="s">
        <v>230</v>
      </c>
      <c r="H715" s="126" t="s">
        <v>139</v>
      </c>
      <c r="I715" s="127">
        <v>3.18</v>
      </c>
      <c r="J715" s="127"/>
      <c r="K715" s="127"/>
      <c r="L715" s="127"/>
      <c r="M715" s="144">
        <v>768</v>
      </c>
      <c r="N715" s="129">
        <v>12.065</v>
      </c>
      <c r="O715" s="129"/>
      <c r="P715" s="129"/>
      <c r="Q715" s="130"/>
      <c r="R715" s="131"/>
      <c r="S715" s="131"/>
      <c r="T715" s="132"/>
      <c r="U715" s="132"/>
      <c r="V715" s="132"/>
      <c r="W715" s="132"/>
      <c r="X715" s="132"/>
      <c r="Y715" s="133" t="s">
        <v>1942</v>
      </c>
      <c r="Z715" s="126" t="s">
        <v>64</v>
      </c>
      <c r="AA715" s="134" t="s">
        <v>154</v>
      </c>
      <c r="AB715" s="134" t="s">
        <v>1943</v>
      </c>
      <c r="AC715" s="134"/>
      <c r="AD715" s="134">
        <v>44585</v>
      </c>
      <c r="AE715" s="134"/>
      <c r="AF715" s="134">
        <f t="shared" ca="1" si="60"/>
        <v>44963</v>
      </c>
      <c r="AG715" s="126">
        <f t="shared" ca="1" si="61"/>
        <v>378</v>
      </c>
      <c r="AH715" s="126" t="str">
        <f t="shared" si="62"/>
        <v/>
      </c>
      <c r="AI715" s="134"/>
      <c r="AJ715" s="143" t="s">
        <v>2414</v>
      </c>
      <c r="AK715" s="129">
        <v>12.065</v>
      </c>
      <c r="AL715" s="129">
        <v>12.074999999999999</v>
      </c>
      <c r="AM715" s="129">
        <v>12.099999999999998</v>
      </c>
      <c r="AN715" s="129">
        <v>12.104999999999999</v>
      </c>
      <c r="AO715" s="126" t="str">
        <f t="shared" si="63"/>
        <v/>
      </c>
      <c r="AR715" s="99" t="s">
        <v>136</v>
      </c>
    </row>
    <row r="716" spans="1:44" s="99" customFormat="1" ht="21" customHeight="1" x14ac:dyDescent="0.35">
      <c r="A716" s="99">
        <v>425</v>
      </c>
      <c r="B716" s="126" t="str">
        <f t="shared" si="59"/>
        <v>RM-304L/1D-004X767</v>
      </c>
      <c r="C716" s="126" t="s">
        <v>43</v>
      </c>
      <c r="D716" s="126" t="s">
        <v>43</v>
      </c>
      <c r="E716" s="143" t="s">
        <v>2417</v>
      </c>
      <c r="F716" s="143" t="s">
        <v>2418</v>
      </c>
      <c r="G716" s="126" t="s">
        <v>230</v>
      </c>
      <c r="H716" s="126" t="s">
        <v>139</v>
      </c>
      <c r="I716" s="127">
        <v>3.79</v>
      </c>
      <c r="J716" s="127"/>
      <c r="K716" s="127"/>
      <c r="L716" s="127"/>
      <c r="M716" s="144">
        <v>767</v>
      </c>
      <c r="N716" s="129">
        <v>11.984999999999999</v>
      </c>
      <c r="O716" s="129"/>
      <c r="P716" s="129"/>
      <c r="Q716" s="130"/>
      <c r="R716" s="131"/>
      <c r="S716" s="131"/>
      <c r="T716" s="132"/>
      <c r="U716" s="132"/>
      <c r="V716" s="132"/>
      <c r="W716" s="132"/>
      <c r="X716" s="132"/>
      <c r="Y716" s="133" t="s">
        <v>1942</v>
      </c>
      <c r="Z716" s="126" t="s">
        <v>64</v>
      </c>
      <c r="AA716" s="134" t="s">
        <v>154</v>
      </c>
      <c r="AB716" s="134" t="s">
        <v>1943</v>
      </c>
      <c r="AC716" s="134"/>
      <c r="AD716" s="134">
        <v>44585</v>
      </c>
      <c r="AE716" s="134"/>
      <c r="AF716" s="134">
        <f t="shared" ca="1" si="60"/>
        <v>44963</v>
      </c>
      <c r="AG716" s="126">
        <f t="shared" ca="1" si="61"/>
        <v>378</v>
      </c>
      <c r="AH716" s="126" t="str">
        <f t="shared" si="62"/>
        <v/>
      </c>
      <c r="AI716" s="134"/>
      <c r="AJ716" s="143" t="s">
        <v>2419</v>
      </c>
      <c r="AK716" s="129">
        <v>11.984999999999999</v>
      </c>
      <c r="AL716" s="129">
        <v>11.994999999999999</v>
      </c>
      <c r="AM716" s="129">
        <v>12.019999999999998</v>
      </c>
      <c r="AN716" s="129">
        <v>12.024999999999999</v>
      </c>
      <c r="AO716" s="126" t="str">
        <f t="shared" si="63"/>
        <v/>
      </c>
      <c r="AR716" s="99" t="s">
        <v>136</v>
      </c>
    </row>
    <row r="717" spans="1:44" s="99" customFormat="1" ht="21" customHeight="1" x14ac:dyDescent="0.35">
      <c r="A717" s="99">
        <v>425</v>
      </c>
      <c r="B717" s="126" t="str">
        <f t="shared" si="59"/>
        <v>RM-304L/1D-004X767</v>
      </c>
      <c r="C717" s="126" t="s">
        <v>43</v>
      </c>
      <c r="D717" s="126" t="s">
        <v>43</v>
      </c>
      <c r="E717" s="143" t="s">
        <v>2420</v>
      </c>
      <c r="F717" s="143" t="s">
        <v>2421</v>
      </c>
      <c r="G717" s="126" t="s">
        <v>230</v>
      </c>
      <c r="H717" s="126" t="s">
        <v>139</v>
      </c>
      <c r="I717" s="127">
        <v>3.79</v>
      </c>
      <c r="J717" s="127"/>
      <c r="K717" s="127"/>
      <c r="L717" s="127"/>
      <c r="M717" s="144">
        <v>767</v>
      </c>
      <c r="N717" s="129">
        <v>11.984999999999999</v>
      </c>
      <c r="O717" s="129"/>
      <c r="P717" s="129"/>
      <c r="Q717" s="130"/>
      <c r="R717" s="131"/>
      <c r="S717" s="131"/>
      <c r="T717" s="132"/>
      <c r="U717" s="132"/>
      <c r="V717" s="132"/>
      <c r="W717" s="132"/>
      <c r="X717" s="132"/>
      <c r="Y717" s="133" t="s">
        <v>1942</v>
      </c>
      <c r="Z717" s="126" t="s">
        <v>64</v>
      </c>
      <c r="AA717" s="134" t="s">
        <v>154</v>
      </c>
      <c r="AB717" s="134" t="s">
        <v>1943</v>
      </c>
      <c r="AC717" s="134"/>
      <c r="AD717" s="134">
        <v>44585</v>
      </c>
      <c r="AE717" s="134"/>
      <c r="AF717" s="134">
        <f t="shared" ca="1" si="60"/>
        <v>44963</v>
      </c>
      <c r="AG717" s="126">
        <f t="shared" ca="1" si="61"/>
        <v>378</v>
      </c>
      <c r="AH717" s="126" t="str">
        <f t="shared" si="62"/>
        <v/>
      </c>
      <c r="AI717" s="134"/>
      <c r="AJ717" s="143" t="s">
        <v>2419</v>
      </c>
      <c r="AK717" s="129">
        <v>11.984999999999999</v>
      </c>
      <c r="AL717" s="129">
        <v>11.994999999999999</v>
      </c>
      <c r="AM717" s="129">
        <v>12.019999999999998</v>
      </c>
      <c r="AN717" s="129">
        <v>12.024999999999999</v>
      </c>
      <c r="AO717" s="126" t="str">
        <f t="shared" si="63"/>
        <v/>
      </c>
      <c r="AR717" s="99" t="s">
        <v>136</v>
      </c>
    </row>
    <row r="718" spans="1:44" s="99" customFormat="1" ht="21" customHeight="1" x14ac:dyDescent="0.35">
      <c r="A718" s="99">
        <v>425</v>
      </c>
      <c r="B718" s="126" t="str">
        <f t="shared" si="59"/>
        <v>RM-304L/1D-004X767</v>
      </c>
      <c r="C718" s="126" t="s">
        <v>43</v>
      </c>
      <c r="D718" s="126" t="s">
        <v>43</v>
      </c>
      <c r="E718" s="143" t="s">
        <v>2422</v>
      </c>
      <c r="F718" s="143" t="s">
        <v>2423</v>
      </c>
      <c r="G718" s="126" t="s">
        <v>230</v>
      </c>
      <c r="H718" s="126" t="s">
        <v>139</v>
      </c>
      <c r="I718" s="127">
        <v>3.77</v>
      </c>
      <c r="J718" s="127"/>
      <c r="K718" s="127"/>
      <c r="L718" s="127"/>
      <c r="M718" s="144">
        <v>767</v>
      </c>
      <c r="N718" s="129">
        <v>10.395</v>
      </c>
      <c r="O718" s="129"/>
      <c r="P718" s="129"/>
      <c r="Q718" s="130"/>
      <c r="R718" s="131"/>
      <c r="S718" s="131"/>
      <c r="T718" s="132"/>
      <c r="U718" s="132"/>
      <c r="V718" s="132"/>
      <c r="W718" s="132"/>
      <c r="X718" s="132"/>
      <c r="Y718" s="133" t="s">
        <v>1942</v>
      </c>
      <c r="Z718" s="126" t="s">
        <v>64</v>
      </c>
      <c r="AA718" s="134" t="s">
        <v>154</v>
      </c>
      <c r="AB718" s="134" t="s">
        <v>1943</v>
      </c>
      <c r="AC718" s="134"/>
      <c r="AD718" s="134">
        <v>44585</v>
      </c>
      <c r="AE718" s="134"/>
      <c r="AF718" s="134">
        <f t="shared" ca="1" si="60"/>
        <v>44963</v>
      </c>
      <c r="AG718" s="126">
        <f t="shared" ca="1" si="61"/>
        <v>378</v>
      </c>
      <c r="AH718" s="126" t="str">
        <f t="shared" si="62"/>
        <v/>
      </c>
      <c r="AI718" s="134"/>
      <c r="AJ718" s="143" t="s">
        <v>2424</v>
      </c>
      <c r="AK718" s="129">
        <v>10.395</v>
      </c>
      <c r="AL718" s="129">
        <v>10.404999999999999</v>
      </c>
      <c r="AM718" s="129">
        <v>10.429999999999998</v>
      </c>
      <c r="AN718" s="129">
        <v>10.434999999999999</v>
      </c>
      <c r="AO718" s="126" t="str">
        <f t="shared" si="63"/>
        <v/>
      </c>
      <c r="AR718" s="99" t="s">
        <v>136</v>
      </c>
    </row>
    <row r="719" spans="1:44" s="99" customFormat="1" ht="21" customHeight="1" x14ac:dyDescent="0.35">
      <c r="A719" s="99">
        <v>425</v>
      </c>
      <c r="B719" s="126" t="str">
        <f t="shared" si="59"/>
        <v>RM-304L/1D-004X766</v>
      </c>
      <c r="C719" s="126" t="s">
        <v>43</v>
      </c>
      <c r="D719" s="126" t="s">
        <v>43</v>
      </c>
      <c r="E719" s="143" t="s">
        <v>2425</v>
      </c>
      <c r="F719" s="143" t="s">
        <v>2426</v>
      </c>
      <c r="G719" s="126" t="s">
        <v>230</v>
      </c>
      <c r="H719" s="126" t="s">
        <v>139</v>
      </c>
      <c r="I719" s="127">
        <v>3.77</v>
      </c>
      <c r="J719" s="127"/>
      <c r="K719" s="127"/>
      <c r="L719" s="127"/>
      <c r="M719" s="144">
        <v>766</v>
      </c>
      <c r="N719" s="129">
        <v>10.41</v>
      </c>
      <c r="O719" s="129"/>
      <c r="P719" s="129"/>
      <c r="Q719" s="130"/>
      <c r="R719" s="131"/>
      <c r="S719" s="131"/>
      <c r="T719" s="132"/>
      <c r="U719" s="132"/>
      <c r="V719" s="132"/>
      <c r="W719" s="132"/>
      <c r="X719" s="132"/>
      <c r="Y719" s="133" t="s">
        <v>1942</v>
      </c>
      <c r="Z719" s="126" t="s">
        <v>64</v>
      </c>
      <c r="AA719" s="134" t="s">
        <v>154</v>
      </c>
      <c r="AB719" s="134" t="s">
        <v>1943</v>
      </c>
      <c r="AC719" s="134"/>
      <c r="AD719" s="134">
        <v>44585</v>
      </c>
      <c r="AE719" s="134"/>
      <c r="AF719" s="134">
        <f t="shared" ca="1" si="60"/>
        <v>44963</v>
      </c>
      <c r="AG719" s="126">
        <f t="shared" ca="1" si="61"/>
        <v>378</v>
      </c>
      <c r="AH719" s="126" t="str">
        <f t="shared" si="62"/>
        <v/>
      </c>
      <c r="AI719" s="134"/>
      <c r="AJ719" s="143" t="s">
        <v>2424</v>
      </c>
      <c r="AK719" s="129">
        <v>10.41</v>
      </c>
      <c r="AL719" s="129">
        <v>10.42</v>
      </c>
      <c r="AM719" s="129">
        <v>10.444999999999999</v>
      </c>
      <c r="AN719" s="129">
        <v>10.45</v>
      </c>
      <c r="AO719" s="126" t="str">
        <f t="shared" si="63"/>
        <v/>
      </c>
      <c r="AR719" s="99" t="s">
        <v>136</v>
      </c>
    </row>
    <row r="720" spans="1:44" s="99" customFormat="1" ht="21" customHeight="1" x14ac:dyDescent="0.35">
      <c r="A720" s="99">
        <v>425</v>
      </c>
      <c r="B720" s="126" t="str">
        <f t="shared" si="59"/>
        <v>RM-304L/1D-004X767</v>
      </c>
      <c r="C720" s="126" t="s">
        <v>43</v>
      </c>
      <c r="D720" s="126" t="s">
        <v>43</v>
      </c>
      <c r="E720" s="143" t="s">
        <v>2427</v>
      </c>
      <c r="F720" s="143" t="s">
        <v>2428</v>
      </c>
      <c r="G720" s="126" t="s">
        <v>230</v>
      </c>
      <c r="H720" s="126" t="s">
        <v>139</v>
      </c>
      <c r="I720" s="127">
        <v>3.8</v>
      </c>
      <c r="J720" s="127"/>
      <c r="K720" s="127"/>
      <c r="L720" s="127"/>
      <c r="M720" s="144">
        <v>767</v>
      </c>
      <c r="N720" s="129">
        <v>11.97</v>
      </c>
      <c r="O720" s="129"/>
      <c r="P720" s="129"/>
      <c r="Q720" s="130"/>
      <c r="R720" s="131"/>
      <c r="S720" s="131"/>
      <c r="T720" s="132"/>
      <c r="U720" s="132"/>
      <c r="V720" s="132"/>
      <c r="W720" s="132"/>
      <c r="X720" s="132"/>
      <c r="Y720" s="133" t="s">
        <v>1942</v>
      </c>
      <c r="Z720" s="126" t="s">
        <v>64</v>
      </c>
      <c r="AA720" s="134" t="s">
        <v>154</v>
      </c>
      <c r="AB720" s="134" t="s">
        <v>1943</v>
      </c>
      <c r="AC720" s="134"/>
      <c r="AD720" s="134">
        <v>44585</v>
      </c>
      <c r="AE720" s="134"/>
      <c r="AF720" s="134">
        <f t="shared" ca="1" si="60"/>
        <v>44963</v>
      </c>
      <c r="AG720" s="126">
        <f t="shared" ca="1" si="61"/>
        <v>378</v>
      </c>
      <c r="AH720" s="126" t="str">
        <f t="shared" si="62"/>
        <v/>
      </c>
      <c r="AI720" s="134"/>
      <c r="AJ720" s="143" t="s">
        <v>2429</v>
      </c>
      <c r="AK720" s="129">
        <v>11.97</v>
      </c>
      <c r="AL720" s="129">
        <v>11.98</v>
      </c>
      <c r="AM720" s="129">
        <v>12.004999999999999</v>
      </c>
      <c r="AN720" s="129">
        <v>12.01</v>
      </c>
      <c r="AO720" s="126" t="str">
        <f t="shared" si="63"/>
        <v/>
      </c>
      <c r="AR720" s="99" t="s">
        <v>136</v>
      </c>
    </row>
    <row r="721" spans="1:44" s="99" customFormat="1" ht="21" customHeight="1" x14ac:dyDescent="0.35">
      <c r="A721" s="99">
        <v>425</v>
      </c>
      <c r="B721" s="126" t="str">
        <f t="shared" si="59"/>
        <v>RM-304L/1D-004X767</v>
      </c>
      <c r="C721" s="126" t="s">
        <v>43</v>
      </c>
      <c r="D721" s="126" t="s">
        <v>43</v>
      </c>
      <c r="E721" s="143" t="s">
        <v>2430</v>
      </c>
      <c r="F721" s="143" t="s">
        <v>2431</v>
      </c>
      <c r="G721" s="126" t="s">
        <v>230</v>
      </c>
      <c r="H721" s="126" t="s">
        <v>139</v>
      </c>
      <c r="I721" s="127">
        <v>3.79</v>
      </c>
      <c r="J721" s="127"/>
      <c r="K721" s="127"/>
      <c r="L721" s="127"/>
      <c r="M721" s="144">
        <v>767</v>
      </c>
      <c r="N721" s="129">
        <v>11.984999999999999</v>
      </c>
      <c r="O721" s="129"/>
      <c r="P721" s="129"/>
      <c r="Q721" s="130"/>
      <c r="R721" s="131"/>
      <c r="S721" s="131"/>
      <c r="T721" s="132"/>
      <c r="U721" s="132"/>
      <c r="V721" s="132"/>
      <c r="W721" s="132"/>
      <c r="X721" s="132"/>
      <c r="Y721" s="133" t="s">
        <v>1942</v>
      </c>
      <c r="Z721" s="126" t="s">
        <v>64</v>
      </c>
      <c r="AA721" s="134" t="s">
        <v>154</v>
      </c>
      <c r="AB721" s="134" t="s">
        <v>1943</v>
      </c>
      <c r="AC721" s="134"/>
      <c r="AD721" s="134">
        <v>44585</v>
      </c>
      <c r="AE721" s="134"/>
      <c r="AF721" s="134">
        <f t="shared" ca="1" si="60"/>
        <v>44963</v>
      </c>
      <c r="AG721" s="126">
        <f t="shared" ca="1" si="61"/>
        <v>378</v>
      </c>
      <c r="AH721" s="126" t="str">
        <f t="shared" si="62"/>
        <v/>
      </c>
      <c r="AI721" s="134"/>
      <c r="AJ721" s="143" t="s">
        <v>2429</v>
      </c>
      <c r="AK721" s="129">
        <v>11.984999999999999</v>
      </c>
      <c r="AL721" s="129">
        <v>11.994999999999999</v>
      </c>
      <c r="AM721" s="129">
        <v>12.019999999999998</v>
      </c>
      <c r="AN721" s="129">
        <v>12.024999999999999</v>
      </c>
      <c r="AO721" s="126" t="str">
        <f t="shared" si="63"/>
        <v/>
      </c>
      <c r="AR721" s="99" t="s">
        <v>136</v>
      </c>
    </row>
    <row r="722" spans="1:44" s="99" customFormat="1" ht="21" customHeight="1" x14ac:dyDescent="0.35">
      <c r="A722" s="99">
        <v>425</v>
      </c>
      <c r="B722" s="126" t="str">
        <f t="shared" si="59"/>
        <v>RM-304L/1D-004X767</v>
      </c>
      <c r="C722" s="126" t="s">
        <v>43</v>
      </c>
      <c r="D722" s="126" t="s">
        <v>43</v>
      </c>
      <c r="E722" s="143" t="s">
        <v>2432</v>
      </c>
      <c r="F722" s="143" t="s">
        <v>2433</v>
      </c>
      <c r="G722" s="126" t="s">
        <v>230</v>
      </c>
      <c r="H722" s="126" t="s">
        <v>139</v>
      </c>
      <c r="I722" s="127">
        <v>3.77</v>
      </c>
      <c r="J722" s="127"/>
      <c r="K722" s="127"/>
      <c r="L722" s="127"/>
      <c r="M722" s="144">
        <v>767</v>
      </c>
      <c r="N722" s="129">
        <v>11.91</v>
      </c>
      <c r="O722" s="129"/>
      <c r="P722" s="129"/>
      <c r="Q722" s="130"/>
      <c r="R722" s="131"/>
      <c r="S722" s="131"/>
      <c r="T722" s="132"/>
      <c r="U722" s="132"/>
      <c r="V722" s="132"/>
      <c r="W722" s="132"/>
      <c r="X722" s="132"/>
      <c r="Y722" s="133" t="s">
        <v>1942</v>
      </c>
      <c r="Z722" s="126" t="s">
        <v>64</v>
      </c>
      <c r="AA722" s="134" t="s">
        <v>154</v>
      </c>
      <c r="AB722" s="134" t="s">
        <v>1943</v>
      </c>
      <c r="AC722" s="134"/>
      <c r="AD722" s="134">
        <v>44585</v>
      </c>
      <c r="AE722" s="134"/>
      <c r="AF722" s="134">
        <f t="shared" ca="1" si="60"/>
        <v>44963</v>
      </c>
      <c r="AG722" s="126">
        <f t="shared" ca="1" si="61"/>
        <v>378</v>
      </c>
      <c r="AH722" s="126" t="str">
        <f t="shared" si="62"/>
        <v/>
      </c>
      <c r="AI722" s="134"/>
      <c r="AJ722" s="143" t="s">
        <v>2434</v>
      </c>
      <c r="AK722" s="129">
        <v>11.91</v>
      </c>
      <c r="AL722" s="129">
        <v>11.92</v>
      </c>
      <c r="AM722" s="129">
        <v>11.944999999999999</v>
      </c>
      <c r="AN722" s="129">
        <v>11.95</v>
      </c>
      <c r="AO722" s="126" t="str">
        <f t="shared" si="63"/>
        <v/>
      </c>
      <c r="AR722" s="99" t="s">
        <v>136</v>
      </c>
    </row>
    <row r="723" spans="1:44" s="99" customFormat="1" ht="21" customHeight="1" x14ac:dyDescent="0.35">
      <c r="A723" s="99">
        <v>425</v>
      </c>
      <c r="B723" s="126" t="str">
        <f t="shared" si="59"/>
        <v>RM-304L/1D-004X766</v>
      </c>
      <c r="C723" s="126" t="s">
        <v>43</v>
      </c>
      <c r="D723" s="126" t="s">
        <v>43</v>
      </c>
      <c r="E723" s="143" t="s">
        <v>2435</v>
      </c>
      <c r="F723" s="143" t="s">
        <v>2436</v>
      </c>
      <c r="G723" s="126" t="s">
        <v>230</v>
      </c>
      <c r="H723" s="126" t="s">
        <v>139</v>
      </c>
      <c r="I723" s="127">
        <v>3.77</v>
      </c>
      <c r="J723" s="127"/>
      <c r="K723" s="127"/>
      <c r="L723" s="127"/>
      <c r="M723" s="144">
        <v>766</v>
      </c>
      <c r="N723" s="129">
        <v>11.89</v>
      </c>
      <c r="O723" s="129"/>
      <c r="P723" s="129"/>
      <c r="Q723" s="130"/>
      <c r="R723" s="131"/>
      <c r="S723" s="131"/>
      <c r="T723" s="132"/>
      <c r="U723" s="132"/>
      <c r="V723" s="132"/>
      <c r="W723" s="132"/>
      <c r="X723" s="132"/>
      <c r="Y723" s="133" t="s">
        <v>1942</v>
      </c>
      <c r="Z723" s="126" t="s">
        <v>64</v>
      </c>
      <c r="AA723" s="134" t="s">
        <v>154</v>
      </c>
      <c r="AB723" s="134" t="s">
        <v>1943</v>
      </c>
      <c r="AC723" s="134"/>
      <c r="AD723" s="134">
        <v>44585</v>
      </c>
      <c r="AE723" s="134"/>
      <c r="AF723" s="134">
        <f t="shared" ca="1" si="60"/>
        <v>44963</v>
      </c>
      <c r="AG723" s="126">
        <f t="shared" ca="1" si="61"/>
        <v>378</v>
      </c>
      <c r="AH723" s="126" t="str">
        <f t="shared" si="62"/>
        <v/>
      </c>
      <c r="AI723" s="134"/>
      <c r="AJ723" s="143" t="s">
        <v>2434</v>
      </c>
      <c r="AK723" s="129">
        <v>11.89</v>
      </c>
      <c r="AL723" s="129">
        <v>11.9</v>
      </c>
      <c r="AM723" s="129">
        <v>11.924999999999999</v>
      </c>
      <c r="AN723" s="129">
        <v>11.93</v>
      </c>
      <c r="AO723" s="126" t="str">
        <f t="shared" si="63"/>
        <v/>
      </c>
      <c r="AR723" s="99" t="s">
        <v>136</v>
      </c>
    </row>
    <row r="724" spans="1:44" s="99" customFormat="1" ht="21" customHeight="1" x14ac:dyDescent="0.35">
      <c r="A724" s="99">
        <v>425</v>
      </c>
      <c r="B724" s="126" t="str">
        <f t="shared" si="59"/>
        <v>RM-304L/1D-003X769</v>
      </c>
      <c r="C724" s="126" t="s">
        <v>43</v>
      </c>
      <c r="D724" s="126" t="s">
        <v>43</v>
      </c>
      <c r="E724" s="143" t="s">
        <v>2437</v>
      </c>
      <c r="F724" s="143" t="s">
        <v>2438</v>
      </c>
      <c r="G724" s="126" t="s">
        <v>230</v>
      </c>
      <c r="H724" s="126" t="s">
        <v>139</v>
      </c>
      <c r="I724" s="127">
        <v>3.49</v>
      </c>
      <c r="J724" s="127"/>
      <c r="K724" s="127"/>
      <c r="L724" s="127"/>
      <c r="M724" s="144">
        <v>769</v>
      </c>
      <c r="N724" s="129">
        <v>12.17</v>
      </c>
      <c r="O724" s="129"/>
      <c r="P724" s="129"/>
      <c r="Q724" s="130"/>
      <c r="R724" s="131"/>
      <c r="S724" s="131"/>
      <c r="T724" s="132"/>
      <c r="U724" s="132"/>
      <c r="V724" s="132"/>
      <c r="W724" s="132"/>
      <c r="X724" s="132"/>
      <c r="Y724" s="133" t="s">
        <v>1942</v>
      </c>
      <c r="Z724" s="126" t="s">
        <v>64</v>
      </c>
      <c r="AA724" s="134" t="s">
        <v>154</v>
      </c>
      <c r="AB724" s="134" t="s">
        <v>1943</v>
      </c>
      <c r="AC724" s="134"/>
      <c r="AD724" s="134">
        <v>44585</v>
      </c>
      <c r="AE724" s="134"/>
      <c r="AF724" s="134">
        <f t="shared" ca="1" si="60"/>
        <v>44963</v>
      </c>
      <c r="AG724" s="126">
        <f t="shared" ca="1" si="61"/>
        <v>378</v>
      </c>
      <c r="AH724" s="126" t="str">
        <f t="shared" si="62"/>
        <v/>
      </c>
      <c r="AI724" s="134"/>
      <c r="AJ724" s="143" t="s">
        <v>2439</v>
      </c>
      <c r="AK724" s="129">
        <v>12.17</v>
      </c>
      <c r="AL724" s="129">
        <v>12.18</v>
      </c>
      <c r="AM724" s="129">
        <v>12.204999999999998</v>
      </c>
      <c r="AN724" s="129">
        <v>12.209999999999999</v>
      </c>
      <c r="AO724" s="126" t="str">
        <f t="shared" si="63"/>
        <v/>
      </c>
      <c r="AR724" s="99" t="s">
        <v>136</v>
      </c>
    </row>
    <row r="725" spans="1:44" s="99" customFormat="1" ht="21" customHeight="1" x14ac:dyDescent="0.35">
      <c r="A725" s="99">
        <v>425</v>
      </c>
      <c r="B725" s="126" t="str">
        <f t="shared" si="59"/>
        <v>RM-304L/1D-003X768</v>
      </c>
      <c r="C725" s="126" t="s">
        <v>43</v>
      </c>
      <c r="D725" s="126" t="s">
        <v>43</v>
      </c>
      <c r="E725" s="143" t="s">
        <v>2440</v>
      </c>
      <c r="F725" s="143" t="s">
        <v>2441</v>
      </c>
      <c r="G725" s="126" t="s">
        <v>230</v>
      </c>
      <c r="H725" s="126" t="s">
        <v>139</v>
      </c>
      <c r="I725" s="127">
        <v>3.48</v>
      </c>
      <c r="J725" s="127"/>
      <c r="K725" s="127"/>
      <c r="L725" s="127"/>
      <c r="M725" s="144">
        <v>768</v>
      </c>
      <c r="N725" s="129">
        <v>12.135</v>
      </c>
      <c r="O725" s="129"/>
      <c r="P725" s="129"/>
      <c r="Q725" s="130"/>
      <c r="R725" s="131"/>
      <c r="S725" s="131"/>
      <c r="T725" s="132"/>
      <c r="U725" s="132"/>
      <c r="V725" s="132"/>
      <c r="W725" s="132"/>
      <c r="X725" s="132"/>
      <c r="Y725" s="133" t="s">
        <v>1942</v>
      </c>
      <c r="Z725" s="126" t="s">
        <v>64</v>
      </c>
      <c r="AA725" s="134" t="s">
        <v>154</v>
      </c>
      <c r="AB725" s="134" t="s">
        <v>1943</v>
      </c>
      <c r="AC725" s="134"/>
      <c r="AD725" s="134">
        <v>44585</v>
      </c>
      <c r="AE725" s="134"/>
      <c r="AF725" s="134">
        <f t="shared" ca="1" si="60"/>
        <v>44963</v>
      </c>
      <c r="AG725" s="126">
        <f t="shared" ca="1" si="61"/>
        <v>378</v>
      </c>
      <c r="AH725" s="126" t="str">
        <f t="shared" si="62"/>
        <v/>
      </c>
      <c r="AI725" s="134"/>
      <c r="AJ725" s="143" t="s">
        <v>2439</v>
      </c>
      <c r="AK725" s="129">
        <v>12.135</v>
      </c>
      <c r="AL725" s="129">
        <v>12.145</v>
      </c>
      <c r="AM725" s="129">
        <v>12.169999999999998</v>
      </c>
      <c r="AN725" s="129">
        <v>12.174999999999999</v>
      </c>
      <c r="AO725" s="126" t="str">
        <f t="shared" si="63"/>
        <v/>
      </c>
      <c r="AR725" s="99" t="s">
        <v>136</v>
      </c>
    </row>
    <row r="726" spans="1:44" s="99" customFormat="1" ht="21" customHeight="1" x14ac:dyDescent="0.35">
      <c r="A726" s="99">
        <v>425</v>
      </c>
      <c r="B726" s="126" t="str">
        <f t="shared" si="59"/>
        <v>RM-304L/1D-004X767</v>
      </c>
      <c r="C726" s="126" t="s">
        <v>43</v>
      </c>
      <c r="D726" s="126" t="s">
        <v>43</v>
      </c>
      <c r="E726" s="143" t="s">
        <v>2442</v>
      </c>
      <c r="F726" s="143" t="s">
        <v>2443</v>
      </c>
      <c r="G726" s="126" t="s">
        <v>230</v>
      </c>
      <c r="H726" s="126" t="s">
        <v>139</v>
      </c>
      <c r="I726" s="127">
        <v>3.78</v>
      </c>
      <c r="J726" s="127"/>
      <c r="K726" s="127"/>
      <c r="L726" s="127"/>
      <c r="M726" s="144">
        <v>767</v>
      </c>
      <c r="N726" s="129">
        <v>12.125</v>
      </c>
      <c r="O726" s="129"/>
      <c r="P726" s="129"/>
      <c r="Q726" s="130"/>
      <c r="R726" s="131"/>
      <c r="S726" s="131"/>
      <c r="T726" s="132"/>
      <c r="U726" s="132"/>
      <c r="V726" s="132"/>
      <c r="W726" s="132"/>
      <c r="X726" s="132"/>
      <c r="Y726" s="133" t="s">
        <v>1942</v>
      </c>
      <c r="Z726" s="126" t="s">
        <v>64</v>
      </c>
      <c r="AA726" s="134" t="s">
        <v>154</v>
      </c>
      <c r="AB726" s="134" t="s">
        <v>1943</v>
      </c>
      <c r="AC726" s="134"/>
      <c r="AD726" s="134">
        <v>44585</v>
      </c>
      <c r="AE726" s="134"/>
      <c r="AF726" s="134">
        <f t="shared" ca="1" si="60"/>
        <v>44963</v>
      </c>
      <c r="AG726" s="126">
        <f t="shared" ca="1" si="61"/>
        <v>378</v>
      </c>
      <c r="AH726" s="126" t="str">
        <f t="shared" si="62"/>
        <v/>
      </c>
      <c r="AI726" s="134"/>
      <c r="AJ726" s="143" t="s">
        <v>2444</v>
      </c>
      <c r="AK726" s="129">
        <v>12.125</v>
      </c>
      <c r="AL726" s="129">
        <v>12.135</v>
      </c>
      <c r="AM726" s="129">
        <v>12.159999999999998</v>
      </c>
      <c r="AN726" s="129">
        <v>12.164999999999999</v>
      </c>
      <c r="AO726" s="126" t="str">
        <f t="shared" si="63"/>
        <v/>
      </c>
      <c r="AR726" s="99" t="s">
        <v>136</v>
      </c>
    </row>
    <row r="727" spans="1:44" s="99" customFormat="1" ht="21" customHeight="1" x14ac:dyDescent="0.35">
      <c r="A727" s="99">
        <v>425</v>
      </c>
      <c r="B727" s="126" t="str">
        <f t="shared" si="59"/>
        <v>RM-304L/1D-004X768</v>
      </c>
      <c r="C727" s="126" t="s">
        <v>43</v>
      </c>
      <c r="D727" s="126" t="s">
        <v>43</v>
      </c>
      <c r="E727" s="143" t="s">
        <v>2445</v>
      </c>
      <c r="F727" s="143" t="s">
        <v>2446</v>
      </c>
      <c r="G727" s="126" t="s">
        <v>230</v>
      </c>
      <c r="H727" s="126" t="s">
        <v>139</v>
      </c>
      <c r="I727" s="127">
        <v>3.77</v>
      </c>
      <c r="J727" s="127"/>
      <c r="K727" s="127"/>
      <c r="L727" s="127"/>
      <c r="M727" s="144">
        <v>768</v>
      </c>
      <c r="N727" s="129">
        <v>12.11</v>
      </c>
      <c r="O727" s="129"/>
      <c r="P727" s="129"/>
      <c r="Q727" s="130"/>
      <c r="R727" s="131"/>
      <c r="S727" s="131"/>
      <c r="T727" s="132"/>
      <c r="U727" s="132"/>
      <c r="V727" s="132"/>
      <c r="W727" s="132"/>
      <c r="X727" s="132"/>
      <c r="Y727" s="133" t="s">
        <v>1942</v>
      </c>
      <c r="Z727" s="126" t="s">
        <v>64</v>
      </c>
      <c r="AA727" s="134" t="s">
        <v>154</v>
      </c>
      <c r="AB727" s="134" t="s">
        <v>1943</v>
      </c>
      <c r="AC727" s="134"/>
      <c r="AD727" s="134">
        <v>44585</v>
      </c>
      <c r="AE727" s="134"/>
      <c r="AF727" s="134">
        <f t="shared" ca="1" si="60"/>
        <v>44963</v>
      </c>
      <c r="AG727" s="126">
        <f t="shared" ca="1" si="61"/>
        <v>378</v>
      </c>
      <c r="AH727" s="126" t="str">
        <f t="shared" si="62"/>
        <v/>
      </c>
      <c r="AI727" s="134"/>
      <c r="AJ727" s="143" t="s">
        <v>2444</v>
      </c>
      <c r="AK727" s="129">
        <v>12.11</v>
      </c>
      <c r="AL727" s="129">
        <v>12.12</v>
      </c>
      <c r="AM727" s="129">
        <v>12.144999999999998</v>
      </c>
      <c r="AN727" s="129">
        <v>12.149999999999999</v>
      </c>
      <c r="AO727" s="126" t="str">
        <f t="shared" si="63"/>
        <v/>
      </c>
      <c r="AR727" s="99" t="s">
        <v>136</v>
      </c>
    </row>
    <row r="728" spans="1:44" s="99" customFormat="1" ht="21" customHeight="1" x14ac:dyDescent="0.35">
      <c r="A728" s="99">
        <v>425</v>
      </c>
      <c r="B728" s="126" t="str">
        <f t="shared" si="59"/>
        <v>RM-304L/1D-003X767</v>
      </c>
      <c r="C728" s="126" t="s">
        <v>43</v>
      </c>
      <c r="D728" s="126" t="s">
        <v>43</v>
      </c>
      <c r="E728" s="143" t="s">
        <v>2447</v>
      </c>
      <c r="F728" s="143" t="s">
        <v>2448</v>
      </c>
      <c r="G728" s="126" t="s">
        <v>230</v>
      </c>
      <c r="H728" s="126" t="s">
        <v>139</v>
      </c>
      <c r="I728" s="127">
        <v>3.19</v>
      </c>
      <c r="J728" s="127"/>
      <c r="K728" s="127"/>
      <c r="L728" s="127"/>
      <c r="M728" s="144">
        <v>767</v>
      </c>
      <c r="N728" s="129">
        <v>12.205</v>
      </c>
      <c r="O728" s="129"/>
      <c r="P728" s="129"/>
      <c r="Q728" s="130"/>
      <c r="R728" s="131"/>
      <c r="S728" s="131"/>
      <c r="T728" s="132"/>
      <c r="U728" s="132"/>
      <c r="V728" s="132"/>
      <c r="W728" s="132"/>
      <c r="X728" s="132"/>
      <c r="Y728" s="133" t="s">
        <v>1942</v>
      </c>
      <c r="Z728" s="126" t="s">
        <v>64</v>
      </c>
      <c r="AA728" s="134" t="s">
        <v>154</v>
      </c>
      <c r="AB728" s="134" t="s">
        <v>1943</v>
      </c>
      <c r="AC728" s="134"/>
      <c r="AD728" s="134">
        <v>44585</v>
      </c>
      <c r="AE728" s="134"/>
      <c r="AF728" s="134">
        <f t="shared" ca="1" si="60"/>
        <v>44963</v>
      </c>
      <c r="AG728" s="126">
        <f t="shared" ca="1" si="61"/>
        <v>378</v>
      </c>
      <c r="AH728" s="126" t="str">
        <f t="shared" si="62"/>
        <v/>
      </c>
      <c r="AI728" s="134"/>
      <c r="AJ728" s="143" t="s">
        <v>2449</v>
      </c>
      <c r="AK728" s="129">
        <v>12.205</v>
      </c>
      <c r="AL728" s="129">
        <v>12.215</v>
      </c>
      <c r="AM728" s="129">
        <v>12.239999999999998</v>
      </c>
      <c r="AN728" s="129">
        <v>12.244999999999999</v>
      </c>
      <c r="AO728" s="126" t="str">
        <f t="shared" si="63"/>
        <v/>
      </c>
      <c r="AR728" s="99" t="s">
        <v>136</v>
      </c>
    </row>
    <row r="729" spans="1:44" s="99" customFormat="1" ht="21" customHeight="1" x14ac:dyDescent="0.35">
      <c r="A729" s="99">
        <v>425</v>
      </c>
      <c r="B729" s="126" t="str">
        <f t="shared" si="59"/>
        <v>RM-304L/1D-003X768</v>
      </c>
      <c r="C729" s="126" t="s">
        <v>43</v>
      </c>
      <c r="D729" s="126" t="s">
        <v>43</v>
      </c>
      <c r="E729" s="143" t="s">
        <v>2450</v>
      </c>
      <c r="F729" s="143" t="s">
        <v>2451</v>
      </c>
      <c r="G729" s="126" t="s">
        <v>230</v>
      </c>
      <c r="H729" s="126" t="s">
        <v>139</v>
      </c>
      <c r="I729" s="127">
        <v>3.19</v>
      </c>
      <c r="J729" s="127"/>
      <c r="K729" s="127"/>
      <c r="L729" s="127"/>
      <c r="M729" s="144">
        <v>768</v>
      </c>
      <c r="N729" s="129">
        <v>12.2</v>
      </c>
      <c r="O729" s="129"/>
      <c r="P729" s="129"/>
      <c r="Q729" s="130"/>
      <c r="R729" s="131"/>
      <c r="S729" s="131"/>
      <c r="T729" s="132"/>
      <c r="U729" s="132"/>
      <c r="V729" s="132"/>
      <c r="W729" s="132"/>
      <c r="X729" s="132"/>
      <c r="Y729" s="133" t="s">
        <v>1942</v>
      </c>
      <c r="Z729" s="126" t="s">
        <v>64</v>
      </c>
      <c r="AA729" s="134" t="s">
        <v>154</v>
      </c>
      <c r="AB729" s="134" t="s">
        <v>1943</v>
      </c>
      <c r="AC729" s="134"/>
      <c r="AD729" s="134">
        <v>44585</v>
      </c>
      <c r="AE729" s="134"/>
      <c r="AF729" s="134">
        <f t="shared" ca="1" si="60"/>
        <v>44963</v>
      </c>
      <c r="AG729" s="126">
        <f t="shared" ca="1" si="61"/>
        <v>378</v>
      </c>
      <c r="AH729" s="126" t="str">
        <f t="shared" si="62"/>
        <v/>
      </c>
      <c r="AI729" s="134"/>
      <c r="AJ729" s="143" t="s">
        <v>2449</v>
      </c>
      <c r="AK729" s="129">
        <v>12.2</v>
      </c>
      <c r="AL729" s="129">
        <v>12.21</v>
      </c>
      <c r="AM729" s="129">
        <v>12.234999999999999</v>
      </c>
      <c r="AN729" s="129">
        <v>12.24</v>
      </c>
      <c r="AO729" s="126" t="str">
        <f t="shared" si="63"/>
        <v/>
      </c>
      <c r="AR729" s="99" t="s">
        <v>136</v>
      </c>
    </row>
    <row r="730" spans="1:44" s="99" customFormat="1" ht="21" customHeight="1" x14ac:dyDescent="0.35">
      <c r="A730" s="99">
        <v>425</v>
      </c>
      <c r="B730" s="126" t="str">
        <f t="shared" si="59"/>
        <v>RM-304L/1D-004X768</v>
      </c>
      <c r="C730" s="126" t="s">
        <v>43</v>
      </c>
      <c r="D730" s="126" t="s">
        <v>43</v>
      </c>
      <c r="E730" s="143" t="s">
        <v>2452</v>
      </c>
      <c r="F730" s="143" t="s">
        <v>2453</v>
      </c>
      <c r="G730" s="126" t="s">
        <v>230</v>
      </c>
      <c r="H730" s="126" t="s">
        <v>139</v>
      </c>
      <c r="I730" s="127">
        <v>3.5</v>
      </c>
      <c r="J730" s="127"/>
      <c r="K730" s="127"/>
      <c r="L730" s="127"/>
      <c r="M730" s="144">
        <v>768</v>
      </c>
      <c r="N730" s="129">
        <v>12.16</v>
      </c>
      <c r="O730" s="129"/>
      <c r="P730" s="129"/>
      <c r="Q730" s="130"/>
      <c r="R730" s="131"/>
      <c r="S730" s="131"/>
      <c r="T730" s="132"/>
      <c r="U730" s="132"/>
      <c r="V730" s="132"/>
      <c r="W730" s="132"/>
      <c r="X730" s="132"/>
      <c r="Y730" s="133" t="s">
        <v>1942</v>
      </c>
      <c r="Z730" s="126" t="s">
        <v>64</v>
      </c>
      <c r="AA730" s="134" t="s">
        <v>154</v>
      </c>
      <c r="AB730" s="134" t="s">
        <v>1943</v>
      </c>
      <c r="AC730" s="134"/>
      <c r="AD730" s="134">
        <v>44585</v>
      </c>
      <c r="AE730" s="134"/>
      <c r="AF730" s="134">
        <f t="shared" ca="1" si="60"/>
        <v>44963</v>
      </c>
      <c r="AG730" s="126">
        <f t="shared" ca="1" si="61"/>
        <v>378</v>
      </c>
      <c r="AH730" s="126" t="str">
        <f t="shared" si="62"/>
        <v/>
      </c>
      <c r="AI730" s="134"/>
      <c r="AJ730" s="143" t="s">
        <v>2454</v>
      </c>
      <c r="AK730" s="129">
        <v>12.16</v>
      </c>
      <c r="AL730" s="129">
        <v>12.17</v>
      </c>
      <c r="AM730" s="129">
        <v>12.194999999999999</v>
      </c>
      <c r="AN730" s="129">
        <v>12.2</v>
      </c>
      <c r="AO730" s="126" t="str">
        <f t="shared" si="63"/>
        <v/>
      </c>
      <c r="AR730" s="99" t="s">
        <v>136</v>
      </c>
    </row>
    <row r="731" spans="1:44" s="99" customFormat="1" ht="21" customHeight="1" x14ac:dyDescent="0.35">
      <c r="A731" s="99">
        <v>425</v>
      </c>
      <c r="B731" s="126" t="str">
        <f t="shared" si="59"/>
        <v>RM-304L/1D-003X768</v>
      </c>
      <c r="C731" s="126" t="s">
        <v>43</v>
      </c>
      <c r="D731" s="126" t="s">
        <v>43</v>
      </c>
      <c r="E731" s="143" t="s">
        <v>2455</v>
      </c>
      <c r="F731" s="143" t="s">
        <v>2456</v>
      </c>
      <c r="G731" s="126" t="s">
        <v>230</v>
      </c>
      <c r="H731" s="126" t="s">
        <v>139</v>
      </c>
      <c r="I731" s="127">
        <v>3.49</v>
      </c>
      <c r="J731" s="127"/>
      <c r="K731" s="127"/>
      <c r="L731" s="127"/>
      <c r="M731" s="144">
        <v>768</v>
      </c>
      <c r="N731" s="129">
        <v>12.154999999999999</v>
      </c>
      <c r="O731" s="129"/>
      <c r="P731" s="129"/>
      <c r="Q731" s="130"/>
      <c r="R731" s="131"/>
      <c r="S731" s="131"/>
      <c r="T731" s="132"/>
      <c r="U731" s="132"/>
      <c r="V731" s="132"/>
      <c r="W731" s="132"/>
      <c r="X731" s="132"/>
      <c r="Y731" s="133" t="s">
        <v>1942</v>
      </c>
      <c r="Z731" s="126" t="s">
        <v>64</v>
      </c>
      <c r="AA731" s="134" t="s">
        <v>154</v>
      </c>
      <c r="AB731" s="134" t="s">
        <v>1943</v>
      </c>
      <c r="AC731" s="134"/>
      <c r="AD731" s="134">
        <v>44585</v>
      </c>
      <c r="AE731" s="134"/>
      <c r="AF731" s="134">
        <f t="shared" ca="1" si="60"/>
        <v>44963</v>
      </c>
      <c r="AG731" s="126">
        <f t="shared" ca="1" si="61"/>
        <v>378</v>
      </c>
      <c r="AH731" s="126" t="str">
        <f t="shared" si="62"/>
        <v/>
      </c>
      <c r="AI731" s="134"/>
      <c r="AJ731" s="143" t="s">
        <v>2454</v>
      </c>
      <c r="AK731" s="129">
        <v>12.154999999999999</v>
      </c>
      <c r="AL731" s="129">
        <v>12.164999999999999</v>
      </c>
      <c r="AM731" s="129">
        <v>12.189999999999998</v>
      </c>
      <c r="AN731" s="129">
        <v>12.194999999999999</v>
      </c>
      <c r="AO731" s="126" t="str">
        <f t="shared" si="63"/>
        <v/>
      </c>
      <c r="AR731" s="99" t="s">
        <v>136</v>
      </c>
    </row>
    <row r="732" spans="1:44" s="99" customFormat="1" ht="21" customHeight="1" x14ac:dyDescent="0.35">
      <c r="A732" s="99">
        <v>425</v>
      </c>
      <c r="B732" s="126" t="str">
        <f t="shared" si="59"/>
        <v>RM-304L/1D-003X769</v>
      </c>
      <c r="C732" s="126" t="s">
        <v>43</v>
      </c>
      <c r="D732" s="126" t="s">
        <v>43</v>
      </c>
      <c r="E732" s="143" t="s">
        <v>2457</v>
      </c>
      <c r="F732" s="143" t="s">
        <v>2458</v>
      </c>
      <c r="G732" s="126" t="s">
        <v>230</v>
      </c>
      <c r="H732" s="126" t="s">
        <v>139</v>
      </c>
      <c r="I732" s="127">
        <v>3.21</v>
      </c>
      <c r="J732" s="127"/>
      <c r="K732" s="127"/>
      <c r="L732" s="127"/>
      <c r="M732" s="144">
        <v>769</v>
      </c>
      <c r="N732" s="129">
        <v>12.145</v>
      </c>
      <c r="O732" s="129"/>
      <c r="P732" s="129"/>
      <c r="Q732" s="130"/>
      <c r="R732" s="131"/>
      <c r="S732" s="131"/>
      <c r="T732" s="132"/>
      <c r="U732" s="132"/>
      <c r="V732" s="132"/>
      <c r="W732" s="132"/>
      <c r="X732" s="132"/>
      <c r="Y732" s="133" t="s">
        <v>1942</v>
      </c>
      <c r="Z732" s="126" t="s">
        <v>64</v>
      </c>
      <c r="AA732" s="134" t="s">
        <v>154</v>
      </c>
      <c r="AB732" s="134" t="s">
        <v>1943</v>
      </c>
      <c r="AC732" s="134"/>
      <c r="AD732" s="134">
        <v>44585</v>
      </c>
      <c r="AE732" s="134"/>
      <c r="AF732" s="134">
        <f t="shared" ca="1" si="60"/>
        <v>44963</v>
      </c>
      <c r="AG732" s="126">
        <f t="shared" ca="1" si="61"/>
        <v>378</v>
      </c>
      <c r="AH732" s="126" t="str">
        <f t="shared" si="62"/>
        <v/>
      </c>
      <c r="AI732" s="134"/>
      <c r="AJ732" s="143" t="s">
        <v>2459</v>
      </c>
      <c r="AK732" s="129">
        <v>12.145</v>
      </c>
      <c r="AL732" s="129">
        <v>12.154999999999999</v>
      </c>
      <c r="AM732" s="129">
        <v>12.179999999999998</v>
      </c>
      <c r="AN732" s="129">
        <v>12.184999999999999</v>
      </c>
      <c r="AO732" s="126" t="str">
        <f t="shared" si="63"/>
        <v/>
      </c>
      <c r="AR732" s="99" t="s">
        <v>136</v>
      </c>
    </row>
    <row r="733" spans="1:44" s="99" customFormat="1" ht="21" customHeight="1" x14ac:dyDescent="0.35">
      <c r="A733" s="99">
        <v>425</v>
      </c>
      <c r="B733" s="126" t="str">
        <f t="shared" si="59"/>
        <v>RM-304L/1D-003X767</v>
      </c>
      <c r="C733" s="126" t="s">
        <v>43</v>
      </c>
      <c r="D733" s="126" t="s">
        <v>43</v>
      </c>
      <c r="E733" s="143" t="s">
        <v>2460</v>
      </c>
      <c r="F733" s="143" t="s">
        <v>2461</v>
      </c>
      <c r="G733" s="126" t="s">
        <v>230</v>
      </c>
      <c r="H733" s="126" t="s">
        <v>139</v>
      </c>
      <c r="I733" s="127">
        <v>3.21</v>
      </c>
      <c r="J733" s="127"/>
      <c r="K733" s="127"/>
      <c r="L733" s="127"/>
      <c r="M733" s="144">
        <v>767</v>
      </c>
      <c r="N733" s="129">
        <v>12.145</v>
      </c>
      <c r="O733" s="129"/>
      <c r="P733" s="129"/>
      <c r="Q733" s="130"/>
      <c r="R733" s="131"/>
      <c r="S733" s="131"/>
      <c r="T733" s="132"/>
      <c r="U733" s="132"/>
      <c r="V733" s="132"/>
      <c r="W733" s="132"/>
      <c r="X733" s="132"/>
      <c r="Y733" s="133" t="s">
        <v>1942</v>
      </c>
      <c r="Z733" s="126" t="s">
        <v>64</v>
      </c>
      <c r="AA733" s="134" t="s">
        <v>154</v>
      </c>
      <c r="AB733" s="134" t="s">
        <v>1943</v>
      </c>
      <c r="AC733" s="134"/>
      <c r="AD733" s="134">
        <v>44585</v>
      </c>
      <c r="AE733" s="134"/>
      <c r="AF733" s="134">
        <f t="shared" ca="1" si="60"/>
        <v>44963</v>
      </c>
      <c r="AG733" s="126">
        <f t="shared" ca="1" si="61"/>
        <v>378</v>
      </c>
      <c r="AH733" s="126" t="str">
        <f t="shared" si="62"/>
        <v/>
      </c>
      <c r="AI733" s="134"/>
      <c r="AJ733" s="143" t="s">
        <v>2459</v>
      </c>
      <c r="AK733" s="129">
        <v>12.145</v>
      </c>
      <c r="AL733" s="129">
        <v>12.154999999999999</v>
      </c>
      <c r="AM733" s="129">
        <v>12.179999999999998</v>
      </c>
      <c r="AN733" s="129">
        <v>12.184999999999999</v>
      </c>
      <c r="AO733" s="126" t="str">
        <f t="shared" si="63"/>
        <v/>
      </c>
      <c r="AR733" s="99" t="s">
        <v>136</v>
      </c>
    </row>
    <row r="734" spans="1:44" s="99" customFormat="1" ht="21" customHeight="1" x14ac:dyDescent="0.35">
      <c r="A734" s="99">
        <v>425</v>
      </c>
      <c r="B734" s="126" t="str">
        <f t="shared" si="59"/>
        <v>RM-304/1D-004X770</v>
      </c>
      <c r="C734" s="126" t="s">
        <v>43</v>
      </c>
      <c r="D734" s="126" t="s">
        <v>43</v>
      </c>
      <c r="E734" s="143" t="s">
        <v>2462</v>
      </c>
      <c r="F734" s="143" t="s">
        <v>2463</v>
      </c>
      <c r="G734" s="126">
        <v>304</v>
      </c>
      <c r="H734" s="126" t="s">
        <v>139</v>
      </c>
      <c r="I734" s="127">
        <v>3.8</v>
      </c>
      <c r="J734" s="127"/>
      <c r="K734" s="127"/>
      <c r="L734" s="127"/>
      <c r="M734" s="144">
        <v>770</v>
      </c>
      <c r="N734" s="129">
        <v>10.43</v>
      </c>
      <c r="O734" s="129"/>
      <c r="P734" s="129"/>
      <c r="Q734" s="130"/>
      <c r="R734" s="131"/>
      <c r="S734" s="131"/>
      <c r="T734" s="132"/>
      <c r="U734" s="132"/>
      <c r="V734" s="132"/>
      <c r="W734" s="132"/>
      <c r="X734" s="132"/>
      <c r="Y734" s="133" t="s">
        <v>1942</v>
      </c>
      <c r="Z734" s="126" t="s">
        <v>64</v>
      </c>
      <c r="AA734" s="134" t="s">
        <v>154</v>
      </c>
      <c r="AB734" s="134" t="s">
        <v>1943</v>
      </c>
      <c r="AC734" s="134"/>
      <c r="AD734" s="134">
        <v>44585</v>
      </c>
      <c r="AE734" s="134"/>
      <c r="AF734" s="134">
        <f t="shared" ca="1" si="60"/>
        <v>44963</v>
      </c>
      <c r="AG734" s="126">
        <f t="shared" ca="1" si="61"/>
        <v>378</v>
      </c>
      <c r="AH734" s="126" t="str">
        <f t="shared" si="62"/>
        <v/>
      </c>
      <c r="AI734" s="134"/>
      <c r="AJ734" s="143" t="s">
        <v>2464</v>
      </c>
      <c r="AK734" s="129">
        <v>10.43</v>
      </c>
      <c r="AL734" s="129">
        <v>10.44</v>
      </c>
      <c r="AM734" s="129">
        <v>10.464999999999998</v>
      </c>
      <c r="AN734" s="129">
        <v>10.469999999999999</v>
      </c>
      <c r="AO734" s="126" t="str">
        <f t="shared" si="63"/>
        <v/>
      </c>
      <c r="AR734" s="99" t="s">
        <v>136</v>
      </c>
    </row>
    <row r="735" spans="1:44" s="99" customFormat="1" ht="21" customHeight="1" x14ac:dyDescent="0.35">
      <c r="A735" s="99">
        <v>425</v>
      </c>
      <c r="B735" s="126" t="str">
        <f t="shared" si="59"/>
        <v>RM-304/1D-004X771</v>
      </c>
      <c r="C735" s="126" t="s">
        <v>43</v>
      </c>
      <c r="D735" s="126" t="s">
        <v>43</v>
      </c>
      <c r="E735" s="143" t="s">
        <v>2465</v>
      </c>
      <c r="F735" s="143" t="s">
        <v>2466</v>
      </c>
      <c r="G735" s="126">
        <v>304</v>
      </c>
      <c r="H735" s="126" t="s">
        <v>139</v>
      </c>
      <c r="I735" s="127">
        <v>3.8</v>
      </c>
      <c r="J735" s="127"/>
      <c r="K735" s="127"/>
      <c r="L735" s="127"/>
      <c r="M735" s="144">
        <v>771</v>
      </c>
      <c r="N735" s="129">
        <v>10.414999999999999</v>
      </c>
      <c r="O735" s="129"/>
      <c r="P735" s="129"/>
      <c r="Q735" s="130"/>
      <c r="R735" s="131"/>
      <c r="S735" s="131"/>
      <c r="T735" s="132"/>
      <c r="U735" s="132"/>
      <c r="V735" s="132"/>
      <c r="W735" s="132"/>
      <c r="X735" s="132"/>
      <c r="Y735" s="133" t="s">
        <v>1942</v>
      </c>
      <c r="Z735" s="126" t="s">
        <v>64</v>
      </c>
      <c r="AA735" s="134" t="s">
        <v>154</v>
      </c>
      <c r="AB735" s="134" t="s">
        <v>1943</v>
      </c>
      <c r="AC735" s="134"/>
      <c r="AD735" s="134">
        <v>44585</v>
      </c>
      <c r="AE735" s="134"/>
      <c r="AF735" s="134">
        <f t="shared" ca="1" si="60"/>
        <v>44963</v>
      </c>
      <c r="AG735" s="126">
        <f t="shared" ca="1" si="61"/>
        <v>378</v>
      </c>
      <c r="AH735" s="126" t="str">
        <f t="shared" si="62"/>
        <v/>
      </c>
      <c r="AI735" s="134"/>
      <c r="AJ735" s="143" t="s">
        <v>2464</v>
      </c>
      <c r="AK735" s="129">
        <v>10.414999999999999</v>
      </c>
      <c r="AL735" s="129">
        <v>10.425000000000001</v>
      </c>
      <c r="AM735" s="129">
        <v>10.45</v>
      </c>
      <c r="AN735" s="129">
        <v>10.455</v>
      </c>
      <c r="AO735" s="126" t="str">
        <f t="shared" si="63"/>
        <v/>
      </c>
      <c r="AR735" s="99" t="s">
        <v>136</v>
      </c>
    </row>
    <row r="736" spans="1:44" s="99" customFormat="1" ht="21" customHeight="1" x14ac:dyDescent="0.35">
      <c r="A736" s="99">
        <v>425</v>
      </c>
      <c r="B736" s="126" t="str">
        <f t="shared" si="59"/>
        <v>RM-304L/1D-004X769</v>
      </c>
      <c r="C736" s="126" t="s">
        <v>43</v>
      </c>
      <c r="D736" s="126" t="s">
        <v>43</v>
      </c>
      <c r="E736" s="143" t="s">
        <v>2467</v>
      </c>
      <c r="F736" s="143" t="s">
        <v>2468</v>
      </c>
      <c r="G736" s="126" t="s">
        <v>230</v>
      </c>
      <c r="H736" s="126" t="s">
        <v>139</v>
      </c>
      <c r="I736" s="127">
        <v>3.8</v>
      </c>
      <c r="J736" s="127"/>
      <c r="K736" s="127"/>
      <c r="L736" s="127"/>
      <c r="M736" s="144">
        <v>769</v>
      </c>
      <c r="N736" s="129">
        <v>12.06</v>
      </c>
      <c r="O736" s="129"/>
      <c r="P736" s="129"/>
      <c r="Q736" s="130"/>
      <c r="R736" s="131"/>
      <c r="S736" s="131"/>
      <c r="T736" s="132"/>
      <c r="U736" s="132"/>
      <c r="V736" s="132"/>
      <c r="W736" s="132"/>
      <c r="X736" s="132"/>
      <c r="Y736" s="133" t="s">
        <v>1942</v>
      </c>
      <c r="Z736" s="126" t="s">
        <v>64</v>
      </c>
      <c r="AA736" s="134" t="s">
        <v>154</v>
      </c>
      <c r="AB736" s="134" t="s">
        <v>1943</v>
      </c>
      <c r="AC736" s="134"/>
      <c r="AD736" s="134">
        <v>44585</v>
      </c>
      <c r="AE736" s="134"/>
      <c r="AF736" s="134">
        <f t="shared" ca="1" si="60"/>
        <v>44963</v>
      </c>
      <c r="AG736" s="126">
        <f t="shared" ca="1" si="61"/>
        <v>378</v>
      </c>
      <c r="AH736" s="126" t="str">
        <f t="shared" si="62"/>
        <v/>
      </c>
      <c r="AI736" s="134"/>
      <c r="AJ736" s="143" t="s">
        <v>2469</v>
      </c>
      <c r="AK736" s="129">
        <v>12.06</v>
      </c>
      <c r="AL736" s="129">
        <v>12.07</v>
      </c>
      <c r="AM736" s="129">
        <v>12.094999999999999</v>
      </c>
      <c r="AN736" s="129">
        <v>12.1</v>
      </c>
      <c r="AO736" s="126" t="str">
        <f t="shared" si="63"/>
        <v/>
      </c>
      <c r="AR736" s="99" t="s">
        <v>136</v>
      </c>
    </row>
    <row r="737" spans="1:44" s="99" customFormat="1" ht="21" customHeight="1" x14ac:dyDescent="0.35">
      <c r="A737" s="99">
        <v>425</v>
      </c>
      <c r="B737" s="126" t="str">
        <f t="shared" si="59"/>
        <v>RM-304L/1D-004X769</v>
      </c>
      <c r="C737" s="126" t="s">
        <v>43</v>
      </c>
      <c r="D737" s="126" t="s">
        <v>43</v>
      </c>
      <c r="E737" s="143" t="s">
        <v>2470</v>
      </c>
      <c r="F737" s="143" t="s">
        <v>2471</v>
      </c>
      <c r="G737" s="126" t="s">
        <v>230</v>
      </c>
      <c r="H737" s="126" t="s">
        <v>139</v>
      </c>
      <c r="I737" s="127">
        <v>3.79</v>
      </c>
      <c r="J737" s="127"/>
      <c r="K737" s="127"/>
      <c r="L737" s="127"/>
      <c r="M737" s="144">
        <v>769</v>
      </c>
      <c r="N737" s="129">
        <v>12.085000000000001</v>
      </c>
      <c r="O737" s="129"/>
      <c r="P737" s="129"/>
      <c r="Q737" s="130"/>
      <c r="R737" s="131"/>
      <c r="S737" s="131"/>
      <c r="T737" s="132"/>
      <c r="U737" s="132"/>
      <c r="V737" s="132"/>
      <c r="W737" s="132"/>
      <c r="X737" s="132"/>
      <c r="Y737" s="133" t="s">
        <v>1942</v>
      </c>
      <c r="Z737" s="126" t="s">
        <v>64</v>
      </c>
      <c r="AA737" s="134" t="s">
        <v>154</v>
      </c>
      <c r="AB737" s="134" t="s">
        <v>1943</v>
      </c>
      <c r="AC737" s="134"/>
      <c r="AD737" s="134">
        <v>44585</v>
      </c>
      <c r="AE737" s="134"/>
      <c r="AF737" s="134">
        <f t="shared" ca="1" si="60"/>
        <v>44963</v>
      </c>
      <c r="AG737" s="126">
        <f t="shared" ca="1" si="61"/>
        <v>378</v>
      </c>
      <c r="AH737" s="126" t="str">
        <f t="shared" si="62"/>
        <v/>
      </c>
      <c r="AI737" s="134"/>
      <c r="AJ737" s="143" t="s">
        <v>2469</v>
      </c>
      <c r="AK737" s="129">
        <v>12.085000000000001</v>
      </c>
      <c r="AL737" s="129">
        <v>12.095000000000001</v>
      </c>
      <c r="AM737" s="129">
        <v>12.12</v>
      </c>
      <c r="AN737" s="129">
        <v>12.125</v>
      </c>
      <c r="AO737" s="126" t="str">
        <f t="shared" si="63"/>
        <v/>
      </c>
      <c r="AR737" s="99" t="s">
        <v>136</v>
      </c>
    </row>
    <row r="738" spans="1:44" s="99" customFormat="1" ht="21" customHeight="1" x14ac:dyDescent="0.35">
      <c r="A738" s="99">
        <v>425</v>
      </c>
      <c r="B738" s="126" t="str">
        <f t="shared" si="59"/>
        <v>RM-304L/1D-004X770</v>
      </c>
      <c r="C738" s="126" t="s">
        <v>43</v>
      </c>
      <c r="D738" s="126" t="s">
        <v>43</v>
      </c>
      <c r="E738" s="143" t="s">
        <v>2472</v>
      </c>
      <c r="F738" s="143" t="s">
        <v>2473</v>
      </c>
      <c r="G738" s="126" t="s">
        <v>230</v>
      </c>
      <c r="H738" s="126" t="s">
        <v>139</v>
      </c>
      <c r="I738" s="127">
        <v>3.91</v>
      </c>
      <c r="J738" s="127"/>
      <c r="K738" s="127"/>
      <c r="L738" s="127"/>
      <c r="M738" s="144">
        <v>770</v>
      </c>
      <c r="N738" s="129">
        <v>11.805</v>
      </c>
      <c r="O738" s="129"/>
      <c r="P738" s="129"/>
      <c r="Q738" s="130"/>
      <c r="R738" s="131"/>
      <c r="S738" s="131"/>
      <c r="T738" s="132"/>
      <c r="U738" s="132"/>
      <c r="V738" s="132"/>
      <c r="W738" s="132"/>
      <c r="X738" s="132"/>
      <c r="Y738" s="133" t="s">
        <v>1942</v>
      </c>
      <c r="Z738" s="126" t="s">
        <v>64</v>
      </c>
      <c r="AA738" s="134" t="s">
        <v>154</v>
      </c>
      <c r="AB738" s="134" t="s">
        <v>1943</v>
      </c>
      <c r="AC738" s="134"/>
      <c r="AD738" s="134">
        <v>44585</v>
      </c>
      <c r="AE738" s="134"/>
      <c r="AF738" s="134">
        <f t="shared" ca="1" si="60"/>
        <v>44963</v>
      </c>
      <c r="AG738" s="126">
        <f t="shared" ca="1" si="61"/>
        <v>378</v>
      </c>
      <c r="AH738" s="126" t="str">
        <f t="shared" si="62"/>
        <v/>
      </c>
      <c r="AI738" s="134"/>
      <c r="AJ738" s="143" t="s">
        <v>2474</v>
      </c>
      <c r="AK738" s="129">
        <v>11.805</v>
      </c>
      <c r="AL738" s="129">
        <v>11.815</v>
      </c>
      <c r="AM738" s="129">
        <v>11.839999999999998</v>
      </c>
      <c r="AN738" s="129">
        <v>11.844999999999999</v>
      </c>
      <c r="AO738" s="126" t="str">
        <f t="shared" si="63"/>
        <v/>
      </c>
      <c r="AR738" s="99" t="s">
        <v>136</v>
      </c>
    </row>
    <row r="739" spans="1:44" s="99" customFormat="1" ht="21" customHeight="1" x14ac:dyDescent="0.35">
      <c r="A739" s="99">
        <v>425</v>
      </c>
      <c r="B739" s="126" t="str">
        <f t="shared" si="59"/>
        <v>RM-304L/1D-004X772</v>
      </c>
      <c r="C739" s="126" t="s">
        <v>43</v>
      </c>
      <c r="D739" s="126" t="s">
        <v>43</v>
      </c>
      <c r="E739" s="143" t="s">
        <v>2475</v>
      </c>
      <c r="F739" s="143" t="s">
        <v>2476</v>
      </c>
      <c r="G739" s="126" t="s">
        <v>230</v>
      </c>
      <c r="H739" s="126" t="s">
        <v>139</v>
      </c>
      <c r="I739" s="127">
        <v>3.91</v>
      </c>
      <c r="J739" s="127"/>
      <c r="K739" s="127"/>
      <c r="L739" s="127"/>
      <c r="M739" s="144">
        <v>772</v>
      </c>
      <c r="N739" s="129">
        <v>11.81</v>
      </c>
      <c r="O739" s="129"/>
      <c r="P739" s="129"/>
      <c r="Q739" s="130"/>
      <c r="R739" s="131"/>
      <c r="S739" s="131"/>
      <c r="T739" s="132"/>
      <c r="U739" s="132"/>
      <c r="V739" s="132"/>
      <c r="W739" s="132"/>
      <c r="X739" s="132"/>
      <c r="Y739" s="133" t="s">
        <v>1942</v>
      </c>
      <c r="Z739" s="126" t="s">
        <v>64</v>
      </c>
      <c r="AA739" s="134" t="s">
        <v>154</v>
      </c>
      <c r="AB739" s="134" t="s">
        <v>1943</v>
      </c>
      <c r="AC739" s="134"/>
      <c r="AD739" s="134">
        <v>44585</v>
      </c>
      <c r="AE739" s="134"/>
      <c r="AF739" s="134">
        <f t="shared" ca="1" si="60"/>
        <v>44963</v>
      </c>
      <c r="AG739" s="126">
        <f t="shared" ca="1" si="61"/>
        <v>378</v>
      </c>
      <c r="AH739" s="126" t="str">
        <f t="shared" si="62"/>
        <v/>
      </c>
      <c r="AI739" s="134"/>
      <c r="AJ739" s="143" t="s">
        <v>2474</v>
      </c>
      <c r="AK739" s="129">
        <v>11.81</v>
      </c>
      <c r="AL739" s="129">
        <v>11.82</v>
      </c>
      <c r="AM739" s="129">
        <v>11.844999999999999</v>
      </c>
      <c r="AN739" s="129">
        <v>11.85</v>
      </c>
      <c r="AO739" s="126" t="str">
        <f t="shared" si="63"/>
        <v/>
      </c>
      <c r="AR739" s="99" t="s">
        <v>136</v>
      </c>
    </row>
    <row r="740" spans="1:44" s="99" customFormat="1" ht="21" customHeight="1" x14ac:dyDescent="0.35">
      <c r="A740" s="99">
        <v>425</v>
      </c>
      <c r="B740" s="126" t="str">
        <f t="shared" si="59"/>
        <v>RM-304L/1D-004X769</v>
      </c>
      <c r="C740" s="126" t="s">
        <v>43</v>
      </c>
      <c r="D740" s="126" t="s">
        <v>43</v>
      </c>
      <c r="E740" s="143" t="s">
        <v>2477</v>
      </c>
      <c r="F740" s="143" t="s">
        <v>2478</v>
      </c>
      <c r="G740" s="126" t="s">
        <v>230</v>
      </c>
      <c r="H740" s="126" t="s">
        <v>139</v>
      </c>
      <c r="I740" s="127">
        <v>3.78</v>
      </c>
      <c r="J740" s="127"/>
      <c r="K740" s="127"/>
      <c r="L740" s="127"/>
      <c r="M740" s="144">
        <v>769</v>
      </c>
      <c r="N740" s="129">
        <v>12.095000000000001</v>
      </c>
      <c r="O740" s="129"/>
      <c r="P740" s="129"/>
      <c r="Q740" s="130"/>
      <c r="R740" s="131"/>
      <c r="S740" s="131"/>
      <c r="T740" s="132"/>
      <c r="U740" s="132"/>
      <c r="V740" s="132"/>
      <c r="W740" s="132"/>
      <c r="X740" s="132"/>
      <c r="Y740" s="133" t="s">
        <v>1942</v>
      </c>
      <c r="Z740" s="126" t="s">
        <v>64</v>
      </c>
      <c r="AA740" s="134" t="s">
        <v>154</v>
      </c>
      <c r="AB740" s="134" t="s">
        <v>1943</v>
      </c>
      <c r="AC740" s="134"/>
      <c r="AD740" s="134">
        <v>44585</v>
      </c>
      <c r="AE740" s="134"/>
      <c r="AF740" s="134">
        <f t="shared" ca="1" si="60"/>
        <v>44963</v>
      </c>
      <c r="AG740" s="126">
        <f t="shared" ca="1" si="61"/>
        <v>378</v>
      </c>
      <c r="AH740" s="126" t="str">
        <f t="shared" si="62"/>
        <v/>
      </c>
      <c r="AI740" s="134"/>
      <c r="AJ740" s="143" t="s">
        <v>2479</v>
      </c>
      <c r="AK740" s="129">
        <v>12.095000000000001</v>
      </c>
      <c r="AL740" s="129">
        <v>12.105</v>
      </c>
      <c r="AM740" s="129">
        <v>12.129999999999999</v>
      </c>
      <c r="AN740" s="129">
        <v>12.135</v>
      </c>
      <c r="AO740" s="126" t="str">
        <f t="shared" si="63"/>
        <v/>
      </c>
      <c r="AR740" s="99" t="s">
        <v>136</v>
      </c>
    </row>
    <row r="741" spans="1:44" s="99" customFormat="1" ht="21" customHeight="1" x14ac:dyDescent="0.35">
      <c r="A741" s="99">
        <v>425</v>
      </c>
      <c r="B741" s="126" t="str">
        <f t="shared" si="59"/>
        <v>RM-304L/1D-004X769</v>
      </c>
      <c r="C741" s="126" t="s">
        <v>43</v>
      </c>
      <c r="D741" s="126" t="s">
        <v>43</v>
      </c>
      <c r="E741" s="143" t="s">
        <v>2480</v>
      </c>
      <c r="F741" s="143" t="s">
        <v>2481</v>
      </c>
      <c r="G741" s="126" t="s">
        <v>230</v>
      </c>
      <c r="H741" s="126" t="s">
        <v>139</v>
      </c>
      <c r="I741" s="127">
        <v>3.78</v>
      </c>
      <c r="J741" s="127"/>
      <c r="K741" s="127"/>
      <c r="L741" s="127"/>
      <c r="M741" s="144">
        <v>769</v>
      </c>
      <c r="N741" s="129">
        <v>12.105</v>
      </c>
      <c r="O741" s="129"/>
      <c r="P741" s="129"/>
      <c r="Q741" s="130"/>
      <c r="R741" s="131"/>
      <c r="S741" s="131"/>
      <c r="T741" s="132"/>
      <c r="U741" s="132"/>
      <c r="V741" s="132"/>
      <c r="W741" s="132"/>
      <c r="X741" s="132"/>
      <c r="Y741" s="133" t="s">
        <v>1942</v>
      </c>
      <c r="Z741" s="126" t="s">
        <v>64</v>
      </c>
      <c r="AA741" s="134" t="s">
        <v>154</v>
      </c>
      <c r="AB741" s="134" t="s">
        <v>1943</v>
      </c>
      <c r="AC741" s="134"/>
      <c r="AD741" s="134">
        <v>44585</v>
      </c>
      <c r="AE741" s="134"/>
      <c r="AF741" s="134">
        <f t="shared" ca="1" si="60"/>
        <v>44963</v>
      </c>
      <c r="AG741" s="126">
        <f t="shared" ca="1" si="61"/>
        <v>378</v>
      </c>
      <c r="AH741" s="126" t="str">
        <f t="shared" si="62"/>
        <v/>
      </c>
      <c r="AI741" s="134"/>
      <c r="AJ741" s="143" t="s">
        <v>2479</v>
      </c>
      <c r="AK741" s="129">
        <v>12.105</v>
      </c>
      <c r="AL741" s="129">
        <v>12.115</v>
      </c>
      <c r="AM741" s="129">
        <v>12.139999999999999</v>
      </c>
      <c r="AN741" s="129">
        <v>12.145</v>
      </c>
      <c r="AO741" s="126" t="str">
        <f t="shared" si="63"/>
        <v/>
      </c>
      <c r="AR741" s="99" t="s">
        <v>136</v>
      </c>
    </row>
    <row r="742" spans="1:44" s="99" customFormat="1" ht="21" customHeight="1" x14ac:dyDescent="0.35">
      <c r="A742" s="99">
        <v>425</v>
      </c>
      <c r="B742" s="126" t="str">
        <f t="shared" si="59"/>
        <v>RM-304/1D-004X770</v>
      </c>
      <c r="C742" s="126" t="s">
        <v>43</v>
      </c>
      <c r="D742" s="126" t="s">
        <v>43</v>
      </c>
      <c r="E742" s="143" t="s">
        <v>2482</v>
      </c>
      <c r="F742" s="143" t="s">
        <v>2483</v>
      </c>
      <c r="G742" s="126">
        <v>304</v>
      </c>
      <c r="H742" s="126" t="s">
        <v>139</v>
      </c>
      <c r="I742" s="127">
        <v>4</v>
      </c>
      <c r="J742" s="127"/>
      <c r="K742" s="127"/>
      <c r="L742" s="127"/>
      <c r="M742" s="144">
        <v>770</v>
      </c>
      <c r="N742" s="129">
        <v>10.42</v>
      </c>
      <c r="O742" s="129"/>
      <c r="P742" s="129"/>
      <c r="Q742" s="130"/>
      <c r="R742" s="131"/>
      <c r="S742" s="131"/>
      <c r="T742" s="132"/>
      <c r="U742" s="132"/>
      <c r="V742" s="132"/>
      <c r="W742" s="132"/>
      <c r="X742" s="132"/>
      <c r="Y742" s="133" t="s">
        <v>1942</v>
      </c>
      <c r="Z742" s="126" t="s">
        <v>64</v>
      </c>
      <c r="AA742" s="134" t="s">
        <v>154</v>
      </c>
      <c r="AB742" s="134" t="s">
        <v>1943</v>
      </c>
      <c r="AC742" s="134"/>
      <c r="AD742" s="134">
        <v>44585</v>
      </c>
      <c r="AE742" s="134"/>
      <c r="AF742" s="134">
        <f t="shared" ca="1" si="60"/>
        <v>44963</v>
      </c>
      <c r="AG742" s="126">
        <f t="shared" ca="1" si="61"/>
        <v>378</v>
      </c>
      <c r="AH742" s="126" t="str">
        <f t="shared" si="62"/>
        <v/>
      </c>
      <c r="AI742" s="134"/>
      <c r="AJ742" s="143" t="s">
        <v>2484</v>
      </c>
      <c r="AK742" s="129">
        <v>10.42</v>
      </c>
      <c r="AL742" s="129">
        <v>10.43</v>
      </c>
      <c r="AM742" s="129">
        <v>10.454999999999998</v>
      </c>
      <c r="AN742" s="129">
        <v>10.459999999999999</v>
      </c>
      <c r="AO742" s="126" t="str">
        <f t="shared" si="63"/>
        <v/>
      </c>
      <c r="AR742" s="99" t="s">
        <v>136</v>
      </c>
    </row>
    <row r="743" spans="1:44" s="99" customFormat="1" ht="21" customHeight="1" x14ac:dyDescent="0.35">
      <c r="A743" s="99">
        <v>425</v>
      </c>
      <c r="B743" s="126" t="str">
        <f t="shared" si="59"/>
        <v>RM-304/1D-004X771</v>
      </c>
      <c r="C743" s="126" t="s">
        <v>43</v>
      </c>
      <c r="D743" s="126" t="s">
        <v>43</v>
      </c>
      <c r="E743" s="143" t="s">
        <v>2485</v>
      </c>
      <c r="F743" s="143" t="s">
        <v>2486</v>
      </c>
      <c r="G743" s="126">
        <v>304</v>
      </c>
      <c r="H743" s="126" t="s">
        <v>139</v>
      </c>
      <c r="I743" s="127">
        <v>3.99</v>
      </c>
      <c r="J743" s="127"/>
      <c r="K743" s="127"/>
      <c r="L743" s="127"/>
      <c r="M743" s="144">
        <v>771</v>
      </c>
      <c r="N743" s="129">
        <v>10.42</v>
      </c>
      <c r="O743" s="129"/>
      <c r="P743" s="129"/>
      <c r="Q743" s="130"/>
      <c r="R743" s="131"/>
      <c r="S743" s="131"/>
      <c r="T743" s="132"/>
      <c r="U743" s="132"/>
      <c r="V743" s="132"/>
      <c r="W743" s="132"/>
      <c r="X743" s="132"/>
      <c r="Y743" s="133" t="s">
        <v>1942</v>
      </c>
      <c r="Z743" s="126" t="s">
        <v>64</v>
      </c>
      <c r="AA743" s="134" t="s">
        <v>154</v>
      </c>
      <c r="AB743" s="134" t="s">
        <v>1943</v>
      </c>
      <c r="AC743" s="134"/>
      <c r="AD743" s="134">
        <v>44585</v>
      </c>
      <c r="AE743" s="134"/>
      <c r="AF743" s="134">
        <f t="shared" ca="1" si="60"/>
        <v>44963</v>
      </c>
      <c r="AG743" s="126">
        <f t="shared" ca="1" si="61"/>
        <v>378</v>
      </c>
      <c r="AH743" s="126" t="str">
        <f t="shared" si="62"/>
        <v/>
      </c>
      <c r="AI743" s="134"/>
      <c r="AJ743" s="143" t="s">
        <v>2484</v>
      </c>
      <c r="AK743" s="129">
        <v>10.42</v>
      </c>
      <c r="AL743" s="129">
        <v>10.43</v>
      </c>
      <c r="AM743" s="129">
        <v>10.454999999999998</v>
      </c>
      <c r="AN743" s="129">
        <v>10.459999999999999</v>
      </c>
      <c r="AO743" s="126" t="str">
        <f t="shared" si="63"/>
        <v/>
      </c>
      <c r="AR743" s="99" t="s">
        <v>136</v>
      </c>
    </row>
    <row r="744" spans="1:44" s="99" customFormat="1" ht="21" customHeight="1" x14ac:dyDescent="0.35">
      <c r="A744" s="99">
        <v>425</v>
      </c>
      <c r="B744" s="126" t="str">
        <f t="shared" si="59"/>
        <v>RM-304L/1D-004X770</v>
      </c>
      <c r="C744" s="126" t="s">
        <v>43</v>
      </c>
      <c r="D744" s="126" t="s">
        <v>43</v>
      </c>
      <c r="E744" s="143" t="s">
        <v>2487</v>
      </c>
      <c r="F744" s="143" t="s">
        <v>2488</v>
      </c>
      <c r="G744" s="126" t="s">
        <v>230</v>
      </c>
      <c r="H744" s="126" t="s">
        <v>139</v>
      </c>
      <c r="I744" s="127">
        <v>3.88</v>
      </c>
      <c r="J744" s="127"/>
      <c r="K744" s="127"/>
      <c r="L744" s="127"/>
      <c r="M744" s="144">
        <v>770</v>
      </c>
      <c r="N744" s="129">
        <v>11.875</v>
      </c>
      <c r="O744" s="129"/>
      <c r="P744" s="129"/>
      <c r="Q744" s="130"/>
      <c r="R744" s="131"/>
      <c r="S744" s="131"/>
      <c r="T744" s="132"/>
      <c r="U744" s="132"/>
      <c r="V744" s="132"/>
      <c r="W744" s="132"/>
      <c r="X744" s="132"/>
      <c r="Y744" s="133" t="s">
        <v>1942</v>
      </c>
      <c r="Z744" s="126" t="s">
        <v>64</v>
      </c>
      <c r="AA744" s="134" t="s">
        <v>154</v>
      </c>
      <c r="AB744" s="134" t="s">
        <v>1943</v>
      </c>
      <c r="AC744" s="134"/>
      <c r="AD744" s="134">
        <v>44585</v>
      </c>
      <c r="AE744" s="134"/>
      <c r="AF744" s="134">
        <f t="shared" ca="1" si="60"/>
        <v>44963</v>
      </c>
      <c r="AG744" s="126">
        <f t="shared" ca="1" si="61"/>
        <v>378</v>
      </c>
      <c r="AH744" s="126" t="str">
        <f t="shared" si="62"/>
        <v/>
      </c>
      <c r="AI744" s="134"/>
      <c r="AJ744" s="143" t="s">
        <v>2489</v>
      </c>
      <c r="AK744" s="129">
        <v>11.875</v>
      </c>
      <c r="AL744" s="129">
        <v>11.885</v>
      </c>
      <c r="AM744" s="129">
        <v>11.909999999999998</v>
      </c>
      <c r="AN744" s="129">
        <v>11.914999999999999</v>
      </c>
      <c r="AO744" s="126" t="str">
        <f t="shared" si="63"/>
        <v/>
      </c>
      <c r="AR744" s="99" t="s">
        <v>136</v>
      </c>
    </row>
    <row r="745" spans="1:44" s="99" customFormat="1" ht="21" customHeight="1" x14ac:dyDescent="0.35">
      <c r="A745" s="99">
        <v>425</v>
      </c>
      <c r="B745" s="126" t="str">
        <f t="shared" si="59"/>
        <v>RM-304L/1D-004X771</v>
      </c>
      <c r="C745" s="126" t="s">
        <v>43</v>
      </c>
      <c r="D745" s="126" t="s">
        <v>43</v>
      </c>
      <c r="E745" s="143" t="s">
        <v>2490</v>
      </c>
      <c r="F745" s="143" t="s">
        <v>2491</v>
      </c>
      <c r="G745" s="126" t="s">
        <v>230</v>
      </c>
      <c r="H745" s="126" t="s">
        <v>139</v>
      </c>
      <c r="I745" s="127">
        <v>3.88</v>
      </c>
      <c r="J745" s="127"/>
      <c r="K745" s="127"/>
      <c r="L745" s="127"/>
      <c r="M745" s="144">
        <v>771</v>
      </c>
      <c r="N745" s="129">
        <v>11.85</v>
      </c>
      <c r="O745" s="129"/>
      <c r="P745" s="129"/>
      <c r="Q745" s="130"/>
      <c r="R745" s="131"/>
      <c r="S745" s="131"/>
      <c r="T745" s="132"/>
      <c r="U745" s="132"/>
      <c r="V745" s="132"/>
      <c r="W745" s="132"/>
      <c r="X745" s="132"/>
      <c r="Y745" s="133" t="s">
        <v>1942</v>
      </c>
      <c r="Z745" s="126" t="s">
        <v>64</v>
      </c>
      <c r="AA745" s="134" t="s">
        <v>154</v>
      </c>
      <c r="AB745" s="134" t="s">
        <v>1943</v>
      </c>
      <c r="AC745" s="134"/>
      <c r="AD745" s="134">
        <v>44585</v>
      </c>
      <c r="AE745" s="134"/>
      <c r="AF745" s="134">
        <f t="shared" ca="1" si="60"/>
        <v>44963</v>
      </c>
      <c r="AG745" s="126">
        <f t="shared" ca="1" si="61"/>
        <v>378</v>
      </c>
      <c r="AH745" s="126" t="str">
        <f t="shared" si="62"/>
        <v/>
      </c>
      <c r="AI745" s="134"/>
      <c r="AJ745" s="143" t="s">
        <v>2489</v>
      </c>
      <c r="AK745" s="129">
        <v>11.85</v>
      </c>
      <c r="AL745" s="129">
        <v>11.86</v>
      </c>
      <c r="AM745" s="129">
        <v>11.884999999999998</v>
      </c>
      <c r="AN745" s="129">
        <v>11.889999999999999</v>
      </c>
      <c r="AO745" s="126" t="str">
        <f t="shared" si="63"/>
        <v/>
      </c>
      <c r="AR745" s="99" t="s">
        <v>136</v>
      </c>
    </row>
    <row r="746" spans="1:44" s="99" customFormat="1" ht="21" customHeight="1" x14ac:dyDescent="0.35">
      <c r="A746" s="99">
        <v>425</v>
      </c>
      <c r="B746" s="126" t="str">
        <f t="shared" si="59"/>
        <v>RM-304L/1D-004X768</v>
      </c>
      <c r="C746" s="126" t="s">
        <v>43</v>
      </c>
      <c r="D746" s="126" t="s">
        <v>43</v>
      </c>
      <c r="E746" s="143" t="s">
        <v>2492</v>
      </c>
      <c r="F746" s="143" t="s">
        <v>2493</v>
      </c>
      <c r="G746" s="126" t="s">
        <v>230</v>
      </c>
      <c r="H746" s="126" t="s">
        <v>139</v>
      </c>
      <c r="I746" s="127">
        <v>3.8</v>
      </c>
      <c r="J746" s="127"/>
      <c r="K746" s="127"/>
      <c r="L746" s="127"/>
      <c r="M746" s="144">
        <v>768</v>
      </c>
      <c r="N746" s="129">
        <v>12</v>
      </c>
      <c r="O746" s="129"/>
      <c r="P746" s="129"/>
      <c r="Q746" s="130"/>
      <c r="R746" s="131"/>
      <c r="S746" s="131"/>
      <c r="T746" s="132"/>
      <c r="U746" s="132"/>
      <c r="V746" s="132"/>
      <c r="W746" s="132"/>
      <c r="X746" s="132"/>
      <c r="Y746" s="133" t="s">
        <v>1942</v>
      </c>
      <c r="Z746" s="126" t="s">
        <v>64</v>
      </c>
      <c r="AA746" s="134" t="s">
        <v>154</v>
      </c>
      <c r="AB746" s="134" t="s">
        <v>1943</v>
      </c>
      <c r="AC746" s="134"/>
      <c r="AD746" s="134">
        <v>44585</v>
      </c>
      <c r="AE746" s="134"/>
      <c r="AF746" s="134">
        <f t="shared" ca="1" si="60"/>
        <v>44963</v>
      </c>
      <c r="AG746" s="126">
        <f t="shared" ca="1" si="61"/>
        <v>378</v>
      </c>
      <c r="AH746" s="126" t="str">
        <f t="shared" si="62"/>
        <v/>
      </c>
      <c r="AI746" s="134"/>
      <c r="AJ746" s="143" t="s">
        <v>2494</v>
      </c>
      <c r="AK746" s="129">
        <v>12</v>
      </c>
      <c r="AL746" s="129">
        <v>12.01</v>
      </c>
      <c r="AM746" s="129">
        <v>12.034999999999998</v>
      </c>
      <c r="AN746" s="129">
        <v>12.04</v>
      </c>
      <c r="AO746" s="126" t="str">
        <f t="shared" si="63"/>
        <v/>
      </c>
      <c r="AR746" s="99" t="s">
        <v>136</v>
      </c>
    </row>
    <row r="747" spans="1:44" s="99" customFormat="1" ht="21" customHeight="1" x14ac:dyDescent="0.35">
      <c r="A747" s="99">
        <v>425</v>
      </c>
      <c r="B747" s="126" t="str">
        <f t="shared" si="59"/>
        <v>RM-304L/1D-004X768</v>
      </c>
      <c r="C747" s="126" t="s">
        <v>43</v>
      </c>
      <c r="D747" s="126" t="s">
        <v>43</v>
      </c>
      <c r="E747" s="143" t="s">
        <v>2495</v>
      </c>
      <c r="F747" s="143" t="s">
        <v>2496</v>
      </c>
      <c r="G747" s="126" t="s">
        <v>230</v>
      </c>
      <c r="H747" s="126" t="s">
        <v>139</v>
      </c>
      <c r="I747" s="127">
        <v>3.8</v>
      </c>
      <c r="J747" s="127"/>
      <c r="K747" s="127"/>
      <c r="L747" s="127"/>
      <c r="M747" s="144">
        <v>768</v>
      </c>
      <c r="N747" s="129">
        <v>12.02</v>
      </c>
      <c r="O747" s="129"/>
      <c r="P747" s="129"/>
      <c r="Q747" s="130"/>
      <c r="R747" s="131"/>
      <c r="S747" s="131"/>
      <c r="T747" s="132"/>
      <c r="U747" s="132"/>
      <c r="V747" s="132"/>
      <c r="W747" s="132"/>
      <c r="X747" s="132"/>
      <c r="Y747" s="133" t="s">
        <v>1942</v>
      </c>
      <c r="Z747" s="126" t="s">
        <v>64</v>
      </c>
      <c r="AA747" s="134" t="s">
        <v>154</v>
      </c>
      <c r="AB747" s="134" t="s">
        <v>1943</v>
      </c>
      <c r="AC747" s="134"/>
      <c r="AD747" s="134">
        <v>44585</v>
      </c>
      <c r="AE747" s="134"/>
      <c r="AF747" s="134">
        <f t="shared" ca="1" si="60"/>
        <v>44963</v>
      </c>
      <c r="AG747" s="126">
        <f t="shared" ca="1" si="61"/>
        <v>378</v>
      </c>
      <c r="AH747" s="126" t="str">
        <f t="shared" si="62"/>
        <v/>
      </c>
      <c r="AI747" s="134"/>
      <c r="AJ747" s="143" t="s">
        <v>2494</v>
      </c>
      <c r="AK747" s="129">
        <v>12.02</v>
      </c>
      <c r="AL747" s="129">
        <v>12.03</v>
      </c>
      <c r="AM747" s="129">
        <v>12.054999999999998</v>
      </c>
      <c r="AN747" s="129">
        <v>12.059999999999999</v>
      </c>
      <c r="AO747" s="126" t="str">
        <f t="shared" si="63"/>
        <v/>
      </c>
      <c r="AR747" s="99" t="s">
        <v>136</v>
      </c>
    </row>
    <row r="748" spans="1:44" s="99" customFormat="1" ht="21" customHeight="1" x14ac:dyDescent="0.35">
      <c r="A748" s="99">
        <v>425</v>
      </c>
      <c r="B748" s="126" t="str">
        <f t="shared" si="59"/>
        <v>RM-304L/1D-004X768</v>
      </c>
      <c r="C748" s="126" t="s">
        <v>43</v>
      </c>
      <c r="D748" s="126" t="s">
        <v>43</v>
      </c>
      <c r="E748" s="143" t="s">
        <v>2497</v>
      </c>
      <c r="F748" s="143" t="s">
        <v>2498</v>
      </c>
      <c r="G748" s="126" t="s">
        <v>230</v>
      </c>
      <c r="H748" s="126" t="s">
        <v>139</v>
      </c>
      <c r="I748" s="127">
        <v>3.81</v>
      </c>
      <c r="J748" s="127"/>
      <c r="K748" s="127"/>
      <c r="L748" s="127"/>
      <c r="M748" s="144">
        <v>768</v>
      </c>
      <c r="N748" s="129">
        <v>12.02</v>
      </c>
      <c r="O748" s="129"/>
      <c r="P748" s="129"/>
      <c r="Q748" s="130"/>
      <c r="R748" s="131"/>
      <c r="S748" s="131"/>
      <c r="T748" s="132"/>
      <c r="U748" s="132"/>
      <c r="V748" s="132"/>
      <c r="W748" s="132"/>
      <c r="X748" s="132"/>
      <c r="Y748" s="133" t="s">
        <v>1942</v>
      </c>
      <c r="Z748" s="126" t="s">
        <v>64</v>
      </c>
      <c r="AA748" s="134" t="s">
        <v>154</v>
      </c>
      <c r="AB748" s="134" t="s">
        <v>1943</v>
      </c>
      <c r="AC748" s="134"/>
      <c r="AD748" s="134">
        <v>44585</v>
      </c>
      <c r="AE748" s="134"/>
      <c r="AF748" s="134">
        <f t="shared" ca="1" si="60"/>
        <v>44963</v>
      </c>
      <c r="AG748" s="126">
        <f t="shared" ca="1" si="61"/>
        <v>378</v>
      </c>
      <c r="AH748" s="126" t="str">
        <f t="shared" si="62"/>
        <v/>
      </c>
      <c r="AI748" s="134"/>
      <c r="AJ748" s="143" t="s">
        <v>2499</v>
      </c>
      <c r="AK748" s="129">
        <v>12.02</v>
      </c>
      <c r="AL748" s="129">
        <v>12.03</v>
      </c>
      <c r="AM748" s="129">
        <v>12.054999999999998</v>
      </c>
      <c r="AN748" s="129">
        <v>12.059999999999999</v>
      </c>
      <c r="AO748" s="126" t="str">
        <f t="shared" si="63"/>
        <v/>
      </c>
      <c r="AR748" s="99" t="s">
        <v>136</v>
      </c>
    </row>
    <row r="749" spans="1:44" s="99" customFormat="1" ht="21" customHeight="1" x14ac:dyDescent="0.35">
      <c r="A749" s="99">
        <v>425</v>
      </c>
      <c r="B749" s="126" t="str">
        <f t="shared" si="59"/>
        <v>RM-304L/1D-004X768</v>
      </c>
      <c r="C749" s="126" t="s">
        <v>43</v>
      </c>
      <c r="D749" s="126" t="s">
        <v>43</v>
      </c>
      <c r="E749" s="143" t="s">
        <v>2500</v>
      </c>
      <c r="F749" s="143" t="s">
        <v>2501</v>
      </c>
      <c r="G749" s="126" t="s">
        <v>230</v>
      </c>
      <c r="H749" s="126" t="s">
        <v>139</v>
      </c>
      <c r="I749" s="127">
        <v>3.8</v>
      </c>
      <c r="J749" s="127"/>
      <c r="K749" s="127"/>
      <c r="L749" s="127"/>
      <c r="M749" s="144">
        <v>768</v>
      </c>
      <c r="N749" s="129">
        <v>12.085000000000001</v>
      </c>
      <c r="O749" s="129"/>
      <c r="P749" s="129"/>
      <c r="Q749" s="130"/>
      <c r="R749" s="131"/>
      <c r="S749" s="131"/>
      <c r="T749" s="132"/>
      <c r="U749" s="132"/>
      <c r="V749" s="132"/>
      <c r="W749" s="132"/>
      <c r="X749" s="132"/>
      <c r="Y749" s="133" t="s">
        <v>1942</v>
      </c>
      <c r="Z749" s="126" t="s">
        <v>64</v>
      </c>
      <c r="AA749" s="134" t="s">
        <v>154</v>
      </c>
      <c r="AB749" s="134" t="s">
        <v>1943</v>
      </c>
      <c r="AC749" s="134"/>
      <c r="AD749" s="134">
        <v>44585</v>
      </c>
      <c r="AE749" s="134"/>
      <c r="AF749" s="134">
        <f t="shared" ca="1" si="60"/>
        <v>44963</v>
      </c>
      <c r="AG749" s="126">
        <f t="shared" ca="1" si="61"/>
        <v>378</v>
      </c>
      <c r="AH749" s="126" t="str">
        <f t="shared" si="62"/>
        <v/>
      </c>
      <c r="AI749" s="134"/>
      <c r="AJ749" s="143" t="s">
        <v>2499</v>
      </c>
      <c r="AK749" s="129">
        <v>12.085000000000001</v>
      </c>
      <c r="AL749" s="129">
        <v>12.095000000000001</v>
      </c>
      <c r="AM749" s="129">
        <v>12.12</v>
      </c>
      <c r="AN749" s="129">
        <v>12.125</v>
      </c>
      <c r="AO749" s="126" t="str">
        <f t="shared" si="63"/>
        <v/>
      </c>
      <c r="AR749" s="99" t="s">
        <v>136</v>
      </c>
    </row>
    <row r="750" spans="1:44" s="99" customFormat="1" ht="21" customHeight="1" x14ac:dyDescent="0.35">
      <c r="A750" s="99">
        <v>425</v>
      </c>
      <c r="B750" s="126" t="str">
        <f t="shared" si="59"/>
        <v>RM-304L/1D-003X769</v>
      </c>
      <c r="C750" s="126" t="s">
        <v>43</v>
      </c>
      <c r="D750" s="126" t="s">
        <v>43</v>
      </c>
      <c r="E750" s="143" t="s">
        <v>2502</v>
      </c>
      <c r="F750" s="143" t="s">
        <v>2503</v>
      </c>
      <c r="G750" s="126" t="s">
        <v>230</v>
      </c>
      <c r="H750" s="126" t="s">
        <v>139</v>
      </c>
      <c r="I750" s="127">
        <v>3.18</v>
      </c>
      <c r="J750" s="127"/>
      <c r="K750" s="127"/>
      <c r="L750" s="127"/>
      <c r="M750" s="144">
        <v>769</v>
      </c>
      <c r="N750" s="129">
        <v>12.05</v>
      </c>
      <c r="O750" s="129"/>
      <c r="P750" s="129"/>
      <c r="Q750" s="130"/>
      <c r="R750" s="131"/>
      <c r="S750" s="131"/>
      <c r="T750" s="132"/>
      <c r="U750" s="132"/>
      <c r="V750" s="132"/>
      <c r="W750" s="132"/>
      <c r="X750" s="132"/>
      <c r="Y750" s="133" t="s">
        <v>1942</v>
      </c>
      <c r="Z750" s="126" t="s">
        <v>64</v>
      </c>
      <c r="AA750" s="134" t="s">
        <v>154</v>
      </c>
      <c r="AB750" s="134" t="s">
        <v>1943</v>
      </c>
      <c r="AC750" s="134"/>
      <c r="AD750" s="134">
        <v>44585</v>
      </c>
      <c r="AE750" s="134"/>
      <c r="AF750" s="134">
        <f t="shared" ca="1" si="60"/>
        <v>44963</v>
      </c>
      <c r="AG750" s="126">
        <f t="shared" ca="1" si="61"/>
        <v>378</v>
      </c>
      <c r="AH750" s="126" t="str">
        <f t="shared" si="62"/>
        <v/>
      </c>
      <c r="AI750" s="134"/>
      <c r="AJ750" s="143" t="s">
        <v>2504</v>
      </c>
      <c r="AK750" s="129">
        <v>12.05</v>
      </c>
      <c r="AL750" s="129">
        <v>12.06</v>
      </c>
      <c r="AM750" s="129">
        <v>12.084999999999999</v>
      </c>
      <c r="AN750" s="129">
        <v>12.09</v>
      </c>
      <c r="AO750" s="126" t="str">
        <f t="shared" si="63"/>
        <v/>
      </c>
      <c r="AR750" s="99" t="s">
        <v>136</v>
      </c>
    </row>
    <row r="751" spans="1:44" s="99" customFormat="1" ht="21" customHeight="1" x14ac:dyDescent="0.35">
      <c r="A751" s="99">
        <v>425</v>
      </c>
      <c r="B751" s="126" t="str">
        <f t="shared" si="59"/>
        <v>RM-304L/1D-003X769</v>
      </c>
      <c r="C751" s="126" t="s">
        <v>43</v>
      </c>
      <c r="D751" s="126" t="s">
        <v>43</v>
      </c>
      <c r="E751" s="143" t="s">
        <v>2505</v>
      </c>
      <c r="F751" s="143" t="s">
        <v>2506</v>
      </c>
      <c r="G751" s="126" t="s">
        <v>230</v>
      </c>
      <c r="H751" s="126" t="s">
        <v>139</v>
      </c>
      <c r="I751" s="127">
        <v>3.18</v>
      </c>
      <c r="J751" s="127"/>
      <c r="K751" s="127"/>
      <c r="L751" s="127"/>
      <c r="M751" s="144">
        <v>769</v>
      </c>
      <c r="N751" s="129">
        <v>12.14</v>
      </c>
      <c r="O751" s="129"/>
      <c r="P751" s="129"/>
      <c r="Q751" s="130"/>
      <c r="R751" s="131"/>
      <c r="S751" s="131"/>
      <c r="T751" s="132"/>
      <c r="U751" s="132"/>
      <c r="V751" s="132"/>
      <c r="W751" s="132"/>
      <c r="X751" s="132"/>
      <c r="Y751" s="133" t="s">
        <v>1942</v>
      </c>
      <c r="Z751" s="126" t="s">
        <v>64</v>
      </c>
      <c r="AA751" s="134" t="s">
        <v>154</v>
      </c>
      <c r="AB751" s="134" t="s">
        <v>1943</v>
      </c>
      <c r="AC751" s="134"/>
      <c r="AD751" s="134">
        <v>44585</v>
      </c>
      <c r="AE751" s="134"/>
      <c r="AF751" s="134">
        <f t="shared" ca="1" si="60"/>
        <v>44963</v>
      </c>
      <c r="AG751" s="126">
        <f t="shared" ca="1" si="61"/>
        <v>378</v>
      </c>
      <c r="AH751" s="126" t="str">
        <f t="shared" si="62"/>
        <v/>
      </c>
      <c r="AI751" s="134"/>
      <c r="AJ751" s="143" t="s">
        <v>2504</v>
      </c>
      <c r="AK751" s="129">
        <v>12.14</v>
      </c>
      <c r="AL751" s="129">
        <v>12.15</v>
      </c>
      <c r="AM751" s="129">
        <v>12.174999999999999</v>
      </c>
      <c r="AN751" s="129">
        <v>12.18</v>
      </c>
      <c r="AO751" s="126" t="str">
        <f t="shared" si="63"/>
        <v/>
      </c>
      <c r="AR751" s="99" t="s">
        <v>136</v>
      </c>
    </row>
    <row r="752" spans="1:44" s="99" customFormat="1" ht="21" customHeight="1" x14ac:dyDescent="0.35">
      <c r="A752" s="99">
        <v>425</v>
      </c>
      <c r="B752" s="126" t="str">
        <f t="shared" si="59"/>
        <v>RM-304L/1D-004X769</v>
      </c>
      <c r="C752" s="126" t="s">
        <v>43</v>
      </c>
      <c r="D752" s="126" t="s">
        <v>43</v>
      </c>
      <c r="E752" s="143" t="s">
        <v>2507</v>
      </c>
      <c r="F752" s="143" t="s">
        <v>2508</v>
      </c>
      <c r="G752" s="126" t="s">
        <v>230</v>
      </c>
      <c r="H752" s="126" t="s">
        <v>139</v>
      </c>
      <c r="I752" s="127">
        <v>3.51</v>
      </c>
      <c r="J752" s="127"/>
      <c r="K752" s="127"/>
      <c r="L752" s="127"/>
      <c r="M752" s="144">
        <v>769</v>
      </c>
      <c r="N752" s="129">
        <v>12.115</v>
      </c>
      <c r="O752" s="129"/>
      <c r="P752" s="129"/>
      <c r="Q752" s="130"/>
      <c r="R752" s="131"/>
      <c r="S752" s="131"/>
      <c r="T752" s="132"/>
      <c r="U752" s="132"/>
      <c r="V752" s="132"/>
      <c r="W752" s="132"/>
      <c r="X752" s="132"/>
      <c r="Y752" s="133" t="s">
        <v>1942</v>
      </c>
      <c r="Z752" s="126" t="s">
        <v>64</v>
      </c>
      <c r="AA752" s="134" t="s">
        <v>154</v>
      </c>
      <c r="AB752" s="134" t="s">
        <v>1943</v>
      </c>
      <c r="AC752" s="134"/>
      <c r="AD752" s="134">
        <v>44585</v>
      </c>
      <c r="AE752" s="134"/>
      <c r="AF752" s="134">
        <f t="shared" ca="1" si="60"/>
        <v>44963</v>
      </c>
      <c r="AG752" s="126">
        <f t="shared" ca="1" si="61"/>
        <v>378</v>
      </c>
      <c r="AH752" s="126" t="str">
        <f t="shared" si="62"/>
        <v/>
      </c>
      <c r="AI752" s="134"/>
      <c r="AJ752" s="143" t="s">
        <v>2509</v>
      </c>
      <c r="AK752" s="129">
        <v>12.115</v>
      </c>
      <c r="AL752" s="129">
        <v>12.125</v>
      </c>
      <c r="AM752" s="129">
        <v>12.149999999999999</v>
      </c>
      <c r="AN752" s="129">
        <v>12.154999999999999</v>
      </c>
      <c r="AO752" s="126" t="str">
        <f t="shared" si="63"/>
        <v/>
      </c>
      <c r="AR752" s="99" t="s">
        <v>136</v>
      </c>
    </row>
    <row r="753" spans="1:59" s="99" customFormat="1" ht="21" customHeight="1" x14ac:dyDescent="0.35">
      <c r="A753" s="99">
        <v>425</v>
      </c>
      <c r="B753" s="126" t="str">
        <f t="shared" si="59"/>
        <v>RM-304L/1D-004X768</v>
      </c>
      <c r="C753" s="126" t="s">
        <v>43</v>
      </c>
      <c r="D753" s="126" t="s">
        <v>43</v>
      </c>
      <c r="E753" s="143" t="s">
        <v>2510</v>
      </c>
      <c r="F753" s="143" t="s">
        <v>2511</v>
      </c>
      <c r="G753" s="126" t="s">
        <v>230</v>
      </c>
      <c r="H753" s="126" t="s">
        <v>139</v>
      </c>
      <c r="I753" s="127">
        <v>3.5</v>
      </c>
      <c r="J753" s="127"/>
      <c r="K753" s="127"/>
      <c r="L753" s="127"/>
      <c r="M753" s="144">
        <v>768</v>
      </c>
      <c r="N753" s="129">
        <v>12.11</v>
      </c>
      <c r="O753" s="129"/>
      <c r="P753" s="129"/>
      <c r="Q753" s="130"/>
      <c r="R753" s="131"/>
      <c r="S753" s="131"/>
      <c r="T753" s="132"/>
      <c r="U753" s="132"/>
      <c r="V753" s="132"/>
      <c r="W753" s="132"/>
      <c r="X753" s="132"/>
      <c r="Y753" s="133" t="s">
        <v>1942</v>
      </c>
      <c r="Z753" s="126" t="s">
        <v>64</v>
      </c>
      <c r="AA753" s="134" t="s">
        <v>154</v>
      </c>
      <c r="AB753" s="134" t="s">
        <v>1943</v>
      </c>
      <c r="AC753" s="134"/>
      <c r="AD753" s="134">
        <v>44585</v>
      </c>
      <c r="AE753" s="134"/>
      <c r="AF753" s="134">
        <f t="shared" ca="1" si="60"/>
        <v>44963</v>
      </c>
      <c r="AG753" s="126">
        <f t="shared" ca="1" si="61"/>
        <v>378</v>
      </c>
      <c r="AH753" s="126" t="str">
        <f t="shared" si="62"/>
        <v/>
      </c>
      <c r="AI753" s="134"/>
      <c r="AJ753" s="143" t="s">
        <v>2509</v>
      </c>
      <c r="AK753" s="129">
        <v>12.11</v>
      </c>
      <c r="AL753" s="129">
        <v>12.12</v>
      </c>
      <c r="AM753" s="129">
        <v>12.144999999999998</v>
      </c>
      <c r="AN753" s="129">
        <v>12.149999999999999</v>
      </c>
      <c r="AO753" s="126" t="str">
        <f t="shared" si="63"/>
        <v/>
      </c>
      <c r="AR753" s="99" t="s">
        <v>136</v>
      </c>
    </row>
    <row r="754" spans="1:59" s="99" customFormat="1" ht="21" customHeight="1" x14ac:dyDescent="0.35">
      <c r="A754" s="99">
        <v>425</v>
      </c>
      <c r="B754" s="126" t="str">
        <f t="shared" si="59"/>
        <v>RM-304L/1D-003X769</v>
      </c>
      <c r="C754" s="126" t="s">
        <v>43</v>
      </c>
      <c r="D754" s="126" t="s">
        <v>43</v>
      </c>
      <c r="E754" s="143" t="s">
        <v>2512</v>
      </c>
      <c r="F754" s="143" t="s">
        <v>2513</v>
      </c>
      <c r="G754" s="126" t="s">
        <v>230</v>
      </c>
      <c r="H754" s="126" t="s">
        <v>139</v>
      </c>
      <c r="I754" s="127">
        <v>3.19</v>
      </c>
      <c r="J754" s="127"/>
      <c r="K754" s="127"/>
      <c r="L754" s="127"/>
      <c r="M754" s="144">
        <v>769</v>
      </c>
      <c r="N754" s="129">
        <v>11.95</v>
      </c>
      <c r="O754" s="129"/>
      <c r="P754" s="129"/>
      <c r="Q754" s="130"/>
      <c r="R754" s="131"/>
      <c r="S754" s="131"/>
      <c r="T754" s="132"/>
      <c r="U754" s="132"/>
      <c r="V754" s="132"/>
      <c r="W754" s="132"/>
      <c r="X754" s="132"/>
      <c r="Y754" s="133" t="s">
        <v>1942</v>
      </c>
      <c r="Z754" s="126" t="s">
        <v>64</v>
      </c>
      <c r="AA754" s="134" t="s">
        <v>154</v>
      </c>
      <c r="AB754" s="134" t="s">
        <v>1943</v>
      </c>
      <c r="AC754" s="134"/>
      <c r="AD754" s="134">
        <v>44585</v>
      </c>
      <c r="AE754" s="134"/>
      <c r="AF754" s="134">
        <f t="shared" ca="1" si="60"/>
        <v>44963</v>
      </c>
      <c r="AG754" s="126">
        <f t="shared" ca="1" si="61"/>
        <v>378</v>
      </c>
      <c r="AH754" s="126" t="str">
        <f t="shared" si="62"/>
        <v/>
      </c>
      <c r="AI754" s="134"/>
      <c r="AJ754" s="143" t="s">
        <v>2514</v>
      </c>
      <c r="AK754" s="129">
        <v>11.95</v>
      </c>
      <c r="AL754" s="129">
        <v>11.96</v>
      </c>
      <c r="AM754" s="129">
        <v>11.984999999999999</v>
      </c>
      <c r="AN754" s="129">
        <v>11.99</v>
      </c>
      <c r="AO754" s="126" t="str">
        <f t="shared" si="63"/>
        <v/>
      </c>
      <c r="AR754" s="99" t="s">
        <v>136</v>
      </c>
    </row>
    <row r="755" spans="1:59" s="99" customFormat="1" ht="21" customHeight="1" x14ac:dyDescent="0.35">
      <c r="A755" s="99">
        <v>425</v>
      </c>
      <c r="B755" s="126" t="str">
        <f t="shared" si="59"/>
        <v>RM-304L/1D-003X769</v>
      </c>
      <c r="C755" s="126" t="s">
        <v>43</v>
      </c>
      <c r="D755" s="126" t="s">
        <v>43</v>
      </c>
      <c r="E755" s="143" t="s">
        <v>2515</v>
      </c>
      <c r="F755" s="143" t="s">
        <v>2516</v>
      </c>
      <c r="G755" s="126" t="s">
        <v>230</v>
      </c>
      <c r="H755" s="126" t="s">
        <v>139</v>
      </c>
      <c r="I755" s="127">
        <v>3.19</v>
      </c>
      <c r="J755" s="127"/>
      <c r="K755" s="127"/>
      <c r="L755" s="127"/>
      <c r="M755" s="144">
        <v>769</v>
      </c>
      <c r="N755" s="129">
        <v>11.96</v>
      </c>
      <c r="O755" s="129"/>
      <c r="P755" s="129"/>
      <c r="Q755" s="130"/>
      <c r="R755" s="131"/>
      <c r="S755" s="131"/>
      <c r="T755" s="132"/>
      <c r="U755" s="132"/>
      <c r="V755" s="132"/>
      <c r="W755" s="132"/>
      <c r="X755" s="132"/>
      <c r="Y755" s="133" t="s">
        <v>1942</v>
      </c>
      <c r="Z755" s="126" t="s">
        <v>64</v>
      </c>
      <c r="AA755" s="134" t="s">
        <v>154</v>
      </c>
      <c r="AB755" s="134" t="s">
        <v>1943</v>
      </c>
      <c r="AC755" s="134"/>
      <c r="AD755" s="134">
        <v>44585</v>
      </c>
      <c r="AE755" s="134"/>
      <c r="AF755" s="134">
        <f t="shared" ca="1" si="60"/>
        <v>44963</v>
      </c>
      <c r="AG755" s="126">
        <f t="shared" ca="1" si="61"/>
        <v>378</v>
      </c>
      <c r="AH755" s="126" t="str">
        <f t="shared" si="62"/>
        <v/>
      </c>
      <c r="AI755" s="134"/>
      <c r="AJ755" s="143" t="s">
        <v>2514</v>
      </c>
      <c r="AK755" s="129">
        <v>11.96</v>
      </c>
      <c r="AL755" s="129">
        <v>11.97</v>
      </c>
      <c r="AM755" s="129">
        <v>11.994999999999999</v>
      </c>
      <c r="AN755" s="129">
        <v>12</v>
      </c>
      <c r="AO755" s="126" t="str">
        <f t="shared" si="63"/>
        <v/>
      </c>
      <c r="AR755" s="99" t="s">
        <v>136</v>
      </c>
    </row>
    <row r="756" spans="1:59" s="99" customFormat="1" ht="21" customHeight="1" x14ac:dyDescent="0.35">
      <c r="A756" s="99">
        <v>425</v>
      </c>
      <c r="B756" s="126" t="str">
        <f t="shared" si="59"/>
        <v>RM-304L/1D-004X767</v>
      </c>
      <c r="C756" s="126" t="s">
        <v>43</v>
      </c>
      <c r="D756" s="126" t="s">
        <v>43</v>
      </c>
      <c r="E756" s="143" t="s">
        <v>2517</v>
      </c>
      <c r="F756" s="143" t="s">
        <v>2518</v>
      </c>
      <c r="G756" s="126" t="s">
        <v>230</v>
      </c>
      <c r="H756" s="126" t="s">
        <v>139</v>
      </c>
      <c r="I756" s="127">
        <v>3.78</v>
      </c>
      <c r="J756" s="127"/>
      <c r="K756" s="127"/>
      <c r="L756" s="127"/>
      <c r="M756" s="144">
        <v>767</v>
      </c>
      <c r="N756" s="129">
        <v>9.375</v>
      </c>
      <c r="O756" s="129"/>
      <c r="P756" s="129"/>
      <c r="Q756" s="130"/>
      <c r="R756" s="131"/>
      <c r="S756" s="131"/>
      <c r="T756" s="132"/>
      <c r="U756" s="132"/>
      <c r="V756" s="132"/>
      <c r="W756" s="132"/>
      <c r="X756" s="132"/>
      <c r="Y756" s="133" t="s">
        <v>1942</v>
      </c>
      <c r="Z756" s="126" t="s">
        <v>64</v>
      </c>
      <c r="AA756" s="134" t="s">
        <v>154</v>
      </c>
      <c r="AB756" s="134" t="s">
        <v>1943</v>
      </c>
      <c r="AC756" s="134"/>
      <c r="AD756" s="134">
        <v>44585</v>
      </c>
      <c r="AE756" s="134"/>
      <c r="AF756" s="134">
        <f t="shared" ca="1" si="60"/>
        <v>44963</v>
      </c>
      <c r="AG756" s="126">
        <f t="shared" ca="1" si="61"/>
        <v>378</v>
      </c>
      <c r="AH756" s="126" t="str">
        <f t="shared" si="62"/>
        <v/>
      </c>
      <c r="AI756" s="134"/>
      <c r="AJ756" s="143" t="s">
        <v>2519</v>
      </c>
      <c r="AK756" s="129">
        <v>9.375</v>
      </c>
      <c r="AL756" s="129">
        <v>9.3849999999999998</v>
      </c>
      <c r="AM756" s="129">
        <v>9.4099999999999984</v>
      </c>
      <c r="AN756" s="129">
        <v>9.4149999999999991</v>
      </c>
      <c r="AO756" s="126" t="str">
        <f t="shared" si="63"/>
        <v/>
      </c>
      <c r="AR756" s="99" t="s">
        <v>136</v>
      </c>
    </row>
    <row r="757" spans="1:59" s="99" customFormat="1" ht="21" customHeight="1" x14ac:dyDescent="0.35">
      <c r="A757" s="99">
        <v>425</v>
      </c>
      <c r="B757" s="126" t="str">
        <f t="shared" si="59"/>
        <v>RM-304L/1D-004X768</v>
      </c>
      <c r="C757" s="126" t="s">
        <v>43</v>
      </c>
      <c r="D757" s="126" t="s">
        <v>43</v>
      </c>
      <c r="E757" s="143" t="s">
        <v>2520</v>
      </c>
      <c r="F757" s="143" t="s">
        <v>2521</v>
      </c>
      <c r="G757" s="126" t="s">
        <v>230</v>
      </c>
      <c r="H757" s="126" t="s">
        <v>139</v>
      </c>
      <c r="I757" s="127">
        <v>3.78</v>
      </c>
      <c r="J757" s="127"/>
      <c r="K757" s="127"/>
      <c r="L757" s="127"/>
      <c r="M757" s="144">
        <v>768</v>
      </c>
      <c r="N757" s="129">
        <v>9.375</v>
      </c>
      <c r="O757" s="129"/>
      <c r="P757" s="129"/>
      <c r="Q757" s="130"/>
      <c r="R757" s="131"/>
      <c r="S757" s="131"/>
      <c r="T757" s="132"/>
      <c r="U757" s="132"/>
      <c r="V757" s="132"/>
      <c r="W757" s="132"/>
      <c r="X757" s="132"/>
      <c r="Y757" s="133" t="s">
        <v>1942</v>
      </c>
      <c r="Z757" s="126" t="s">
        <v>64</v>
      </c>
      <c r="AA757" s="134" t="s">
        <v>154</v>
      </c>
      <c r="AB757" s="134" t="s">
        <v>1943</v>
      </c>
      <c r="AC757" s="134"/>
      <c r="AD757" s="134">
        <v>44585</v>
      </c>
      <c r="AE757" s="134"/>
      <c r="AF757" s="134">
        <f t="shared" ca="1" si="60"/>
        <v>44963</v>
      </c>
      <c r="AG757" s="126">
        <f t="shared" ca="1" si="61"/>
        <v>378</v>
      </c>
      <c r="AH757" s="126" t="str">
        <f t="shared" si="62"/>
        <v/>
      </c>
      <c r="AI757" s="134"/>
      <c r="AJ757" s="143" t="s">
        <v>2519</v>
      </c>
      <c r="AK757" s="129">
        <v>9.375</v>
      </c>
      <c r="AL757" s="129">
        <v>9.3849999999999998</v>
      </c>
      <c r="AM757" s="129">
        <v>9.4099999999999984</v>
      </c>
      <c r="AN757" s="129">
        <v>9.4149999999999991</v>
      </c>
      <c r="AO757" s="126" t="str">
        <f t="shared" si="63"/>
        <v/>
      </c>
      <c r="AR757" s="99" t="s">
        <v>136</v>
      </c>
    </row>
    <row r="758" spans="1:59" s="99" customFormat="1" ht="21" customHeight="1" x14ac:dyDescent="0.35">
      <c r="E758" s="152"/>
      <c r="F758" s="152"/>
      <c r="I758" s="140"/>
      <c r="J758" s="140"/>
      <c r="K758" s="140"/>
      <c r="L758" s="140"/>
      <c r="M758" s="153"/>
      <c r="N758" s="106"/>
      <c r="O758" s="106"/>
      <c r="P758" s="106"/>
      <c r="Q758" s="154"/>
      <c r="R758" s="155"/>
      <c r="S758" s="155"/>
      <c r="T758" s="156"/>
      <c r="U758" s="156"/>
      <c r="V758" s="156"/>
      <c r="W758" s="156"/>
      <c r="X758" s="156"/>
      <c r="Y758" s="157"/>
      <c r="AA758" s="158"/>
      <c r="AB758" s="158"/>
      <c r="AC758" s="158"/>
      <c r="AD758" s="158"/>
      <c r="AE758" s="158"/>
      <c r="AF758" s="158"/>
      <c r="AI758" s="158"/>
      <c r="AJ758" s="152"/>
      <c r="AK758" s="106"/>
      <c r="AL758" s="106"/>
      <c r="AM758" s="106"/>
      <c r="AN758" s="106"/>
    </row>
    <row r="759" spans="1:59" s="99" customFormat="1" ht="21" customHeight="1" x14ac:dyDescent="0.35">
      <c r="E759" s="152"/>
      <c r="F759" s="152"/>
      <c r="I759" s="140"/>
      <c r="J759" s="140"/>
      <c r="K759" s="140"/>
      <c r="L759" s="140"/>
      <c r="M759" s="153"/>
      <c r="N759" s="106"/>
      <c r="O759" s="106"/>
      <c r="P759" s="106"/>
      <c r="Q759" s="154"/>
      <c r="R759" s="155"/>
      <c r="S759" s="155"/>
      <c r="T759" s="156"/>
      <c r="U759" s="156"/>
      <c r="V759" s="156"/>
      <c r="W759" s="156"/>
      <c r="X759" s="156"/>
      <c r="Y759" s="157"/>
      <c r="AA759" s="158"/>
      <c r="AB759" s="158"/>
      <c r="AC759" s="158"/>
      <c r="AD759" s="158"/>
      <c r="AE759" s="158"/>
      <c r="AF759" s="158"/>
      <c r="AI759" s="158"/>
      <c r="AJ759" s="152"/>
      <c r="AK759" s="106"/>
      <c r="AL759" s="106"/>
      <c r="AM759" s="106"/>
      <c r="AN759" s="106"/>
      <c r="BG759" s="151"/>
    </row>
    <row r="760" spans="1:59" s="100" customFormat="1" ht="21" customHeight="1" x14ac:dyDescent="0.35">
      <c r="A760" s="97"/>
      <c r="B760" s="97"/>
      <c r="C760" s="99"/>
      <c r="D760" s="99"/>
      <c r="E760" s="107" t="s">
        <v>2522</v>
      </c>
      <c r="F760" s="99"/>
      <c r="G760" s="97"/>
      <c r="H760" s="97"/>
      <c r="J760" s="101"/>
      <c r="K760" s="101"/>
      <c r="L760" s="101"/>
      <c r="M760" s="102"/>
      <c r="N760" s="159">
        <f>SUBTOTAL(9,N5:N759)</f>
        <v>7106.4040000000068</v>
      </c>
      <c r="O760" s="103"/>
      <c r="P760" s="102"/>
      <c r="Q760" s="160"/>
      <c r="R760" s="104"/>
      <c r="S760" s="104"/>
      <c r="U760" s="161"/>
      <c r="AI760" s="152"/>
      <c r="AQ760" s="97"/>
      <c r="AR760" s="97"/>
      <c r="BG760" s="162"/>
    </row>
    <row r="761" spans="1:59" s="163" customFormat="1" ht="22.5" customHeight="1" x14ac:dyDescent="0.35">
      <c r="C761" s="164"/>
      <c r="D761" s="164"/>
      <c r="I761" s="165"/>
      <c r="J761" s="166"/>
      <c r="K761" s="166"/>
      <c r="L761" s="166"/>
      <c r="M761" s="167"/>
      <c r="N761" s="168"/>
      <c r="O761" s="168"/>
      <c r="P761" s="168"/>
      <c r="Q761" s="169"/>
      <c r="R761" s="169"/>
      <c r="S761" s="169"/>
      <c r="T761" s="165"/>
      <c r="U761" s="170"/>
      <c r="V761" s="165"/>
      <c r="W761" s="165"/>
      <c r="X761" s="165"/>
      <c r="Y761" s="165"/>
      <c r="Z761" s="165"/>
      <c r="AK761" s="171"/>
      <c r="AL761" s="171"/>
      <c r="AM761" s="171"/>
      <c r="AN761" s="171"/>
      <c r="AO761" s="165"/>
      <c r="AP761" s="165"/>
      <c r="BG761" s="98"/>
    </row>
    <row r="762" spans="1:59" ht="23.25" customHeight="1" x14ac:dyDescent="0.35">
      <c r="C762" s="97"/>
      <c r="D762" s="97"/>
      <c r="E762" s="152"/>
      <c r="I762" s="97"/>
      <c r="J762" s="97"/>
      <c r="K762" s="97"/>
      <c r="L762" s="97"/>
      <c r="M762" s="97"/>
      <c r="AA762" s="172"/>
      <c r="AB762" s="152"/>
      <c r="AC762" s="152"/>
      <c r="AD762" s="173"/>
      <c r="AJ762" s="152"/>
      <c r="AK762" s="142"/>
      <c r="AL762" s="142"/>
      <c r="AM762" s="142"/>
      <c r="AN762" s="142"/>
      <c r="AO762" s="97"/>
      <c r="AP762" s="97"/>
    </row>
    <row r="772" spans="3:42" ht="21" customHeight="1" x14ac:dyDescent="0.35">
      <c r="C772" s="97"/>
      <c r="D772" s="97"/>
      <c r="E772" s="152"/>
      <c r="I772" s="97"/>
      <c r="J772" s="97"/>
      <c r="K772" s="97"/>
      <c r="L772" s="97"/>
      <c r="M772" s="97"/>
      <c r="N772" s="97"/>
      <c r="AA772" s="172"/>
      <c r="AB772" s="152"/>
      <c r="AC772" s="152"/>
      <c r="AD772" s="173"/>
      <c r="AJ772" s="152"/>
      <c r="AK772" s="142"/>
      <c r="AL772" s="142"/>
      <c r="AM772" s="142"/>
      <c r="AN772" s="142"/>
      <c r="AO772" s="97"/>
      <c r="AP772" s="97"/>
    </row>
    <row r="773" spans="3:42" ht="21" customHeight="1" x14ac:dyDescent="0.35">
      <c r="C773" s="97"/>
      <c r="D773" s="97"/>
      <c r="E773" s="152"/>
      <c r="I773" s="97"/>
      <c r="J773" s="97"/>
      <c r="K773" s="97"/>
      <c r="L773" s="97"/>
      <c r="M773" s="97"/>
      <c r="N773" s="97"/>
      <c r="AA773" s="172"/>
      <c r="AB773" s="152"/>
      <c r="AC773" s="152"/>
      <c r="AD773" s="173"/>
      <c r="AJ773" s="152"/>
      <c r="AK773" s="142"/>
      <c r="AL773" s="142"/>
      <c r="AM773" s="142"/>
      <c r="AN773" s="142"/>
      <c r="AO773" s="97"/>
      <c r="AP773" s="97"/>
    </row>
    <row r="774" spans="3:42" ht="23.25" customHeight="1" x14ac:dyDescent="0.35">
      <c r="C774" s="97"/>
      <c r="D774" s="97"/>
      <c r="E774" s="152"/>
      <c r="I774" s="97"/>
      <c r="J774" s="97"/>
      <c r="K774" s="97"/>
      <c r="L774" s="97"/>
      <c r="M774" s="97"/>
      <c r="AA774" s="172"/>
      <c r="AB774" s="152"/>
      <c r="AC774" s="152"/>
      <c r="AD774" s="173"/>
      <c r="AJ774" s="152"/>
      <c r="AK774" s="142"/>
      <c r="AL774" s="142"/>
      <c r="AM774" s="142"/>
      <c r="AN774" s="142"/>
      <c r="AO774" s="97"/>
      <c r="AP774" s="97"/>
    </row>
    <row r="775" spans="3:42" ht="21" customHeight="1" x14ac:dyDescent="0.35">
      <c r="C775" s="97"/>
      <c r="D775" s="97"/>
      <c r="I775" s="97"/>
      <c r="J775" s="97"/>
      <c r="K775" s="97"/>
      <c r="L775" s="97"/>
      <c r="M775" s="97"/>
      <c r="N775" s="97"/>
      <c r="AN775" s="142"/>
      <c r="AO775" s="97"/>
      <c r="AP775" s="97"/>
    </row>
    <row r="883" spans="2:42" ht="21" customHeight="1" x14ac:dyDescent="0.35">
      <c r="B883" s="800" t="s">
        <v>20</v>
      </c>
      <c r="C883" s="800" t="s">
        <v>13</v>
      </c>
      <c r="D883" s="802" t="s">
        <v>14</v>
      </c>
      <c r="E883" s="803"/>
      <c r="F883" s="803"/>
      <c r="G883" s="803"/>
      <c r="H883" s="803"/>
      <c r="I883" s="804"/>
      <c r="J883" s="800" t="s">
        <v>16</v>
      </c>
      <c r="K883" s="800" t="s">
        <v>18</v>
      </c>
      <c r="O883" s="174" t="s">
        <v>43</v>
      </c>
      <c r="P883" s="175">
        <v>201</v>
      </c>
      <c r="Q883" s="175" t="s">
        <v>27</v>
      </c>
      <c r="R883" s="175" t="s">
        <v>28</v>
      </c>
      <c r="S883" s="176" t="s">
        <v>29</v>
      </c>
      <c r="T883" s="176" t="s">
        <v>30</v>
      </c>
      <c r="U883" s="177" t="s">
        <v>31</v>
      </c>
      <c r="V883" s="177" t="s">
        <v>32</v>
      </c>
      <c r="W883" s="177">
        <v>430</v>
      </c>
      <c r="X883" s="177" t="s">
        <v>2523</v>
      </c>
      <c r="Y883" s="177">
        <v>410</v>
      </c>
      <c r="Z883" s="177">
        <v>301</v>
      </c>
      <c r="AA883" s="178" t="s">
        <v>34</v>
      </c>
      <c r="AC883" s="107" t="s">
        <v>2524</v>
      </c>
      <c r="AK883" s="179" t="s">
        <v>2525</v>
      </c>
      <c r="AL883"/>
      <c r="AM883"/>
      <c r="AN883"/>
      <c r="AO883"/>
      <c r="AP883"/>
    </row>
    <row r="884" spans="2:42" ht="21" customHeight="1" x14ac:dyDescent="0.35">
      <c r="B884" s="801"/>
      <c r="C884" s="801"/>
      <c r="D884" s="180" t="s">
        <v>36</v>
      </c>
      <c r="E884" s="180" t="s">
        <v>37</v>
      </c>
      <c r="F884" s="181" t="s">
        <v>38</v>
      </c>
      <c r="G884" s="180" t="s">
        <v>39</v>
      </c>
      <c r="H884" s="180" t="s">
        <v>2526</v>
      </c>
      <c r="I884" s="180" t="s">
        <v>2527</v>
      </c>
      <c r="J884" s="801"/>
      <c r="K884" s="801"/>
      <c r="O884" s="182" t="s">
        <v>44</v>
      </c>
      <c r="P884" s="183" t="str">
        <f>IF(P895=0,"",P895)</f>
        <v/>
      </c>
      <c r="Q884" s="183" t="str">
        <f>IF(P896=0,"",P896)</f>
        <v/>
      </c>
      <c r="R884" s="183">
        <f>IF(P897=0,"",P897)</f>
        <v>49.287999999999997</v>
      </c>
      <c r="S884" s="183">
        <f>IF(SUM(P898:P899)=0,"",SUM((P898:P899)))</f>
        <v>700.21600000000001</v>
      </c>
      <c r="T884" s="183">
        <f>IF(P900=0,"",P900)</f>
        <v>41.09</v>
      </c>
      <c r="U884" s="183">
        <f>IF(SUM(P901:P903)=0,"",SUM(P901:P903))</f>
        <v>4792.8749999999982</v>
      </c>
      <c r="V884" s="183">
        <f>IF(SUM(P904:P905)=0,"",SUM(P904:P905))</f>
        <v>31.66</v>
      </c>
      <c r="W884" s="183">
        <f>IF(P906=0,"",P906)</f>
        <v>20.887999999999998</v>
      </c>
      <c r="X884" s="183" t="str">
        <f>IF(P907=0,"",P907)</f>
        <v/>
      </c>
      <c r="Y884" s="183" t="str">
        <f>IF(P908=0,"",P908)</f>
        <v/>
      </c>
      <c r="Z884" s="183">
        <f>IF(P909=0,"",P909)</f>
        <v>54.373000000000005</v>
      </c>
      <c r="AA884" s="184">
        <f>SUM(P884:Z884)</f>
        <v>5690.3899999999976</v>
      </c>
      <c r="AC884" s="805" t="s">
        <v>73</v>
      </c>
      <c r="AD884" s="185" t="s">
        <v>74</v>
      </c>
      <c r="AE884" s="807" t="s">
        <v>2528</v>
      </c>
      <c r="AF884" s="808"/>
      <c r="AG884" s="808"/>
      <c r="AH884" s="808"/>
      <c r="AI884" s="809"/>
      <c r="AK884" s="805" t="s">
        <v>73</v>
      </c>
      <c r="AL884" s="807" t="s">
        <v>2528</v>
      </c>
      <c r="AM884" s="808"/>
      <c r="AN884" s="808"/>
      <c r="AO884" s="809"/>
      <c r="AP884" s="810" t="s">
        <v>34</v>
      </c>
    </row>
    <row r="885" spans="2:42" ht="21" customHeight="1" x14ac:dyDescent="0.35">
      <c r="B885" s="182">
        <v>201</v>
      </c>
      <c r="C885" s="183" t="str">
        <f t="shared" ref="C885:J887" si="64">IF(C902=0,"",C902)</f>
        <v/>
      </c>
      <c r="D885" s="183" t="str">
        <f t="shared" si="64"/>
        <v/>
      </c>
      <c r="E885" s="183" t="str">
        <f t="shared" si="64"/>
        <v/>
      </c>
      <c r="F885" s="183" t="str">
        <f t="shared" si="64"/>
        <v/>
      </c>
      <c r="G885" s="183" t="str">
        <f t="shared" si="64"/>
        <v/>
      </c>
      <c r="H885" s="183" t="str">
        <f t="shared" si="64"/>
        <v/>
      </c>
      <c r="I885" s="183" t="str">
        <f t="shared" si="64"/>
        <v/>
      </c>
      <c r="J885" s="183" t="str">
        <f t="shared" si="64"/>
        <v/>
      </c>
      <c r="K885" s="186" t="str">
        <f t="shared" ref="K885:K895" si="65">IF(SUM(C885:J885)=0,"",SUM(C885:J885))</f>
        <v/>
      </c>
      <c r="O885" s="182" t="s">
        <v>45</v>
      </c>
      <c r="P885" s="183" t="str">
        <f>IF(Q895=0,"",Q895)</f>
        <v/>
      </c>
      <c r="Q885" s="183" t="str">
        <f>IF(Q896=0,"",Q896)</f>
        <v/>
      </c>
      <c r="R885" s="183" t="str">
        <f>IF(Q897=0,"",Q897)</f>
        <v/>
      </c>
      <c r="S885" s="183">
        <f>IF(SUM(Q898:Q899)=0,"",SUM(Q898:Q899))</f>
        <v>10.199999999999999</v>
      </c>
      <c r="T885" s="183" t="str">
        <f>IF(Q900=0,"",Q900)</f>
        <v/>
      </c>
      <c r="U885" s="187" t="str">
        <f>IF(SUM(Q901:Q903)=0,"",SUM(Q901:Q903))</f>
        <v/>
      </c>
      <c r="V885" s="183" t="str">
        <f>IF(SUM(Q904:Q905)=0,"",SUM(Q904:Q905))</f>
        <v/>
      </c>
      <c r="W885" s="183" t="str">
        <f>IF(Q906=0,"",Q906)</f>
        <v/>
      </c>
      <c r="X885" s="183" t="str">
        <f>IF(Q907=0,"",Q907)</f>
        <v/>
      </c>
      <c r="Y885" s="183" t="str">
        <f>IF(Q908=0,"",Q908)</f>
        <v/>
      </c>
      <c r="Z885" s="183" t="str">
        <f>IF(Q909=0,"",Q909)</f>
        <v/>
      </c>
      <c r="AA885" s="184">
        <f>SUM(P885:Z885)</f>
        <v>10.199999999999999</v>
      </c>
      <c r="AC885" s="806"/>
      <c r="AD885" s="188" t="s">
        <v>2529</v>
      </c>
      <c r="AE885" s="189" t="s">
        <v>2530</v>
      </c>
      <c r="AF885" s="189" t="s">
        <v>2531</v>
      </c>
      <c r="AG885" s="189" t="s">
        <v>2532</v>
      </c>
      <c r="AH885" s="189" t="s">
        <v>2533</v>
      </c>
      <c r="AI885" s="190" t="s">
        <v>34</v>
      </c>
      <c r="AJ885" s="100"/>
      <c r="AK885" s="806"/>
      <c r="AL885" s="191" t="s">
        <v>2530</v>
      </c>
      <c r="AM885" s="191" t="s">
        <v>2531</v>
      </c>
      <c r="AN885" s="191" t="s">
        <v>2532</v>
      </c>
      <c r="AO885" s="191" t="s">
        <v>2534</v>
      </c>
      <c r="AP885" s="811"/>
    </row>
    <row r="886" spans="2:42" ht="21" customHeight="1" x14ac:dyDescent="0.35">
      <c r="B886" s="182" t="s">
        <v>27</v>
      </c>
      <c r="C886" s="183" t="str">
        <f t="shared" si="64"/>
        <v/>
      </c>
      <c r="D886" s="183" t="str">
        <f t="shared" si="64"/>
        <v/>
      </c>
      <c r="E886" s="183" t="str">
        <f t="shared" si="64"/>
        <v/>
      </c>
      <c r="F886" s="183" t="str">
        <f t="shared" si="64"/>
        <v/>
      </c>
      <c r="G886" s="183" t="str">
        <f t="shared" si="64"/>
        <v/>
      </c>
      <c r="H886" s="183">
        <f t="shared" si="64"/>
        <v>17.149999999999999</v>
      </c>
      <c r="I886" s="183" t="str">
        <f t="shared" si="64"/>
        <v/>
      </c>
      <c r="J886" s="183" t="str">
        <f t="shared" si="64"/>
        <v/>
      </c>
      <c r="K886" s="186">
        <f t="shared" si="65"/>
        <v>17.149999999999999</v>
      </c>
      <c r="O886" s="182" t="s">
        <v>46</v>
      </c>
      <c r="P886" s="183" t="str">
        <f>IF(R895=0,"",R895)</f>
        <v/>
      </c>
      <c r="Q886" s="183">
        <f>IF(R896=0,"",R896)</f>
        <v>5.0170000000000003</v>
      </c>
      <c r="R886" s="183" t="str">
        <f>IF(R897=0,"",R897)</f>
        <v/>
      </c>
      <c r="S886" s="183">
        <f>IF(SUM(R898:R899)=0,"",SUM(R898:R899))</f>
        <v>368.96300000000002</v>
      </c>
      <c r="T886" s="183" t="str">
        <f>IF(R900=0,"",R900)</f>
        <v/>
      </c>
      <c r="U886" s="183" t="str">
        <f>IF(SUM(R901:R903)=0,"",SUM(R901:R903))</f>
        <v/>
      </c>
      <c r="V886" s="183" t="str">
        <f>IF(SUM(R904+R905)=0,"",SUM(R904+R905))</f>
        <v/>
      </c>
      <c r="W886" s="183" t="str">
        <f>IF(R906=0,"",R906)</f>
        <v/>
      </c>
      <c r="X886" s="183" t="str">
        <f>IF(R907=0,"",R907)</f>
        <v/>
      </c>
      <c r="Y886" s="183">
        <f>IF(R908=0,"",R908)</f>
        <v>28.369999999999997</v>
      </c>
      <c r="Z886" s="183" t="str">
        <f>IF(R909=0,"",R909)</f>
        <v/>
      </c>
      <c r="AA886" s="184">
        <f>SUM(P886:Z886)</f>
        <v>402.35</v>
      </c>
      <c r="AC886" s="192"/>
      <c r="AD886" s="193" t="s">
        <v>65</v>
      </c>
      <c r="AE886" s="194">
        <f>SUM(SUMIFS($N:$N,$C:$C,"RM",$G:$G,$AC$887,$H:$H,$AD886,$AG:$AG,"&lt;=30")+SUMIFS($N:$N,$C:$C,"RM BAL",$G:$G,$AC$887,$H:$H,$AD886,$AG:$AG,"&lt;=30")+SUMIFS($N:$N,$C:$C,"MILL",$G:$G,$AC$887,$H:$H,$AD886,$AG:$AG,"&lt;=30")+SUMIFS($N:$N,$C:$C,"RM SLT RUST",$G:$G,$AC$887,$H:$H,$AD886,$AG:$AG,"&lt;=30")+SUMIFS($N:$N,$C:$C,"RM SLT DENT",$G:$G,$AC$887,$H:$H,$AD886,$AG:$AG,"&lt;=30")+SUMIFS($N:$N,$C:$C,"RM SLT",$G:$G,$AC$887,$H:$H,$AD886,$AG:$AG,"&lt;=30"))</f>
        <v>0</v>
      </c>
      <c r="AF886" s="194">
        <f>SUM(SUMIFS($N:$N,$C:$C,"RM",$G:$G,$AC$887,$H:$H,$AD886,$AG:$AG,"&lt;=60")+SUMIFS($N:$N,$C:$C,"RM BAL",$G:$G,$AC$887,$H:$H,$AD886,$AG:$AG,"&lt;=60")+SUMIFS($N:$N,$C:$C,"MILL",$G:$G,$AC$887,$H:$H,$AD886,$AG:$AG,"&lt;=60")+SUMIFS($N:$N,$C:$C,"RM SLT RUST",$G:$G,$AC$887,$H:$H,$AD886,$AG:$AG,"&lt;=60")+SUMIFS($N:$N,$C:$C,"RM SLT DENT",$G:$G,$AC$887,$H:$H,$AD886,$AG:$AG,"&lt;=60")+SUMIFS($N:$N,$C:$C,"RM SLT",$G:$G,$AC$887,$H:$H,$AD886,$AG:$AG,"&lt;=60"))-AE886</f>
        <v>0</v>
      </c>
      <c r="AG886" s="194">
        <f>SUM(SUMIFS($N:$N,$C:$C,"RM",$G:$G,$AC$887,$H:$H,$AD886,$AG:$AG,"&lt;=90")+SUMIFS($N:$N,$C:$C,"RM BAL",$G:$G,$AC$887,$H:$H,$AD886,$AG:$AG,"&lt;=90")+SUMIFS($N:$N,$C:$C,"MILL",$G:$G,$AC$887,$H:$H,$AD886,$AG:$AG,"&lt;=90")+SUMIFS($N:$N,$C:$C,"RM SLT RUST",$G:$G,$AC$887,$H:$H,$AD886,$AG:$AG,"&lt;=90")+SUMIFS($N:$N,$C:$C,"RM SLT DENT",$G:$G,$AC$887,$H:$H,$AD886,$AG:$AG,"&lt;=90")+SUMIFS($N:$N,$C:$C,"RM SLT",$G:$G,$AC$887,$H:$H,$AD886,$AG:$AG,"&lt;=90"))-AF886-AE886</f>
        <v>0</v>
      </c>
      <c r="AH886" s="194">
        <f>SUM(SUMIFS($N:$N,$C:$C,"RM",$G:$G,$AC$887,$H:$H,$AD886,$AG:$AG,"&gt;=91")+SUMIFS($N:$N,$C:$C,"RM BAL",$G:$G,$AC$887,$H:$H,$AD886,$AG:$AG,"&gt;=91")+SUMIFS($N:$N,$C:$C,"MILL",$G:$G,$AC$887,$H:$H,$AD886,$AG:$AG,"&gt;=91")+SUMIFS($N:$N,$C:$C,"RM SLT RUST",$G:$G,$AC$887,$H:$H,$AD886,$AG:$AG,"&gt;=91")+SUMIFS($N:$N,$C:$C,"RM SLT DENT",$G:$G,$AC$887,$H:$H,$AD886,$AG:$AG,"&gt;=91")+SUMIFS($N:$N,$C:$C,"RM SLT",$G:$G,$AC$887,$H:$H,$AD886,$AG:$AG,"&gt;=91"))</f>
        <v>0</v>
      </c>
      <c r="AI886" s="195">
        <f t="shared" ref="AI886:AI925" si="66">SUM(AE886:AH886)</f>
        <v>0</v>
      </c>
      <c r="AJ886" s="100"/>
      <c r="AK886" s="196">
        <v>201</v>
      </c>
      <c r="AL886" s="194">
        <f t="shared" ref="AL886:AL898" si="67">SUMIFS($N:$N,$C:$C,"BAL",$D:$D,"BAL",$G:$G,$AK886,$AO:$AO,"&lt;=30")</f>
        <v>0</v>
      </c>
      <c r="AM886" s="194">
        <f t="shared" ref="AM886:AM898" si="68">SUMIFS($N:$N,$C:$C,"BAL",$D:$D,"BAL",$G:$G,$AK886,$AO:$AO,"&lt;=60")-AL886</f>
        <v>0</v>
      </c>
      <c r="AN886" s="194">
        <f t="shared" ref="AN886:AN898" si="69">SUMIFS($N:$N,$C:$C,"BAL",$D:$D,"BAL",$G:$G,$AK886,$AO:$AO,"&lt;=90")-AM886-AL886</f>
        <v>0</v>
      </c>
      <c r="AO886" s="194">
        <f t="shared" ref="AO886:AO898" si="70">SUMIFS($N:$N,$C:$C,"BAL",$D:$D,"BAL",$G:$G,$AK886,$AO:$AO,"&gt;=91")</f>
        <v>0</v>
      </c>
      <c r="AP886" s="195">
        <f t="shared" ref="AP886:AP898" si="71">SUM(AL886:AO886)</f>
        <v>0</v>
      </c>
    </row>
    <row r="887" spans="2:42" ht="21" customHeight="1" x14ac:dyDescent="0.35">
      <c r="B887" s="182" t="s">
        <v>28</v>
      </c>
      <c r="C887" s="183" t="str">
        <f t="shared" si="64"/>
        <v/>
      </c>
      <c r="D887" s="183" t="str">
        <f t="shared" si="64"/>
        <v/>
      </c>
      <c r="E887" s="183" t="str">
        <f t="shared" si="64"/>
        <v/>
      </c>
      <c r="F887" s="183" t="str">
        <f t="shared" si="64"/>
        <v/>
      </c>
      <c r="G887" s="183" t="str">
        <f t="shared" si="64"/>
        <v/>
      </c>
      <c r="H887" s="183">
        <f t="shared" si="64"/>
        <v>10.01</v>
      </c>
      <c r="I887" s="183" t="str">
        <f t="shared" si="64"/>
        <v/>
      </c>
      <c r="J887" s="183" t="str">
        <f t="shared" si="64"/>
        <v/>
      </c>
      <c r="K887" s="186">
        <f t="shared" si="65"/>
        <v>10.01</v>
      </c>
      <c r="O887" s="182" t="s">
        <v>2535</v>
      </c>
      <c r="P887" s="183" t="str">
        <f>IF(S895=0,"",S895)</f>
        <v/>
      </c>
      <c r="Q887" s="183" t="str">
        <f>IF(S896=0,"",S896)</f>
        <v/>
      </c>
      <c r="R887" s="183" t="str">
        <f>IF(S897=0,"",S897)</f>
        <v/>
      </c>
      <c r="S887" s="183">
        <f>IF(SUM(S898:S899)=0,"",SUM(S898:S899))</f>
        <v>46.831999999999994</v>
      </c>
      <c r="T887" s="183" t="str">
        <f>IF(S900=0,"",S900)</f>
        <v/>
      </c>
      <c r="U887" s="183" t="str">
        <f>IF(SUM(S901:S903)=0,"",SUM(S901:S903))</f>
        <v/>
      </c>
      <c r="V887" s="183" t="str">
        <f>IF(SUM(S904+S905)=0,"",SUM(S904+S905))</f>
        <v/>
      </c>
      <c r="W887" s="183" t="str">
        <f>IF(S906=0,"",S906)</f>
        <v/>
      </c>
      <c r="X887" s="183" t="str">
        <f>IF(S907=0,"",S907)</f>
        <v/>
      </c>
      <c r="Y887" s="183" t="str">
        <f>IF(S908=0,"",S908)</f>
        <v/>
      </c>
      <c r="Z887" s="183" t="str">
        <f>IF(S909=0,"",S909)</f>
        <v/>
      </c>
      <c r="AA887" s="184">
        <f>SUM(P887:Z887)</f>
        <v>46.831999999999994</v>
      </c>
      <c r="AC887" s="197">
        <v>201</v>
      </c>
      <c r="AD887" s="126" t="s">
        <v>139</v>
      </c>
      <c r="AE887" s="194">
        <f>SUM(SUMIFS($N:$N,$C:$C,"RM",$G:$G,$AC$887,$H:$H,$AD887,$AG:$AG,"&lt;=30")+SUMIFS($N:$N,$C:$C,"RM BAL",$G:$G,$AC$887,$H:$H,$AD887,$AG:$AG,"&lt;=30")+SUMIFS($N:$N,$C:$C,"MILL",$G:$G,$AC$887,$H:$H,$AD887,$AG:$AG,"&lt;=30")+SUMIFS($N:$N,$C:$C,"RM SLT RUST",$G:$G,$AC$887,$H:$H,$AD887,$AG:$AG,"&lt;=30")+SUMIFS($N:$N,$C:$C,"RM SLT DENT",$G:$G,$AC$887,$H:$H,$AD887,$AG:$AG,"&lt;=30")+SUMIFS($N:$N,$C:$C,"RM SLT",$G:$G,$AC$887,$H:$H,$AD887,$AG:$AG,"&lt;=30"))</f>
        <v>0</v>
      </c>
      <c r="AF887" s="194">
        <f>SUM(SUMIFS($N:$N,$C:$C,"RM",$G:$G,$AC$887,$H:$H,$AD887,$AG:$AG,"&lt;=60")+SUMIFS($N:$N,$C:$C,"RM BAL",$G:$G,$AC$887,$H:$H,$AD887,$AG:$AG,"&lt;=60")+SUMIFS($N:$N,$C:$C,"MILL",$G:$G,$AC$887,$H:$H,$AD887,$AG:$AG,"&lt;=60")+SUMIFS($N:$N,$C:$C,"RM SLT RUST",$G:$G,$AC$887,$H:$H,$AD887,$AG:$AG,"&lt;=60")+SUMIFS($N:$N,$C:$C,"RM SLT DENT",$G:$G,$AC$887,$H:$H,$AD887,$AG:$AG,"&lt;=60")+SUMIFS($N:$N,$C:$C,"RM SLT",$G:$G,$AC$887,$H:$H,$AD887,$AG:$AG,"&lt;=60"))-AE887</f>
        <v>0</v>
      </c>
      <c r="AG887" s="194">
        <f>SUM(SUMIFS($N:$N,$C:$C,"RM",$G:$G,$AC$887,$H:$H,$AD887,$AG:$AG,"&lt;=90")+SUMIFS($N:$N,$C:$C,"RM BAL",$G:$G,$AC$887,$H:$H,$AD887,$AG:$AG,"&lt;=90")+SUMIFS($N:$N,$C:$C,"MILL",$G:$G,$AC$887,$H:$H,$AD887,$AG:$AG,"&lt;=90")+SUMIFS($N:$N,$C:$C,"RM SLT RUST",$G:$G,$AC$887,$H:$H,$AD887,$AG:$AG,"&lt;=90")+SUMIFS($N:$N,$C:$C,"RM SLT DENT",$G:$G,$AC$887,$H:$H,$AD887,$AG:$AG,"&lt;=90")+SUMIFS($N:$N,$C:$C,"RM SLT",$G:$G,$AC$887,$H:$H,$AD887,$AG:$AG,"&lt;=90"))-AF887-AE887</f>
        <v>0</v>
      </c>
      <c r="AH887" s="194">
        <f>SUM(SUMIFS($N:$N,$C:$C,"RM",$G:$G,$AC$887,$H:$H,$AD887,$AG:$AG,"&gt;=91")+SUMIFS($N:$N,$C:$C,"RM BAL",$G:$G,$AC$887,$H:$H,$AD887,$AG:$AG,"&gt;=91")+SUMIFS($N:$N,$C:$C,"MILL",$G:$G,$AC$887,$H:$H,$AD887,$AG:$AG,"&gt;=91")+SUMIFS($N:$N,$C:$C,"RM SLT RUST",$G:$G,$AC$887,$H:$H,$AD887,$AG:$AG,"&gt;=91")+SUMIFS($N:$N,$C:$C,"RM SLT DENT",$G:$G,$AC$887,$H:$H,$AD887,$AG:$AG,"&gt;=91")+SUMIFS($N:$N,$C:$C,"RM SLT",$G:$G,$AC$887,$H:$H,$AD887,$AG:$AG,"&gt;=91"))</f>
        <v>0</v>
      </c>
      <c r="AI887" s="195">
        <f t="shared" si="66"/>
        <v>0</v>
      </c>
      <c r="AJ887" s="100"/>
      <c r="AK887" s="198" t="s">
        <v>27</v>
      </c>
      <c r="AL887" s="194">
        <f t="shared" si="67"/>
        <v>0</v>
      </c>
      <c r="AM887" s="194">
        <f t="shared" si="68"/>
        <v>0</v>
      </c>
      <c r="AN887" s="194">
        <f t="shared" si="69"/>
        <v>0</v>
      </c>
      <c r="AO887" s="194">
        <f t="shared" si="70"/>
        <v>0</v>
      </c>
      <c r="AP887" s="195">
        <f t="shared" si="71"/>
        <v>0</v>
      </c>
    </row>
    <row r="888" spans="2:42" ht="21" customHeight="1" x14ac:dyDescent="0.35">
      <c r="B888" s="182" t="s">
        <v>29</v>
      </c>
      <c r="C888" s="183">
        <f t="shared" ref="C888:J888" si="72">IF(SUM(C905:C906)=0,"",SUM(C905:C906))</f>
        <v>66.284999999999997</v>
      </c>
      <c r="D888" s="183">
        <f t="shared" si="72"/>
        <v>184.12500000000003</v>
      </c>
      <c r="E888" s="183">
        <f t="shared" si="72"/>
        <v>17.675000000000001</v>
      </c>
      <c r="F888" s="183">
        <f t="shared" si="72"/>
        <v>41.784999999999997</v>
      </c>
      <c r="G888" s="183">
        <f t="shared" si="72"/>
        <v>28.774999999999999</v>
      </c>
      <c r="H888" s="183">
        <f t="shared" si="72"/>
        <v>28.405000000000001</v>
      </c>
      <c r="I888" s="183" t="str">
        <f t="shared" si="72"/>
        <v/>
      </c>
      <c r="J888" s="183" t="str">
        <f t="shared" si="72"/>
        <v/>
      </c>
      <c r="K888" s="186">
        <f t="shared" si="65"/>
        <v>367.04999999999995</v>
      </c>
      <c r="O888" s="178" t="s">
        <v>34</v>
      </c>
      <c r="P888" s="186">
        <f>SUM(P884:P886)</f>
        <v>0</v>
      </c>
      <c r="Q888" s="186">
        <f>SUM(Q884:Q886)</f>
        <v>5.0170000000000003</v>
      </c>
      <c r="R888" s="186">
        <f t="shared" ref="R888:Z888" si="73">SUM(R884:R887)</f>
        <v>49.287999999999997</v>
      </c>
      <c r="S888" s="186">
        <f t="shared" si="73"/>
        <v>1126.2110000000002</v>
      </c>
      <c r="T888" s="186">
        <f t="shared" si="73"/>
        <v>41.09</v>
      </c>
      <c r="U888" s="186">
        <f t="shared" si="73"/>
        <v>4792.8749999999982</v>
      </c>
      <c r="V888" s="186">
        <f t="shared" si="73"/>
        <v>31.66</v>
      </c>
      <c r="W888" s="186">
        <f t="shared" si="73"/>
        <v>20.887999999999998</v>
      </c>
      <c r="X888" s="186">
        <f t="shared" si="73"/>
        <v>0</v>
      </c>
      <c r="Y888" s="186">
        <f t="shared" si="73"/>
        <v>28.369999999999997</v>
      </c>
      <c r="Z888" s="186">
        <f t="shared" si="73"/>
        <v>54.373000000000005</v>
      </c>
      <c r="AC888" s="199"/>
      <c r="AD888" s="200" t="s">
        <v>46</v>
      </c>
      <c r="AE888" s="194">
        <f>SUM(SUMIFS($N:$N,$C:$C,"RM",$G:$G,$AC$887,$H:$H,"2B",$AG:$AG,"&lt;=30")+SUMIFS($N:$N,$C:$C,"RM BAL",$G:$G,$AC$887,$H:$H,"2B",$AG:$AG,"&lt;=30")+SUMIFS($N:$N,$C:$C,"MILL",$G:$G,$AC$887,$H:$H,"2B",$AG:$AG,"&lt;=30")+SUMIFS($N:$N,$C:$C,"RM SLT RUST",$G:$G,$AC$887,$H:$H,"2B",$AG:$AG,"&lt;=30")+SUMIFS($N:$N,$C:$C,"RM SLT DENT",$G:$G,$AC$887,$H:$H,"2B",$AG:$AG,"&lt;=30")+SUMIFS($N:$N,$C:$C,"RM SLT",$G:$G,$AC$887,$H:$H,"2B",$AG:$AG,"&lt;=30")+SUMIFS($N:$N,$C:$C,"RM SLT",$G:$G,$AC$887,$H:$H,"BA",$AG:$AG,"&lt;=30")+SUMIFS($N:$N,$C:$C,"RM SLT",$G:$G,$AC$887,$H:$H,"2D",$AG:$AG,"&lt;=30"))</f>
        <v>0</v>
      </c>
      <c r="AF888" s="194">
        <f>SUM(SUMIFS($N:$N,$C:$C,"RM",$G:$G,$AC$887,$H:$H,"2B",$AG:$AG,"&lt;=60")+SUMIFS($N:$N,$C:$C,"RM BAL",$G:$G,$AC$887,$H:$H,"2B",$AG:$AG,"&lt;=60")+SUMIFS($N:$N,$C:$C,"MILL",$G:$G,$AC$887,$H:$H,"2B",$AG:$AG,"&lt;=60")+SUMIFS($N:$N,$C:$C,"RM SLT RUST",$G:$G,$AC$887,$H:$H,"2B",$AG:$AG,"&lt;=60")+SUMIFS($N:$N,$C:$C,"RM SLT DENT",$G:$G,$AC$887,$H:$H,"2B",$AG:$AG,"&lt;=60")+SUMIFS($N:$N,$C:$C,"RM SLT",$G:$G,$AC$887,$H:$H,"2B",$AG:$AG,"&lt;=60")+SUMIFS($N:$N,$C:$C,"RM SLT",$G:$G,$AC$887,$H:$H,"BA",$AG:$AG,"&lt;=60")+SUMIFS($N:$N,$C:$C,"RM SLT",$G:$G,$AC$887,$H:$H,"2D",$AG:$AG,"&lt;=60"))-AE888</f>
        <v>0</v>
      </c>
      <c r="AG888" s="194">
        <f>SUM(SUMIFS($N:$N,$C:$C,"RM",$G:$G,$AC$887,$H:$H,"2B",$AG:$AG,"&lt;=90")+SUMIFS($N:$N,$C:$C,"RM BAL",$G:$G,$AC$887,$H:$H,"2B",$AG:$AG,"&lt;=90")+SUMIFS($N:$N,$C:$C,"MILL",$G:$G,$AC$887,$H:$H,"2B",$AG:$AG,"&lt;=90")+SUMIFS($N:$N,$C:$C,"RM SLT RUST",$G:$G,$AC$887,$H:$H,"2B",$AG:$AG,"&lt;=90")+SUMIFS($N:$N,$C:$C,"RM SLT DENT",$G:$G,$AC$887,$H:$H,"2B",$AG:$AG,"&lt;=90")+SUMIFS($N:$N,$C:$C,"RM SLT",$G:$G,$AC$887,$H:$H,"2B",$AG:$AG,"&lt;=90")+SUMIFS($N:$N,$C:$C,"RM SLT",$G:$G,$AC$887,$H:$H,"BA",$AG:$AG,"&lt;=90")+SUMIFS($N:$N,$C:$C,"RM SLT",$G:$G,$AC$887,$H:$H,"2D",$AG:$AG,"&lt;=90"))-AF888-AE888</f>
        <v>0</v>
      </c>
      <c r="AH888" s="194">
        <f>SUM(SUMIFS($N:$N,$C:$C,"RM",$G:$G,$AC$887,$H:$H,"2B",$AG:$AG,"&gt;=91")+SUMIFS($N:$N,$C:$C,"RM BAL",$G:$G,$AC$887,$H:$H,"2B",$AG:$AG,"&gt;=91")+SUMIFS($N:$N,$C:$C,"MILL",$G:$G,$AC$887,$H:$H,"2B",$AG:$AG,"&gt;=91")+SUMIFS($N:$N,$C:$C,"RM SLT RUST",$G:$G,$AC$887,$H:$H,"2B",$AG:$AG,"&gt;=91")+SUMIFS($N:$N,$C:$C,"RM SLT DENT",$G:$G,$AC$887,$H:$H,"2B",$AG:$AG,"&gt;=91")+SUMIFS($N:$N,$C:$C,"RM SLT",$G:$G,$AC$887,$H:$H,"2B",$AG:$AG,"&gt;=91")+SUMIFS($N:$N,$C:$C,"RM SLT",$G:$G,$AC$887,$H:$H,"BA",$AG:$AG,"&gt;=91")+SUMIFS($N:$N,$C:$C,"RM SLT",$G:$G,$AC$887,$H:$H,"2D",$AG:$AG,"&gt;=91"))</f>
        <v>0</v>
      </c>
      <c r="AI888" s="195">
        <f t="shared" si="66"/>
        <v>0</v>
      </c>
      <c r="AJ888" s="100"/>
      <c r="AK888" s="201" t="s">
        <v>28</v>
      </c>
      <c r="AL888" s="194">
        <f t="shared" si="67"/>
        <v>0</v>
      </c>
      <c r="AM888" s="194">
        <f t="shared" si="68"/>
        <v>0</v>
      </c>
      <c r="AN888" s="194">
        <f t="shared" si="69"/>
        <v>0</v>
      </c>
      <c r="AO888" s="194">
        <f t="shared" si="70"/>
        <v>0</v>
      </c>
      <c r="AP888" s="195">
        <f t="shared" si="71"/>
        <v>0</v>
      </c>
    </row>
    <row r="889" spans="2:42" ht="21" customHeight="1" x14ac:dyDescent="0.35">
      <c r="B889" s="182" t="s">
        <v>30</v>
      </c>
      <c r="C889" s="183" t="str">
        <f t="shared" ref="C889:J889" si="74">IF(C907=0,"",C907)</f>
        <v/>
      </c>
      <c r="D889" s="183" t="str">
        <f t="shared" si="74"/>
        <v/>
      </c>
      <c r="E889" s="183" t="str">
        <f t="shared" si="74"/>
        <v/>
      </c>
      <c r="F889" s="183" t="str">
        <f t="shared" si="74"/>
        <v/>
      </c>
      <c r="G889" s="183" t="str">
        <f t="shared" si="74"/>
        <v/>
      </c>
      <c r="H889" s="183" t="str">
        <f t="shared" si="74"/>
        <v/>
      </c>
      <c r="I889" s="183" t="str">
        <f t="shared" si="74"/>
        <v/>
      </c>
      <c r="J889" s="183" t="str">
        <f t="shared" si="74"/>
        <v/>
      </c>
      <c r="K889" s="186" t="str">
        <f t="shared" si="65"/>
        <v/>
      </c>
      <c r="AC889" s="202"/>
      <c r="AD889" s="193" t="s">
        <v>65</v>
      </c>
      <c r="AE889" s="194">
        <f>SUM(SUMIFS($N:$N,$C:$C,"RM",$G:$G,$AC$890,$H:$H,$AD889,$AG:$AG,"&lt;=30")+SUMIFS($N:$N,$C:$C,"RM BAL",$G:$G,$AC$890,$H:$H,$AD889,$AG:$AG,"&lt;=30")+SUMIFS($N:$N,$C:$C,"MILL",$G:$G,$AC$890,$H:$H,$AD889,$AG:$AG,"&lt;=30")+SUMIFS($N:$N,$C:$C,"RM SLT RUST",$G:$G,$AC$890,$H:$H,$AD889,$AG:$AG,"&lt;=30")+SUMIFS($N:$N,$C:$C,"RM SLT DENT",$G:$G,$AC$890,$H:$H,$AD889,$AG:$AG,"&lt;=30")+SUMIFS($N:$N,$C:$C,"RM SLT",$G:$G,$AC$890,$H:$H,$AD889,$AG:$AG,"&lt;=30"))</f>
        <v>0</v>
      </c>
      <c r="AF889" s="194">
        <f>SUM(SUMIFS($N:$N,$C:$C,"RM",$G:$G,$AC$890,$H:$H,$AD889,$AG:$AG,"&lt;=60")+SUMIFS($N:$N,$C:$C,"RM BAL",$G:$G,$AC$890,$H:$H,$AD889,$AG:$AG,"&lt;=60")+SUMIFS($N:$N,$C:$C,"MILL",$G:$G,$AC$890,$H:$H,$AD889,$AG:$AG,"&lt;=60")+SUMIFS($N:$N,$C:$C,"RM SLT RUST",$G:$G,$AC$890,$H:$H,$AD889,$AG:$AG,"&lt;=60")+SUMIFS($N:$N,$C:$C,"RM SLT DENT",$G:$G,$AC$890,$H:$H,$AD889,$AG:$AG,"&lt;=60")+SUMIFS($N:$N,$C:$C,"RM SLT",$G:$G,$AC$890,$H:$H,$AD889,$AG:$AG,"&lt;=60"))-AE889</f>
        <v>0</v>
      </c>
      <c r="AG889" s="194">
        <f>SUM(SUMIFS($N:$N,$C:$C,"RM",$G:$G,$AC$890,$H:$H,$AD889,$AG:$AG,"&lt;=90")+SUMIFS($N:$N,$C:$C,"RM BAL",$G:$G,$AC$890,$H:$H,$AD889,$AG:$AG,"&lt;=90")+SUMIFS($N:$N,$C:$C,"MILL",$G:$G,$AC$890,$H:$H,$AD889,$AG:$AG,"&lt;=90")+SUMIFS($N:$N,$C:$C,"RM SLT RUST",$G:$G,$AC$890,$H:$H,$AD889,$AG:$AG,"&lt;=90")+SUMIFS($N:$N,$C:$C,"RM SLT DENT",$G:$G,$AC$890,$H:$H,$AD889,$AG:$AG,"&lt;=90")+SUMIFS($N:$N,$C:$C,"RM SLT",$G:$G,$AC$890,$H:$H,$AD889,$AG:$AG,"&lt;=90"))-AF889-AE889</f>
        <v>0</v>
      </c>
      <c r="AH889" s="194">
        <f>SUM(SUMIFS($N:$N,$C:$C,"RM",$G:$G,$AC$890,$H:$H,$AD889,$AG:$AG,"&gt;=91")+SUMIFS($N:$N,$C:$C,"RM BAL",$G:$G,$AC$890,$H:$H,$AD889,$AG:$AG,"&gt;=91")+SUMIFS($N:$N,$C:$C,"MILL",$G:$G,$AC$890,$H:$H,$AD889,$AG:$AG,"&gt;=91")+SUMIFS($N:$N,$C:$C,"RM SLT RUST",$G:$G,$AC$890,$H:$H,$AD889,$AG:$AG,"&gt;=91")+SUMIFS($N:$N,$C:$C,"RM SLT DENT",$G:$G,$AC$890,$H:$H,$AD889,$AG:$AG,"&gt;=91")+SUMIFS($N:$N,$C:$C,"RM SLT",$G:$G,$AC$890,$H:$H,$AD889,$AG:$AG,"&gt;=91"))</f>
        <v>0</v>
      </c>
      <c r="AI889" s="195">
        <f t="shared" si="66"/>
        <v>0</v>
      </c>
      <c r="AJ889" s="100"/>
      <c r="AK889" s="203" t="s">
        <v>29</v>
      </c>
      <c r="AL889" s="194">
        <f t="shared" ca="1" si="67"/>
        <v>0</v>
      </c>
      <c r="AM889" s="194">
        <f t="shared" ca="1" si="68"/>
        <v>0</v>
      </c>
      <c r="AN889" s="194">
        <f t="shared" ca="1" si="69"/>
        <v>0</v>
      </c>
      <c r="AO889" s="194">
        <f t="shared" ca="1" si="70"/>
        <v>61.905000000000008</v>
      </c>
      <c r="AP889" s="204">
        <f t="shared" ca="1" si="71"/>
        <v>61.905000000000008</v>
      </c>
    </row>
    <row r="890" spans="2:42" ht="21" customHeight="1" x14ac:dyDescent="0.35">
      <c r="B890" s="182" t="s">
        <v>31</v>
      </c>
      <c r="C890" s="183">
        <f t="shared" ref="C890:J890" si="75">IF(SUM(C908:C910)=0,"",SUM(C908:C910))</f>
        <v>147.12</v>
      </c>
      <c r="D890" s="183">
        <f t="shared" si="75"/>
        <v>295.14999999999998</v>
      </c>
      <c r="E890" s="183">
        <f t="shared" si="75"/>
        <v>22.344999999999999</v>
      </c>
      <c r="F890" s="183" t="str">
        <f t="shared" si="75"/>
        <v/>
      </c>
      <c r="G890" s="183">
        <f t="shared" si="75"/>
        <v>3.74</v>
      </c>
      <c r="H890" s="183">
        <f t="shared" si="75"/>
        <v>69.215999999999994</v>
      </c>
      <c r="I890" s="183" t="str">
        <f t="shared" si="75"/>
        <v/>
      </c>
      <c r="J890" s="183" t="str">
        <f t="shared" si="75"/>
        <v/>
      </c>
      <c r="K890" s="186">
        <f t="shared" si="65"/>
        <v>537.57100000000003</v>
      </c>
      <c r="AC890" s="205" t="s">
        <v>27</v>
      </c>
      <c r="AD890" s="126" t="s">
        <v>139</v>
      </c>
      <c r="AE890" s="194">
        <f>SUM(SUMIFS($N:$N,$C:$C,"RM",$G:$G,$AC$890,$H:$H,$AD890,$AG:$AG,"&lt;=30")+SUMIFS($N:$N,$C:$C,"RM BAL",$G:$G,$AC$890,$H:$H,$AD890,$AG:$AG,"&lt;=30")+SUMIFS($N:$N,$C:$C,"MILL",$G:$G,$AC$890,$H:$H,$AD890,$AG:$AG,"&lt;=30")+SUMIFS($N:$N,$C:$C,"RM SLT RUST",$G:$G,$AC$890,$H:$H,$AD890,$AG:$AG,"&lt;=30")+SUMIFS($N:$N,$C:$C,"RM SLT DENT",$G:$G,$AC$890,$H:$H,$AD890,$AG:$AG,"&lt;=30")+SUMIFS($N:$N,$C:$C,"RM SLT",$G:$G,$AC$890,$H:$H,$AD890,$AG:$AG,"&lt;=30"))</f>
        <v>0</v>
      </c>
      <c r="AF890" s="194">
        <f>SUM(SUMIFS($N:$N,$C:$C,"RM",$G:$G,$AC$890,$H:$H,$AD890,$AG:$AG,"&lt;=60")+SUMIFS($N:$N,$C:$C,"RM BAL",$G:$G,$AC$890,$H:$H,$AD890,$AG:$AG,"&lt;=60")+SUMIFS($N:$N,$C:$C,"MILL",$G:$G,$AC$890,$H:$H,$AD890,$AG:$AG,"&lt;=60")+SUMIFS($N:$N,$C:$C,"RM SLT RUST",$G:$G,$AC$890,$H:$H,$AD890,$AG:$AG,"&lt;=60")+SUMIFS($N:$N,$C:$C,"RM SLT DENT",$G:$G,$AC$890,$H:$H,$AD890,$AG:$AG,"&lt;=60")+SUMIFS($N:$N,$C:$C,"RM SLT",$G:$G,$AC$890,$H:$H,$AD890,$AG:$AG,"&lt;=60"))-AE890</f>
        <v>0</v>
      </c>
      <c r="AG890" s="194">
        <f>SUM(SUMIFS($N:$N,$C:$C,"RM",$G:$G,$AC$890,$H:$H,$AD890,$AG:$AG,"&lt;=90")+SUMIFS($N:$N,$C:$C,"RM BAL",$G:$G,$AC$890,$H:$H,$AD890,$AG:$AG,"&lt;=90")+SUMIFS($N:$N,$C:$C,"MILL",$G:$G,$AC$890,$H:$H,$AD890,$AG:$AG,"&lt;=90")+SUMIFS($N:$N,$C:$C,"RM SLT RUST",$G:$G,$AC$890,$H:$H,$AD890,$AG:$AG,"&lt;=90")+SUMIFS($N:$N,$C:$C,"RM SLT DENT",$G:$G,$AC$890,$H:$H,$AD890,$AG:$AG,"&lt;=90")+SUMIFS($N:$N,$C:$C,"RM SLT",$G:$G,$AC$890,$H:$H,$AD890,$AG:$AG,"&lt;=90"))-AF890-AE890</f>
        <v>0</v>
      </c>
      <c r="AH890" s="194">
        <f>SUM(SUMIFS($N:$N,$C:$C,"RM",$G:$G,$AC$890,$H:$H,$AD890,$AG:$AG,"&gt;=91")+SUMIFS($N:$N,$C:$C,"RM BAL",$G:$G,$AC$890,$H:$H,$AD890,$AG:$AG,"&gt;=91")+SUMIFS($N:$N,$C:$C,"MILL",$G:$G,$AC$890,$H:$H,$AD890,$AG:$AG,"&gt;=91")+SUMIFS($N:$N,$C:$C,"RM SLT RUST",$G:$G,$AC$890,$H:$H,$AD890,$AG:$AG,"&gt;=91")+SUMIFS($N:$N,$C:$C,"RM SLT DENT",$G:$G,$AC$890,$H:$H,$AD890,$AG:$AG,"&gt;=91")+SUMIFS($N:$N,$C:$C,"RM SLT",$G:$G,$AC$890,$H:$H,$AD890,$AG:$AG,"&gt;=91"))</f>
        <v>0</v>
      </c>
      <c r="AI890" s="195">
        <f t="shared" si="66"/>
        <v>0</v>
      </c>
      <c r="AJ890" s="100"/>
      <c r="AK890" s="206" t="s">
        <v>30</v>
      </c>
      <c r="AL890" s="194">
        <f t="shared" si="67"/>
        <v>0</v>
      </c>
      <c r="AM890" s="194">
        <f t="shared" si="68"/>
        <v>0</v>
      </c>
      <c r="AN890" s="194">
        <f t="shared" si="69"/>
        <v>0</v>
      </c>
      <c r="AO890" s="194">
        <f t="shared" si="70"/>
        <v>0</v>
      </c>
      <c r="AP890" s="195">
        <f t="shared" si="71"/>
        <v>0</v>
      </c>
    </row>
    <row r="891" spans="2:42" ht="21" customHeight="1" x14ac:dyDescent="0.35">
      <c r="B891" s="182" t="s">
        <v>32</v>
      </c>
      <c r="C891" s="183">
        <f t="shared" ref="C891:J891" si="76">IF(SUM(C911:C912)=0,"",SUM(C911:C912))</f>
        <v>2.16</v>
      </c>
      <c r="D891" s="183">
        <f t="shared" si="76"/>
        <v>5.3550000000000004</v>
      </c>
      <c r="E891" s="183" t="str">
        <f t="shared" si="76"/>
        <v/>
      </c>
      <c r="F891" s="183" t="str">
        <f t="shared" si="76"/>
        <v/>
      </c>
      <c r="G891" s="183" t="str">
        <f t="shared" si="76"/>
        <v/>
      </c>
      <c r="H891" s="183">
        <f t="shared" si="76"/>
        <v>4.3899999999999997</v>
      </c>
      <c r="I891" s="183" t="str">
        <f t="shared" si="76"/>
        <v/>
      </c>
      <c r="J891" s="183" t="str">
        <f t="shared" si="76"/>
        <v/>
      </c>
      <c r="K891" s="186">
        <f t="shared" si="65"/>
        <v>11.905000000000001</v>
      </c>
      <c r="AC891" s="205"/>
      <c r="AD891" s="200" t="s">
        <v>46</v>
      </c>
      <c r="AE891" s="194">
        <f ca="1">SUM(SUMIFS($N:$N,$C:$C,"RM",$G:$G,$AC$890,$H:$H,"2B",$AG:$AG,"&lt;=30")+SUMIFS($N:$N,$C:$C,"RM BAL",$G:$G,$AC$890,$H:$H,"2B",$AG:$AG,"&lt;=30")+SUMIFS($N:$N,$C:$C,"MILL",$G:$G,$AC$890,$H:$H,"2B",$AG:$AG,"&lt;=30")+SUMIFS($N:$N,$C:$C,"RM SLT RUST",$G:$G,$AC$890,$H:$H,"2B",$AG:$AG,"&lt;=30")+SUMIFS($N:$N,$C:$C,"RM SLT DENT",$G:$G,$AC$890,$H:$H,"2B",$AG:$AG,"&lt;=30")+SUMIFS($N:$N,$C:$C,"RM SLT",$G:$G,$AC$890,$H:$H,"2B",$AG:$AG,"&lt;=30")+SUMIFS($N:$N,$C:$C,"RM SLT",$G:$G,$AC$890,$H:$H,"BA",$AG:$AG,"&lt;=30")+SUMIFS($N:$N,$C:$C,"RM SLT",$G:$G,$AC$890,$H:$H,"2D",$AG:$AG,"&lt;=30"))</f>
        <v>0</v>
      </c>
      <c r="AF891" s="194">
        <f ca="1">SUM(SUMIFS($N:$N,$C:$C,"RM",$G:$G,$AC$890,$H:$H,"2B",$AG:$AG,"&lt;=60")+SUMIFS($N:$N,$C:$C,"RM BAL",$G:$G,$AC$890,$H:$H,"2B",$AG:$AG,"&lt;=60")+SUMIFS($N:$N,$C:$C,"MILL",$G:$G,$AC$890,$H:$H,"2B",$AG:$AG,"&lt;=60")+SUMIFS($N:$N,$C:$C,"RM SLT RUST",$G:$G,$AC$890,$H:$H,"2B",$AG:$AG,"&lt;=60")+SUMIFS($N:$N,$C:$C,"RM SLT DENT",$G:$G,$AC$890,$H:$H,"2B",$AG:$AG,"&lt;=60")+SUMIFS($N:$N,$C:$C,"RM SLT",$G:$G,$AC$890,$H:$H,"2B",$AG:$AG,"&lt;=60")+SUMIFS($N:$N,$C:$C,"RM SLT",$G:$G,$AC$890,$H:$H,"BA",$AG:$AG,"&lt;=60")+SUMIFS($N:$N,$C:$C,"RM SLT",$G:$G,$AC$890,$H:$H,"2D",$AG:$AG,"&lt;=60"))-AE891</f>
        <v>0</v>
      </c>
      <c r="AG891" s="194">
        <f ca="1">SUM(SUMIFS($N:$N,$C:$C,"RM",$G:$G,$AC$890,$H:$H,"2B",$AG:$AG,"&lt;=90")+SUMIFS($N:$N,$C:$C,"RM BAL",$G:$G,$AC$890,$H:$H,"2B",$AG:$AG,"&lt;=90")+SUMIFS($N:$N,$C:$C,"MILL",$G:$G,$AC$890,$H:$H,"2B",$AG:$AG,"&lt;=90")+SUMIFS($N:$N,$C:$C,"RM SLT RUST",$G:$G,$AC$890,$H:$H,"2B",$AG:$AG,"&lt;=90")+SUMIFS($N:$N,$C:$C,"RM SLT DENT",$G:$G,$AC$890,$H:$H,"2B",$AG:$AG,"&lt;=90")+SUMIFS($N:$N,$C:$C,"RM SLT",$G:$G,$AC$890,$H:$H,"2B",$AG:$AG,"&lt;=90")+SUMIFS($N:$N,$C:$C,"RM SLT",$G:$G,$AC$890,$H:$H,"BA",$AG:$AG,"&lt;=90")+SUMIFS($N:$N,$C:$C,"RM SLT",$G:$G,$AC$890,$H:$H,"2D",$AG:$AG,"&lt;=90"))-AF891-AE891</f>
        <v>0</v>
      </c>
      <c r="AH891" s="194">
        <f ca="1">SUM(SUMIFS($N:$N,$C:$C,"RM",$G:$G,$AC$890,$H:$H,"2B",$AG:$AG,"&gt;=91")+SUMIFS($N:$N,$C:$C,"RM BAL",$G:$G,$AC$890,$H:$H,"2B",$AG:$AG,"&gt;=91")+SUMIFS($N:$N,$C:$C,"MILL",$G:$G,$AC$890,$H:$H,"2B",$AG:$AG,"&gt;=91")+SUMIFS($N:$N,$C:$C,"RM SLT RUST",$G:$G,$AC$890,$H:$H,"2B",$AG:$AG,"&gt;=91")+SUMIFS($N:$N,$C:$C,"RM SLT DENT",$G:$G,$AC$890,$H:$H,"2B",$AG:$AG,"&gt;=91")+SUMIFS($N:$N,$C:$C,"RM SLT",$G:$G,$AC$890,$H:$H,"2B",$AG:$AG,"&gt;=91")+SUMIFS($N:$N,$C:$C,"RM SLT",$G:$G,$AC$890,$H:$H,"BA",$AG:$AG,"&gt;=91")+SUMIFS($N:$N,$C:$C,"RM SLT",$G:$G,$AC$890,$H:$H,"2D",$AG:$AG,"&gt;=91"))</f>
        <v>5.0170000000000003</v>
      </c>
      <c r="AI891" s="195">
        <f t="shared" ca="1" si="66"/>
        <v>5.0170000000000003</v>
      </c>
      <c r="AJ891" s="100"/>
      <c r="AK891" s="207">
        <v>304</v>
      </c>
      <c r="AL891" s="194">
        <f t="shared" ca="1" si="67"/>
        <v>0</v>
      </c>
      <c r="AM891" s="194">
        <f t="shared" ca="1" si="68"/>
        <v>0</v>
      </c>
      <c r="AN891" s="194">
        <f t="shared" ca="1" si="69"/>
        <v>0</v>
      </c>
      <c r="AO891" s="194">
        <f t="shared" ca="1" si="70"/>
        <v>16.145</v>
      </c>
      <c r="AP891" s="195">
        <f t="shared" ca="1" si="71"/>
        <v>16.145</v>
      </c>
    </row>
    <row r="892" spans="2:42" ht="21" customHeight="1" x14ac:dyDescent="0.35">
      <c r="B892" s="182">
        <v>430</v>
      </c>
      <c r="C892" s="183" t="str">
        <f t="shared" ref="C892:J895" si="77">IF(C913=0,"",C913)</f>
        <v/>
      </c>
      <c r="D892" s="183" t="str">
        <f t="shared" si="77"/>
        <v/>
      </c>
      <c r="E892" s="183" t="str">
        <f t="shared" si="77"/>
        <v/>
      </c>
      <c r="F892" s="183" t="str">
        <f t="shared" si="77"/>
        <v/>
      </c>
      <c r="G892" s="183" t="str">
        <f t="shared" si="77"/>
        <v/>
      </c>
      <c r="H892" s="183">
        <f t="shared" si="77"/>
        <v>12.091000000000001</v>
      </c>
      <c r="I892" s="183" t="str">
        <f t="shared" si="77"/>
        <v/>
      </c>
      <c r="J892" s="183" t="str">
        <f t="shared" si="77"/>
        <v/>
      </c>
      <c r="K892" s="186">
        <f t="shared" si="65"/>
        <v>12.091000000000001</v>
      </c>
      <c r="AC892" s="208"/>
      <c r="AD892" s="193" t="s">
        <v>65</v>
      </c>
      <c r="AE892" s="194">
        <f>SUM(SUMIFS($N:$N,$C:$C,"RM",$G:$G,$AC$893,$H:$H,$AD892,$AG:$AG,"&lt;=30")+SUMIFS($N:$N,$C:$C,"RM BAL",$G:$G,$AC$893,$H:$H,$AD892,$AG:$AG,"&lt;=30")+SUMIFS($N:$N,$C:$C,"MILL",$G:$G,$AC$893,$H:$H,$AD892,$AG:$AG,"&lt;=30")+SUMIFS($N:$N,$C:$C,"RM SLT RUST",$G:$G,$AC$893,$H:$H,$AD892,$AG:$AG,"&lt;=30")+SUMIFS($N:$N,$C:$C,"RM SLT DENT",$G:$G,$AC$893,$H:$H,$AD892,$AG:$AG,"&lt;=30")+SUMIFS($N:$N,$C:$C,"RM SLT",$G:$G,$AC$893,$H:$H,$AD892,$AG:$AG,"&lt;=30"))</f>
        <v>0</v>
      </c>
      <c r="AF892" s="194">
        <f>SUM(SUMIFS($N:$N,$C:$C,"RM",$G:$G,$AC$893,$H:$H,$AD892,$AG:$AG,"&lt;=60")+SUMIFS($N:$N,$C:$C,"RM BAL",$G:$G,$AC$893,$H:$H,$AD892,$AG:$AG,"&lt;=60")+SUMIFS($N:$N,$C:$C,"MILL",$G:$G,$AC$893,$H:$H,$AD892,$AG:$AG,"&lt;=60")+SUMIFS($N:$N,$C:$C,"RM SLT RUST",$G:$G,$AC$893,$H:$H,$AD892,$AG:$AG,"&lt;=60")+SUMIFS($N:$N,$C:$C,"RM SLT DENT",$G:$G,$AC$893,$H:$H,$AD892,$AG:$AG,"&lt;=60")+SUMIFS($N:$N,$C:$C,"RM SLT",$G:$G,$AC$893,$H:$H,$AD892,$AG:$AG,"&lt;=60"))-AE892</f>
        <v>0</v>
      </c>
      <c r="AG892" s="194">
        <f>SUM(SUMIFS($N:$N,$C:$C,"RM",$G:$G,$AC$893,$H:$H,$AD892,$AG:$AG,"&lt;=90")+SUMIFS($N:$N,$C:$C,"RM BAL",$G:$G,$AC$893,$H:$H,$AD892,$AG:$AG,"&lt;=90")+SUMIFS($N:$N,$C:$C,"MILL",$G:$G,$AC$893,$H:$H,$AD892,$AG:$AG,"&lt;=90")+SUMIFS($N:$N,$C:$C,"RM SLT RUST",$G:$G,$AC$893,$H:$H,$AD892,$AG:$AG,"&lt;=90")+SUMIFS($N:$N,$C:$C,"RM SLT DENT",$G:$G,$AC$893,$H:$H,$AD892,$AG:$AG,"&lt;=90")+SUMIFS($N:$N,$C:$C,"RM SLT",$G:$G,$AC$893,$H:$H,$AD892,$AG:$AG,"&lt;=90"))-AF892-AE892</f>
        <v>0</v>
      </c>
      <c r="AH892" s="194">
        <f>SUM(SUMIFS($N:$N,$C:$C,"RM",$G:$G,$AC$893,$H:$H,$AD892,$AG:$AG,"&gt;=91")+SUMIFS($N:$N,$C:$C,"RM BAL",$G:$G,$AC$893,$H:$H,$AD892,$AG:$AG,"&gt;=91")+SUMIFS($N:$N,$C:$C,"MILL",$G:$G,$AC$893,$H:$H,$AD892,$AG:$AG,"&gt;=91")+SUMIFS($N:$N,$C:$C,"RM SLT RUST",$G:$G,$AC$893,$H:$H,$AD892,$AG:$AG,"&gt;=91")+SUMIFS($N:$N,$C:$C,"RM SLT DENT",$G:$G,$AC$893,$H:$H,$AD892,$AG:$AG,"&gt;=91")+SUMIFS($N:$N,$C:$C,"RM SLT",$G:$G,$AC$893,$H:$H,$AD892,$AG:$AG,"&gt;=91"))</f>
        <v>0</v>
      </c>
      <c r="AI892" s="195">
        <f t="shared" si="66"/>
        <v>0</v>
      </c>
      <c r="AJ892" s="106"/>
      <c r="AK892" s="209" t="s">
        <v>230</v>
      </c>
      <c r="AL892" s="194">
        <f t="shared" ca="1" si="67"/>
        <v>0</v>
      </c>
      <c r="AM892" s="194">
        <f t="shared" ca="1" si="68"/>
        <v>0</v>
      </c>
      <c r="AN892" s="194">
        <f t="shared" ca="1" si="69"/>
        <v>0</v>
      </c>
      <c r="AO892" s="194">
        <f t="shared" ca="1" si="70"/>
        <v>115.66499999999999</v>
      </c>
      <c r="AP892" s="195">
        <f t="shared" ca="1" si="71"/>
        <v>115.66499999999999</v>
      </c>
    </row>
    <row r="893" spans="2:42" ht="21" customHeight="1" x14ac:dyDescent="0.35">
      <c r="B893" s="182" t="s">
        <v>33</v>
      </c>
      <c r="C893" s="183" t="str">
        <f t="shared" si="77"/>
        <v/>
      </c>
      <c r="D893" s="183" t="str">
        <f t="shared" si="77"/>
        <v/>
      </c>
      <c r="E893" s="183" t="str">
        <f t="shared" si="77"/>
        <v/>
      </c>
      <c r="F893" s="183" t="str">
        <f t="shared" si="77"/>
        <v/>
      </c>
      <c r="G893" s="183" t="str">
        <f t="shared" si="77"/>
        <v/>
      </c>
      <c r="H893" s="183" t="str">
        <f t="shared" si="77"/>
        <v/>
      </c>
      <c r="I893" s="183" t="str">
        <f t="shared" si="77"/>
        <v/>
      </c>
      <c r="J893" s="183" t="str">
        <f t="shared" si="77"/>
        <v/>
      </c>
      <c r="K893" s="186" t="str">
        <f t="shared" si="65"/>
        <v/>
      </c>
      <c r="O893" s="210" t="s">
        <v>2536</v>
      </c>
      <c r="P893" s="210"/>
      <c r="Q893" s="211"/>
      <c r="R893" s="211"/>
      <c r="S893" s="211"/>
      <c r="U893" s="174" t="s">
        <v>43</v>
      </c>
      <c r="V893" s="182" t="s">
        <v>44</v>
      </c>
      <c r="W893" s="182" t="s">
        <v>45</v>
      </c>
      <c r="X893" s="182" t="s">
        <v>116</v>
      </c>
      <c r="Y893" s="182" t="s">
        <v>2535</v>
      </c>
      <c r="Z893" s="178" t="s">
        <v>34</v>
      </c>
      <c r="AC893" s="212" t="s">
        <v>28</v>
      </c>
      <c r="AD893" s="126" t="s">
        <v>139</v>
      </c>
      <c r="AE893" s="194">
        <f ca="1">SUM(SUMIFS($N:$N,$C:$C,"RM",$G:$G,$AC$893,$H:$H,$AD893,$AG:$AG,"&lt;=30")+SUMIFS($N:$N,$C:$C,"RM BAL",$G:$G,$AC$893,$H:$H,$AD893,$AG:$AG,"&lt;=30")+SUMIFS($N:$N,$C:$C,"MILL",$G:$G,$AC$893,$H:$H,$AD893,$AG:$AG,"&lt;=30")+SUMIFS($N:$N,$C:$C,"RM SLT RUST",$G:$G,$AC$893,$H:$H,$AD893,$AG:$AG,"&lt;=30")+SUMIFS($N:$N,$C:$C,"RM SLT DENT",$G:$G,$AC$893,$H:$H,$AD893,$AG:$AG,"&lt;=30")+SUMIFS($N:$N,$C:$C,"RM SLT",$G:$G,$AC$893,$H:$H,$AD893,$AG:$AG,"&lt;=30"))</f>
        <v>0</v>
      </c>
      <c r="AF893" s="194">
        <f ca="1">SUM(SUMIFS($N:$N,$C:$C,"RM",$G:$G,$AC$893,$H:$H,$AD893,$AG:$AG,"&lt;=60")+SUMIFS($N:$N,$C:$C,"RM BAL",$G:$G,$AC$893,$H:$H,$AD893,$AG:$AG,"&lt;=60")+SUMIFS($N:$N,$C:$C,"MILL",$G:$G,$AC$893,$H:$H,$AD893,$AG:$AG,"&lt;=60")+SUMIFS($N:$N,$C:$C,"RM SLT RUST",$G:$G,$AC$893,$H:$H,$AD893,$AG:$AG,"&lt;=60")+SUMIFS($N:$N,$C:$C,"RM SLT DENT",$G:$G,$AC$893,$H:$H,$AD893,$AG:$AG,"&lt;=60")+SUMIFS($N:$N,$C:$C,"RM SLT",$G:$G,$AC$893,$H:$H,$AD893,$AG:$AG,"&lt;=60"))-AE893</f>
        <v>0</v>
      </c>
      <c r="AG893" s="194">
        <f ca="1">SUM(SUMIFS($N:$N,$C:$C,"RM",$G:$G,$AC$893,$H:$H,$AD893,$AG:$AG,"&lt;=90")+SUMIFS($N:$N,$C:$C,"RM BAL",$G:$G,$AC$893,$H:$H,$AD893,$AG:$AG,"&lt;=90")+SUMIFS($N:$N,$C:$C,"MILL",$G:$G,$AC$893,$H:$H,$AD893,$AG:$AG,"&lt;=90")+SUMIFS($N:$N,$C:$C,"RM SLT RUST",$G:$G,$AC$893,$H:$H,$AD893,$AG:$AG,"&lt;=90")+SUMIFS($N:$N,$C:$C,"RM SLT DENT",$G:$G,$AC$893,$H:$H,$AD893,$AG:$AG,"&lt;=90")+SUMIFS($N:$N,$C:$C,"RM SLT",$G:$G,$AC$893,$H:$H,$AD893,$AG:$AG,"&lt;=90"))-AF893-AE893</f>
        <v>0</v>
      </c>
      <c r="AH893" s="194">
        <f ca="1">SUM(SUMIFS($N:$N,$C:$C,"RM",$G:$G,$AC$893,$H:$H,$AD893,$AG:$AG,"&gt;=91")+SUMIFS($N:$N,$C:$C,"RM BAL",$G:$G,$AC$893,$H:$H,$AD893,$AG:$AG,"&gt;=91")+SUMIFS($N:$N,$C:$C,"MILL",$G:$G,$AC$893,$H:$H,$AD893,$AG:$AG,"&gt;=91")+SUMIFS($N:$N,$C:$C,"RM SLT RUST",$G:$G,$AC$893,$H:$H,$AD893,$AG:$AG,"&gt;=91")+SUMIFS($N:$N,$C:$C,"RM SLT DENT",$G:$G,$AC$893,$H:$H,$AD893,$AG:$AG,"&gt;=91")+SUMIFS($N:$N,$C:$C,"RM SLT",$G:$G,$AC$893,$H:$H,$AD893,$AG:$AG,"&gt;=91"))</f>
        <v>49.287999999999997</v>
      </c>
      <c r="AI893" s="195">
        <f t="shared" ca="1" si="66"/>
        <v>49.287999999999997</v>
      </c>
      <c r="AJ893" s="106"/>
      <c r="AK893" s="213" t="s">
        <v>148</v>
      </c>
      <c r="AL893" s="194">
        <f t="shared" ca="1" si="67"/>
        <v>0</v>
      </c>
      <c r="AM893" s="194">
        <f t="shared" ca="1" si="68"/>
        <v>0</v>
      </c>
      <c r="AN893" s="194">
        <f t="shared" ca="1" si="69"/>
        <v>0</v>
      </c>
      <c r="AO893" s="194">
        <f t="shared" ca="1" si="70"/>
        <v>2.16</v>
      </c>
      <c r="AP893" s="195">
        <f t="shared" ca="1" si="71"/>
        <v>2.16</v>
      </c>
    </row>
    <row r="894" spans="2:42" ht="21" customHeight="1" x14ac:dyDescent="0.35">
      <c r="B894" s="182">
        <v>410</v>
      </c>
      <c r="C894" s="183" t="str">
        <f t="shared" si="77"/>
        <v/>
      </c>
      <c r="D894" s="183" t="str">
        <f t="shared" si="77"/>
        <v/>
      </c>
      <c r="E894" s="183">
        <f t="shared" si="77"/>
        <v>0.85499999999999998</v>
      </c>
      <c r="F894" s="183" t="str">
        <f t="shared" si="77"/>
        <v/>
      </c>
      <c r="G894" s="183" t="str">
        <f t="shared" si="77"/>
        <v/>
      </c>
      <c r="H894" s="183" t="str">
        <f t="shared" si="77"/>
        <v/>
      </c>
      <c r="I894" s="183" t="str">
        <f t="shared" si="77"/>
        <v/>
      </c>
      <c r="J894" s="183" t="str">
        <f t="shared" si="77"/>
        <v/>
      </c>
      <c r="K894" s="186">
        <f t="shared" si="65"/>
        <v>0.85499999999999998</v>
      </c>
      <c r="O894" s="174" t="s">
        <v>43</v>
      </c>
      <c r="P894" s="178" t="s">
        <v>44</v>
      </c>
      <c r="Q894" s="178" t="s">
        <v>45</v>
      </c>
      <c r="R894" s="178" t="s">
        <v>116</v>
      </c>
      <c r="S894" s="178" t="s">
        <v>2537</v>
      </c>
      <c r="U894" s="175">
        <v>201</v>
      </c>
      <c r="V894" s="182">
        <f t="shared" ref="V894:Y896" si="78">P895</f>
        <v>0</v>
      </c>
      <c r="W894" s="182">
        <f t="shared" si="78"/>
        <v>0</v>
      </c>
      <c r="X894" s="182">
        <f t="shared" si="78"/>
        <v>0</v>
      </c>
      <c r="Y894" s="182">
        <f t="shared" si="78"/>
        <v>0</v>
      </c>
      <c r="Z894" s="214">
        <f>SUM(V894:X894)</f>
        <v>0</v>
      </c>
      <c r="AC894" s="212"/>
      <c r="AD894" s="200" t="s">
        <v>46</v>
      </c>
      <c r="AE894" s="194">
        <f>SUM(SUMIFS($N:$N,$C:$C,"RM",$G:$G,$AC$893,$H:$H,"2B",$AG:$AG,"&lt;=30")+SUMIFS($N:$N,$C:$C,"RM BAL",$G:$G,$AC$893,$H:$H,"2B",$AG:$AG,"&lt;=30")+SUMIFS($N:$N,$C:$C,"MILL",$G:$G,$AC$893,$H:$H,"2B",$AG:$AG,"&lt;=30")+SUMIFS($N:$N,$C:$C,"RM SLT RUST",$G:$G,$AC$893,$H:$H,"2B",$AG:$AG,"&lt;=30")+SUMIFS($N:$N,$C:$C,"RM SLT DENT",$G:$G,$AC$893,$H:$H,"2B",$AG:$AG,"&lt;=30")+SUMIFS($N:$N,$C:$C,"RM SLT",$G:$G,$AC$893,$H:$H,"2B",$AG:$AG,"&lt;=30")+SUMIFS($N:$N,$C:$C,"RM SLT",$G:$G,$AC$893,$H:$H,"BA",$AG:$AG,"&lt;=30")+SUMIFS($N:$N,$C:$C,"RM SLT",$G:$G,$AC$893,$H:$H,"2D",$AG:$AG,"&lt;=30"))</f>
        <v>0</v>
      </c>
      <c r="AF894" s="194">
        <f>SUM(SUMIFS($N:$N,$C:$C,"RM",$G:$G,$AC$893,$H:$H,"2B",$AG:$AG,"&lt;=60")+SUMIFS($N:$N,$C:$C,"RM BAL",$G:$G,$AC$893,$H:$H,"2B",$AG:$AG,"&lt;=60")+SUMIFS($N:$N,$C:$C,"MILL",$G:$G,$AC$893,$H:$H,"2B",$AG:$AG,"&lt;=60")+SUMIFS($N:$N,$C:$C,"RM SLT RUST",$G:$G,$AC$893,$H:$H,"2B",$AG:$AG,"&lt;=60")+SUMIFS($N:$N,$C:$C,"RM SLT DENT",$G:$G,$AC$893,$H:$H,"2B",$AG:$AG,"&lt;=60")+SUMIFS($N:$N,$C:$C,"RM SLT",$G:$G,$AC$893,$H:$H,"2B",$AG:$AG,"&lt;=60")+SUMIFS($N:$N,$C:$C,"RM SLT",$G:$G,$AC$893,$H:$H,"BA",$AG:$AG,"&lt;=60")+SUMIFS($N:$N,$C:$C,"RM SLT",$G:$G,$AC$893,$H:$H,"2D",$AG:$AG,"&lt;=60"))-AE894</f>
        <v>0</v>
      </c>
      <c r="AG894" s="194">
        <f>SUM(SUMIFS($N:$N,$C:$C,"RM",$G:$G,$AC$893,$H:$H,"2B",$AG:$AG,"&lt;=90")+SUMIFS($N:$N,$C:$C,"RM BAL",$G:$G,$AC$893,$H:$H,"2B",$AG:$AG,"&lt;=90")+SUMIFS($N:$N,$C:$C,"MILL",$G:$G,$AC$893,$H:$H,"2B",$AG:$AG,"&lt;=90")+SUMIFS($N:$N,$C:$C,"RM SLT RUST",$G:$G,$AC$893,$H:$H,"2B",$AG:$AG,"&lt;=90")+SUMIFS($N:$N,$C:$C,"RM SLT DENT",$G:$G,$AC$893,$H:$H,"2B",$AG:$AG,"&lt;=90")+SUMIFS($N:$N,$C:$C,"RM SLT",$G:$G,$AC$893,$H:$H,"2B",$AG:$AG,"&lt;=90")+SUMIFS($N:$N,$C:$C,"RM SLT",$G:$G,$AC$893,$H:$H,"BA",$AG:$AG,"&lt;=90")+SUMIFS($N:$N,$C:$C,"RM SLT",$G:$G,$AC$893,$H:$H,"2D",$AG:$AG,"&lt;=90"))-AF894-AE894</f>
        <v>0</v>
      </c>
      <c r="AH894" s="194">
        <f>SUM(SUMIFS($N:$N,$C:$C,"RM",$G:$G,$AC$893,$H:$H,"2B",$AG:$AG,"&gt;=91")+SUMIFS($N:$N,$C:$C,"RM BAL",$G:$G,$AC$893,$H:$H,"2B",$AG:$AG,"&gt;=91")+SUMIFS($N:$N,$C:$C,"MILL",$G:$G,$AC$893,$H:$H,"2B",$AG:$AG,"&gt;=91")+SUMIFS($N:$N,$C:$C,"RM SLT RUST",$G:$G,$AC$893,$H:$H,"2B",$AG:$AG,"&gt;=91")+SUMIFS($N:$N,$C:$C,"RM SLT DENT",$G:$G,$AC$893,$H:$H,"2B",$AG:$AG,"&gt;=91")+SUMIFS($N:$N,$C:$C,"RM SLT",$G:$G,$AC$893,$H:$H,"2B",$AG:$AG,"&gt;=91")+SUMIFS($N:$N,$C:$C,"RM SLT",$G:$G,$AC$893,$H:$H,"BA",$AG:$AG,"&gt;=91")+SUMIFS($N:$N,$C:$C,"RM SLT",$G:$G,$AC$893,$H:$H,"2D",$AG:$AG,"&gt;=91"))</f>
        <v>0</v>
      </c>
      <c r="AI894" s="195">
        <f t="shared" si="66"/>
        <v>0</v>
      </c>
      <c r="AJ894" s="106"/>
      <c r="AK894" s="215">
        <v>430</v>
      </c>
      <c r="AL894" s="194">
        <f t="shared" si="67"/>
        <v>0</v>
      </c>
      <c r="AM894" s="194">
        <f t="shared" si="68"/>
        <v>0</v>
      </c>
      <c r="AN894" s="194">
        <f t="shared" si="69"/>
        <v>0</v>
      </c>
      <c r="AO894" s="194">
        <f t="shared" si="70"/>
        <v>0</v>
      </c>
      <c r="AP894" s="195">
        <f t="shared" si="71"/>
        <v>0</v>
      </c>
    </row>
    <row r="895" spans="2:42" ht="21" customHeight="1" x14ac:dyDescent="0.35">
      <c r="B895" s="182">
        <v>301</v>
      </c>
      <c r="C895" s="183" t="str">
        <f t="shared" si="77"/>
        <v/>
      </c>
      <c r="D895" s="183" t="str">
        <f t="shared" si="77"/>
        <v/>
      </c>
      <c r="E895" s="183" t="str">
        <f t="shared" si="77"/>
        <v/>
      </c>
      <c r="F895" s="183" t="str">
        <f t="shared" si="77"/>
        <v/>
      </c>
      <c r="G895" s="183" t="str">
        <f t="shared" si="77"/>
        <v/>
      </c>
      <c r="H895" s="183" t="str">
        <f t="shared" si="77"/>
        <v/>
      </c>
      <c r="I895" s="183" t="str">
        <f t="shared" si="77"/>
        <v/>
      </c>
      <c r="J895" s="183" t="str">
        <f t="shared" si="77"/>
        <v/>
      </c>
      <c r="K895" s="186" t="str">
        <f t="shared" si="65"/>
        <v/>
      </c>
      <c r="O895" s="216">
        <v>201</v>
      </c>
      <c r="P895" s="182">
        <f t="shared" ref="P895:P909" si="79">SUMIFS($N$5:$N$882,$G$5:$G$882,O895,$H$5:$H$882,"NO.1")</f>
        <v>0</v>
      </c>
      <c r="Q895" s="182">
        <f t="shared" ref="Q895:Q909" si="80">SUMIFS($N$5:$N$882,$H$5:$H$882,"FH",$D$5:$D$882,"RM BAL",$G$5:$G$882,O895)</f>
        <v>0</v>
      </c>
      <c r="R895" s="183">
        <f t="shared" ref="R895:R909" si="81">SUM(SUMIFS($N$5:$N$882,$H$5:$H$882,"2B",$D$5:$D$882,"RM SLT",$G$5:$G$882,O895)+SUMIFS($N$5:$N$882,$H$5:$H$882,"BA",$D$5:$D$882,"RM SLT",$G$5:$G$882,O895)+SUMIFS($N$5:$N$882,$H$5:$H$882,"2D",$D$5:$D$882,"RM SLT",$G$5:$G$882,O895))</f>
        <v>0</v>
      </c>
      <c r="S895" s="183">
        <f t="shared" ref="S895:S909" si="82">SUM(SUMIFS($N$5:$N$882,$H$5:$H$882,"2B",$D$5:$D$882,"RM SLT RUST",$G$5:$G$882,O895)+SUMIFS($N$5:$N$882,$H$5:$H$882,"2B",$D$5:$D$882,"RM SLT RUST DENT",$G$5:$G$882,O895)+SUMIFS($N$5:$N$882,$H$5:$H$882,"2B",$D$5:$D$882,"RM SLT DENT",$G$5:$G$882,O895))</f>
        <v>0</v>
      </c>
      <c r="U895" s="175" t="s">
        <v>27</v>
      </c>
      <c r="V895" s="182">
        <f t="shared" si="78"/>
        <v>0</v>
      </c>
      <c r="W895" s="182">
        <f t="shared" si="78"/>
        <v>0</v>
      </c>
      <c r="X895" s="182">
        <f t="shared" si="78"/>
        <v>5.0170000000000003</v>
      </c>
      <c r="Y895" s="182">
        <f t="shared" si="78"/>
        <v>0</v>
      </c>
      <c r="Z895" s="214">
        <f>SUM(V895:X895)</f>
        <v>5.0170000000000003</v>
      </c>
      <c r="AC895" s="217"/>
      <c r="AD895" s="193" t="s">
        <v>65</v>
      </c>
      <c r="AE895" s="194">
        <f ca="1">SUM(SUMIFS($N:$N,$C:$C,"RM",$G:$G,$AC$896,$H:$H,$AD895,$AG:$AG,"&lt;=30")+SUMIFS($N:$N,$C:$C,"RM BAL",$G:$G,$AC$896,$H:$H,$AD895,$AG:$AG,"&lt;=30")+SUMIFS($N:$N,$C:$C,"MILL",$G:$G,$AC$896,$H:$H,$AD895,$AG:$AG,"&lt;=30")+SUMIFS($N:$N,$C:$C,"RM SLT RUST",$G:$G,$AC$896,$H:$H,$AD895,$AG:$AG,"&lt;=30")+SUMIFS($N:$N,$C:$C,"RM SLT DENT",$G:$G,$AC$896,$H:$H,$AD895,$AG:$AG,"&lt;=30")+SUMIFS($N:$N,$C:$C,"RM SLT",$G:$G,$AC$896,$H:$H,$AD895,$AG:$AG,"&lt;=30"))</f>
        <v>0</v>
      </c>
      <c r="AF895" s="194">
        <f ca="1">SUM(SUMIFS($N:$N,$C:$C,"RM",$G:$G,$AC$896,$H:$H,$AD895,$AG:$AG,"&lt;=60")+SUMIFS($N:$N,$C:$C,"RM BAL",$G:$G,$AC$896,$H:$H,$AD895,$AG:$AG,"&lt;=60")+SUMIFS($N:$N,$C:$C,"MILL",$G:$G,$AC$896,$H:$H,$AD895,$AG:$AG,"&lt;=60")+SUMIFS($N:$N,$C:$C,"RM SLT RUST",$G:$G,$AC$896,$H:$H,$AD895,$AG:$AG,"&lt;=60")+SUMIFS($N:$N,$C:$C,"RM SLT DENT",$G:$G,$AC$896,$H:$H,$AD895,$AG:$AG,"&lt;=60")+SUMIFS($N:$N,$C:$C,"RM SLT",$G:$G,$AC$896,$H:$H,$AD895,$AG:$AG,"&lt;=60"))-AE895</f>
        <v>0</v>
      </c>
      <c r="AG895" s="194">
        <f ca="1">SUM(SUMIFS($N:$N,$C:$C,"RM",$G:$G,$AC$896,$H:$H,$AD895,$AG:$AG,"&lt;=90")+SUMIFS($N:$N,$C:$C,"RM BAL",$G:$G,$AC$896,$H:$H,$AD895,$AG:$AG,"&lt;=90")+SUMIFS($N:$N,$C:$C,"MILL",$G:$G,$AC$896,$H:$H,$AD895,$AG:$AG,"&lt;=90")+SUMIFS($N:$N,$C:$C,"RM SLT RUST",$G:$G,$AC$896,$H:$H,$AD895,$AG:$AG,"&lt;=90")+SUMIFS($N:$N,$C:$C,"RM SLT DENT",$G:$G,$AC$896,$H:$H,$AD895,$AG:$AG,"&lt;=90")+SUMIFS($N:$N,$C:$C,"RM SLT",$G:$G,$AC$896,$H:$H,$AD895,$AG:$AG,"&lt;=90"))-AF895-AE895</f>
        <v>0</v>
      </c>
      <c r="AH895" s="194">
        <f ca="1">SUM(SUMIFS($N:$N,$C:$C,"RM",$G:$G,$AC$896,$H:$H,$AD895,$AG:$AG,"&gt;=91")+SUMIFS($N:$N,$C:$C,"RM BAL",$G:$G,$AC$896,$H:$H,$AD895,$AG:$AG,"&gt;=91")+SUMIFS($N:$N,$C:$C,"MILL",$G:$G,$AC$896,$H:$H,$AD895,$AG:$AG,"&gt;=91")+SUMIFS($N:$N,$C:$C,"RM SLT RUST",$G:$G,$AC$896,$H:$H,$AD895,$AG:$AG,"&gt;=91")+SUMIFS($N:$N,$C:$C,"RM SLT DENT",$G:$G,$AC$896,$H:$H,$AD895,$AG:$AG,"&gt;=91")+SUMIFS($N:$N,$C:$C,"RM SLT",$G:$G,$AC$896,$H:$H,$AD895,$AG:$AG,"&gt;=91"))</f>
        <v>10.199999999999999</v>
      </c>
      <c r="AI895" s="195">
        <f t="shared" ca="1" si="66"/>
        <v>10.199999999999999</v>
      </c>
      <c r="AJ895" s="106"/>
      <c r="AK895" s="218" t="s">
        <v>2538</v>
      </c>
      <c r="AL895" s="194">
        <f t="shared" si="67"/>
        <v>0</v>
      </c>
      <c r="AM895" s="194">
        <f t="shared" si="68"/>
        <v>0</v>
      </c>
      <c r="AN895" s="194">
        <f t="shared" si="69"/>
        <v>0</v>
      </c>
      <c r="AO895" s="194">
        <f t="shared" si="70"/>
        <v>0</v>
      </c>
      <c r="AP895" s="195">
        <f t="shared" si="71"/>
        <v>0</v>
      </c>
    </row>
    <row r="896" spans="2:42" ht="21" customHeight="1" x14ac:dyDescent="0.35">
      <c r="B896" s="178" t="s">
        <v>34</v>
      </c>
      <c r="C896" s="186">
        <f t="shared" ref="C896:K896" si="83">IF(SUM(C885:C895)=0,"",SUM(C885:C895))</f>
        <v>215.565</v>
      </c>
      <c r="D896" s="186">
        <f t="shared" si="83"/>
        <v>484.63</v>
      </c>
      <c r="E896" s="186">
        <f t="shared" si="83"/>
        <v>40.874999999999993</v>
      </c>
      <c r="F896" s="186">
        <f t="shared" si="83"/>
        <v>41.784999999999997</v>
      </c>
      <c r="G896" s="186">
        <f t="shared" si="83"/>
        <v>32.515000000000001</v>
      </c>
      <c r="H896" s="186">
        <f t="shared" si="83"/>
        <v>141.262</v>
      </c>
      <c r="I896" s="186" t="str">
        <f t="shared" si="83"/>
        <v/>
      </c>
      <c r="J896" s="186" t="str">
        <f t="shared" si="83"/>
        <v/>
      </c>
      <c r="K896" s="186">
        <f t="shared" si="83"/>
        <v>956.63199999999995</v>
      </c>
      <c r="O896" s="216" t="s">
        <v>27</v>
      </c>
      <c r="P896" s="182">
        <f t="shared" si="79"/>
        <v>0</v>
      </c>
      <c r="Q896" s="182">
        <f t="shared" si="80"/>
        <v>0</v>
      </c>
      <c r="R896" s="183">
        <f t="shared" si="81"/>
        <v>5.0170000000000003</v>
      </c>
      <c r="S896" s="183">
        <f t="shared" si="82"/>
        <v>0</v>
      </c>
      <c r="U896" s="175" t="s">
        <v>28</v>
      </c>
      <c r="V896" s="182">
        <f t="shared" si="78"/>
        <v>49.287999999999997</v>
      </c>
      <c r="W896" s="182">
        <f t="shared" si="78"/>
        <v>0</v>
      </c>
      <c r="X896" s="182">
        <f t="shared" si="78"/>
        <v>0</v>
      </c>
      <c r="Y896" s="182">
        <f t="shared" si="78"/>
        <v>0</v>
      </c>
      <c r="Z896" s="214">
        <f t="shared" ref="Z896:Z905" si="84">SUM(V896:Y896)</f>
        <v>49.287999999999997</v>
      </c>
      <c r="AC896" s="219" t="s">
        <v>29</v>
      </c>
      <c r="AD896" s="126" t="s">
        <v>139</v>
      </c>
      <c r="AE896" s="194">
        <f ca="1">SUM(SUMIFS($N:$N,$C:$C,"RM",$G:$G,$AC$896,$H:$H,$AD896,$AG:$AG,"&lt;=30")+SUMIFS($N:$N,$C:$C,"RM BAL",$G:$G,$AC$896,$H:$H,$AD896,$AG:$AG,"&lt;=30")+SUMIFS($N:$N,$C:$C,"MILL",$G:$G,$AC$896,$H:$H,$AD896,$AG:$AG,"&lt;=30")+SUMIFS($N:$N,$C:$C,"RM SLT RUST",$G:$G,$AC$896,$H:$H,$AD896,$AG:$AG,"&lt;=30")+SUMIFS($N:$N,$C:$C,"RM SLT DENT",$G:$G,$AC$896,$H:$H,$AD896,$AG:$AG,"&lt;=30")+SUMIFS($N:$N,$C:$C,"RM SLT",$G:$G,$AC$896,$H:$H,$AD896,$AG:$AG,"&lt;=30"))</f>
        <v>0</v>
      </c>
      <c r="AF896" s="194">
        <f ca="1">SUM(SUMIFS($N:$N,$C:$C,"RM",$G:$G,$AC$896,$H:$H,$AD896,$AG:$AG,"&lt;=60")+SUMIFS($N:$N,$C:$C,"RM BAL",$G:$G,$AC$896,$H:$H,$AD896,$AG:$AG,"&lt;=60")+SUMIFS($N:$N,$C:$C,"MILL",$G:$G,$AC$896,$H:$H,$AD896,$AG:$AG,"&lt;=60")+SUMIFS($N:$N,$C:$C,"RM SLT RUST",$G:$G,$AC$896,$H:$H,$AD896,$AG:$AG,"&lt;=60")+SUMIFS($N:$N,$C:$C,"RM SLT DENT",$G:$G,$AC$896,$H:$H,$AD896,$AG:$AG,"&lt;=60")+SUMIFS($N:$N,$C:$C,"RM SLT",$G:$G,$AC$896,$H:$H,$AD896,$AG:$AG,"&lt;=60"))-AE896</f>
        <v>0</v>
      </c>
      <c r="AG896" s="194">
        <f ca="1">SUM(SUMIFS($N:$N,$C:$C,"RM",$G:$G,$AC$896,$H:$H,$AD896,$AG:$AG,"&lt;=90")+SUMIFS($N:$N,$C:$C,"RM BAL",$G:$G,$AC$896,$H:$H,$AD896,$AG:$AG,"&lt;=90")+SUMIFS($N:$N,$C:$C,"MILL",$G:$G,$AC$896,$H:$H,$AD896,$AG:$AG,"&lt;=90")+SUMIFS($N:$N,$C:$C,"RM SLT RUST",$G:$G,$AC$896,$H:$H,$AD896,$AG:$AG,"&lt;=90")+SUMIFS($N:$N,$C:$C,"RM SLT DENT",$G:$G,$AC$896,$H:$H,$AD896,$AG:$AG,"&lt;=90")+SUMIFS($N:$N,$C:$C,"RM SLT",$G:$G,$AC$896,$H:$H,$AD896,$AG:$AG,"&lt;=90"))-AF896-AE896</f>
        <v>0</v>
      </c>
      <c r="AH896" s="194">
        <f ca="1">SUM(SUMIFS($N:$N,$C:$C,"RM",$G:$G,$AC$896,$H:$H,$AD896,$AG:$AG,"&gt;=91")+SUMIFS($N:$N,$C:$C,"RM BAL",$G:$G,$AC$896,$H:$H,$AD896,$AG:$AG,"&gt;=91")+SUMIFS($N:$N,$C:$C,"MILL",$G:$G,$AC$896,$H:$H,$AD896,$AG:$AG,"&gt;=91")+SUMIFS($N:$N,$C:$C,"RM SLT RUST",$G:$G,$AC$896,$H:$H,$AD896,$AG:$AG,"&gt;=91")+SUMIFS($N:$N,$C:$C,"RM SLT DENT",$G:$G,$AC$896,$H:$H,$AD896,$AG:$AG,"&gt;=91")+SUMIFS($N:$N,$C:$C,"RM SLT",$G:$G,$AC$896,$H:$H,$AD896,$AG:$AG,"&gt;=91"))</f>
        <v>700.21600000000001</v>
      </c>
      <c r="AI896" s="195">
        <f t="shared" ca="1" si="66"/>
        <v>700.21600000000001</v>
      </c>
      <c r="AJ896" s="106"/>
      <c r="AK896" s="220" t="s">
        <v>33</v>
      </c>
      <c r="AL896" s="194">
        <f t="shared" si="67"/>
        <v>0</v>
      </c>
      <c r="AM896" s="194">
        <f t="shared" si="68"/>
        <v>0</v>
      </c>
      <c r="AN896" s="194">
        <f t="shared" si="69"/>
        <v>0</v>
      </c>
      <c r="AO896" s="194">
        <f t="shared" si="70"/>
        <v>0</v>
      </c>
      <c r="AP896" s="195">
        <f t="shared" si="71"/>
        <v>0</v>
      </c>
    </row>
    <row r="897" spans="2:42" ht="21" customHeight="1" x14ac:dyDescent="0.35">
      <c r="O897" s="216" t="s">
        <v>28</v>
      </c>
      <c r="P897" s="182">
        <f t="shared" si="79"/>
        <v>49.287999999999997</v>
      </c>
      <c r="Q897" s="182">
        <f t="shared" si="80"/>
        <v>0</v>
      </c>
      <c r="R897" s="183">
        <f t="shared" si="81"/>
        <v>0</v>
      </c>
      <c r="S897" s="183">
        <f t="shared" si="82"/>
        <v>0</v>
      </c>
      <c r="U897" s="176" t="s">
        <v>29</v>
      </c>
      <c r="V897" s="182">
        <f>SUM(P898:P899)</f>
        <v>700.21600000000001</v>
      </c>
      <c r="W897" s="182">
        <f>SUM(Q898:Q899)</f>
        <v>10.199999999999999</v>
      </c>
      <c r="X897" s="182">
        <f>SUM(R898:R899)</f>
        <v>368.96300000000002</v>
      </c>
      <c r="Y897" s="182">
        <f>SUM(S898:S899)</f>
        <v>46.831999999999994</v>
      </c>
      <c r="Z897" s="214">
        <f t="shared" si="84"/>
        <v>1126.2110000000002</v>
      </c>
      <c r="AC897" s="219"/>
      <c r="AD897" s="200" t="s">
        <v>46</v>
      </c>
      <c r="AE897" s="194">
        <f ca="1">SUM(SUMIFS($N:$N,$C:$C,"RM",$G:$G,$AC$896,$H:$H,"2B",$AG:$AG,"&lt;=30")+SUMIFS($N:$N,$C:$C,"RM BAL",$G:$G,$AC$896,$H:$H,"2B",$AG:$AG,"&lt;=30")+SUMIFS($N:$N,$C:$C,"MILL",$G:$G,$AC$896,$H:$H,"2B",$AG:$AG,"&lt;=30")+SUMIFS($N:$N,$C:$C,"RM SLT RUST",$G:$G,$AC$896,$H:$H,"2B",$AG:$AG,"&lt;=30")+SUMIFS($N:$N,$C:$C,"RM SLT DENT",$G:$G,$AC$896,$H:$H,"2B",$AG:$AG,"&lt;=30")+SUMIFS($N:$N,$C:$C,"RM SLT",$G:$G,$AC$896,$H:$H,"2B",$AG:$AG,"&lt;=30")+SUMIFS($N:$N,$C:$C,"RM SLT",$G:$G,$AC$896,$H:$H,"BA",$AG:$AG,"&lt;=30")+SUMIFS($N:$N,$C:$C,"RM SLT",$G:$G,$AC$896,$H:$H,"2D",$AG:$AG,"&lt;=30"))</f>
        <v>0</v>
      </c>
      <c r="AF897" s="194">
        <f ca="1">SUM(SUMIFS($N:$N,$C:$C,"RM",$G:$G,$AC$896,$H:$H,"2B",$AG:$AG,"&lt;=60")+SUMIFS($N:$N,$C:$C,"RM BAL",$G:$G,$AC$896,$H:$H,"2B",$AG:$AG,"&lt;=60")+SUMIFS($N:$N,$C:$C,"MILL",$G:$G,$AC$896,$H:$H,"2B",$AG:$AG,"&lt;=60")+SUMIFS($N:$N,$C:$C,"RM SLT RUST",$G:$G,$AC$896,$H:$H,"2B",$AG:$AG,"&lt;=60")+SUMIFS($N:$N,$C:$C,"RM SLT DENT",$G:$G,$AC$896,$H:$H,"2B",$AG:$AG,"&lt;=60")+SUMIFS($N:$N,$C:$C,"RM SLT",$G:$G,$AC$896,$H:$H,"2B",$AG:$AG,"&lt;=60")+SUMIFS($N:$N,$C:$C,"RM SLT",$G:$G,$AC$896,$H:$H,"BA",$AG:$AG,"&lt;=60")+SUMIFS($N:$N,$C:$C,"RM SLT",$G:$G,$AC$896,$H:$H,"2D",$AG:$AG,"&lt;=60"))-AE897</f>
        <v>0</v>
      </c>
      <c r="AG897" s="194">
        <f ca="1">SUM(SUMIFS($N:$N,$C:$C,"RM",$G:$G,$AC$896,$H:$H,"2B",$AG:$AG,"&lt;=90")+SUMIFS($N:$N,$C:$C,"RM BAL",$G:$G,$AC$896,$H:$H,"2B",$AG:$AG,"&lt;=90")+SUMIFS($N:$N,$C:$C,"MILL",$G:$G,$AC$896,$H:$H,"2B",$AG:$AG,"&lt;=90")+SUMIFS($N:$N,$C:$C,"RM SLT RUST",$G:$G,$AC$896,$H:$H,"2B",$AG:$AG,"&lt;=90")+SUMIFS($N:$N,$C:$C,"RM SLT DENT",$G:$G,$AC$896,$H:$H,"2B",$AG:$AG,"&lt;=90")+SUMIFS($N:$N,$C:$C,"RM SLT",$G:$G,$AC$896,$H:$H,"2B",$AG:$AG,"&lt;=90")+SUMIFS($N:$N,$C:$C,"RM SLT",$G:$G,$AC$896,$H:$H,"BA",$AG:$AG,"&lt;=90")+SUMIFS($N:$N,$C:$C,"RM SLT",$G:$G,$AC$896,$H:$H,"2D",$AG:$AG,"&lt;=90"))-AF897-AE897</f>
        <v>0</v>
      </c>
      <c r="AH897" s="194">
        <f ca="1">SUM(SUMIFS($N:$N,$C:$C,"RM",$G:$G,$AC$896,$H:$H,"2B",$AG:$AG,"&gt;=91")+SUMIFS($N:$N,$C:$C,"RM BAL",$G:$G,$AC$896,$H:$H,"2B",$AG:$AG,"&gt;=91")+SUMIFS($N:$N,$C:$C,"MILL",$G:$G,$AC$896,$H:$H,"2B",$AG:$AG,"&gt;=91")+SUMIFS($N:$N,$C:$C,"RM SLT RUST",$G:$G,$AC$896,$H:$H,"2B",$AG:$AG,"&gt;=91")+SUMIFS($N:$N,$C:$C,"RM SLT DENT",$G:$G,$AC$896,$H:$H,"2B",$AG:$AG,"&gt;=91")+SUMIFS($N:$N,$C:$C,"RM SLT",$G:$G,$AC$896,$H:$H,"2B",$AG:$AG,"&gt;=91")+SUMIFS($N:$N,$C:$C,"RM SLT",$G:$G,$AC$896,$H:$H,"BA",$AG:$AG,"&gt;=91")+SUMIFS($N:$N,$C:$C,"RM SLT",$G:$G,$AC$896,$H:$H,"2D",$AG:$AG,"&gt;=91"))</f>
        <v>415.79500000000002</v>
      </c>
      <c r="AI897" s="195">
        <f t="shared" ca="1" si="66"/>
        <v>415.79500000000002</v>
      </c>
      <c r="AJ897" s="106"/>
      <c r="AK897" s="221">
        <v>410</v>
      </c>
      <c r="AL897" s="194">
        <f t="shared" si="67"/>
        <v>0</v>
      </c>
      <c r="AM897" s="194">
        <f t="shared" si="68"/>
        <v>0</v>
      </c>
      <c r="AN897" s="194">
        <f t="shared" si="69"/>
        <v>0</v>
      </c>
      <c r="AO897" s="194">
        <f t="shared" si="70"/>
        <v>0</v>
      </c>
      <c r="AP897" s="195">
        <f t="shared" si="71"/>
        <v>0</v>
      </c>
    </row>
    <row r="898" spans="2:42" ht="21" customHeight="1" x14ac:dyDescent="0.35">
      <c r="O898" s="216" t="s">
        <v>29</v>
      </c>
      <c r="P898" s="182">
        <f t="shared" si="79"/>
        <v>700.21600000000001</v>
      </c>
      <c r="Q898" s="182">
        <f t="shared" si="80"/>
        <v>10.199999999999999</v>
      </c>
      <c r="R898" s="183">
        <f t="shared" si="81"/>
        <v>368.96300000000002</v>
      </c>
      <c r="S898" s="183">
        <f t="shared" si="82"/>
        <v>46.831999999999994</v>
      </c>
      <c r="U898" s="176" t="s">
        <v>30</v>
      </c>
      <c r="V898" s="182">
        <f>SUM(P900)</f>
        <v>41.09</v>
      </c>
      <c r="W898" s="182">
        <f>SUM(Q900)</f>
        <v>0</v>
      </c>
      <c r="X898" s="182">
        <f>SUM(R900)</f>
        <v>0</v>
      </c>
      <c r="Y898" s="182">
        <f>SUM(S900)</f>
        <v>0</v>
      </c>
      <c r="Z898" s="214">
        <f t="shared" si="84"/>
        <v>41.09</v>
      </c>
      <c r="AC898" s="222"/>
      <c r="AD898" s="193" t="s">
        <v>65</v>
      </c>
      <c r="AE898" s="194">
        <f>SUM(SUMIFS($N:$N,$C:$C,"RM",$G:$G,$AC$899,$H:$H,$AD898,$AG:$AG,"&lt;=30")+SUMIFS($N:$N,$C:$C,"RM BAL",$G:$G,$AC$899,$H:$H,$AD898,$AG:$AG,"&lt;=30")+SUMIFS($N:$N,$C:$C,"MILL",$G:$G,$AC$899,$H:$H,$AD898,$AG:$AG,"&lt;=30")+SUMIFS($N:$N,$C:$C,"RM SLT RUST",$G:$G,$AC$899,$H:$H,$AD898,$AG:$AG,"&lt;=30")+SUMIFS($N:$N,$C:$C,"RM SLT DENT",$G:$G,$AC$899,$H:$H,$AD898,$AG:$AG,"&lt;=30")+SUMIFS($N:$N,$C:$C,"RM SLT",$G:$G,$AC$899,$H:$H,$AD898,$AG:$AG,"&lt;=30"))</f>
        <v>0</v>
      </c>
      <c r="AF898" s="194">
        <f>SUM(SUMIFS($N:$N,$C:$C,"RM",$G:$G,$AC$899,$H:$H,$AD898,$AG:$AG,"&lt;=60")+SUMIFS($N:$N,$C:$C,"RM BAL",$G:$G,$AC$899,$H:$H,$AD898,$AG:$AG,"&lt;=60")+SUMIFS($N:$N,$C:$C,"MILL",$G:$G,$AC$899,$H:$H,$AD898,$AG:$AG,"&lt;=60")+SUMIFS($N:$N,$C:$C,"RM SLT RUST",$G:$G,$AC$899,$H:$H,$AD898,$AG:$AG,"&lt;=60")+SUMIFS($N:$N,$C:$C,"RM SLT DENT",$G:$G,$AC$899,$H:$H,$AD898,$AG:$AG,"&lt;=60")+SUMIFS($N:$N,$C:$C,"RM SLT",$G:$G,$AC$899,$H:$H,$AD898,$AG:$AG,"&lt;=60"))-AE898</f>
        <v>0</v>
      </c>
      <c r="AG898" s="194">
        <f>SUM(SUMIFS($N:$N,$C:$C,"RM",$G:$G,$AC$899,$H:$H,$AD898,$AG:$AG,"&lt;=90")+SUMIFS($N:$N,$C:$C,"RM BAL",$G:$G,$AC$899,$H:$H,$AD898,$AG:$AG,"&lt;=90")+SUMIFS($N:$N,$C:$C,"MILL",$G:$G,$AC$899,$H:$H,$AD898,$AG:$AG,"&lt;=90")+SUMIFS($N:$N,$C:$C,"RM SLT RUST",$G:$G,$AC$899,$H:$H,$AD898,$AG:$AG,"&lt;=90")+SUMIFS($N:$N,$C:$C,"RM SLT DENT",$G:$G,$AC$899,$H:$H,$AD898,$AG:$AG,"&lt;=90")+SUMIFS($N:$N,$C:$C,"RM SLT",$G:$G,$AC$899,$H:$H,$AD898,$AG:$AG,"&lt;=90"))-AF898-AE898</f>
        <v>0</v>
      </c>
      <c r="AH898" s="194">
        <f>SUM(SUMIFS($N:$N,$C:$C,"RM",$G:$G,$AC$899,$H:$H,$AD898,$AG:$AG,"&gt;=91")+SUMIFS($N:$N,$C:$C,"RM BAL",$G:$G,$AC$899,$H:$H,$AD898,$AG:$AG,"&gt;=91")+SUMIFS($N:$N,$C:$C,"MILL",$G:$G,$AC$899,$H:$H,$AD898,$AG:$AG,"&gt;=91")+SUMIFS($N:$N,$C:$C,"RM SLT RUST",$G:$G,$AC$899,$H:$H,$AD898,$AG:$AG,"&gt;=91")+SUMIFS($N:$N,$C:$C,"RM SLT DENT",$G:$G,$AC$899,$H:$H,$AD898,$AG:$AG,"&gt;=91")+SUMIFS($N:$N,$C:$C,"RM SLT",$G:$G,$AC$899,$H:$H,$AD898,$AG:$AG,"&gt;=91"))</f>
        <v>0</v>
      </c>
      <c r="AI898" s="195">
        <f t="shared" si="66"/>
        <v>0</v>
      </c>
      <c r="AK898" s="223">
        <v>301</v>
      </c>
      <c r="AL898" s="194">
        <f t="shared" si="67"/>
        <v>0</v>
      </c>
      <c r="AM898" s="194">
        <f t="shared" si="68"/>
        <v>0</v>
      </c>
      <c r="AN898" s="194">
        <f t="shared" si="69"/>
        <v>0</v>
      </c>
      <c r="AO898" s="194">
        <f t="shared" si="70"/>
        <v>0</v>
      </c>
      <c r="AP898" s="195">
        <f t="shared" si="71"/>
        <v>0</v>
      </c>
    </row>
    <row r="899" spans="2:42" ht="21" customHeight="1" x14ac:dyDescent="0.35">
      <c r="B899" s="210" t="s">
        <v>2536</v>
      </c>
      <c r="C899" s="224"/>
      <c r="D899" s="224"/>
      <c r="E899" s="225"/>
      <c r="F899" s="225"/>
      <c r="G899" s="225"/>
      <c r="H899" s="225"/>
      <c r="I899" s="226"/>
      <c r="J899" s="227"/>
      <c r="K899" s="227"/>
      <c r="O899" s="216" t="s">
        <v>2538</v>
      </c>
      <c r="P899" s="182">
        <f t="shared" si="79"/>
        <v>0</v>
      </c>
      <c r="Q899" s="182">
        <f t="shared" si="80"/>
        <v>0</v>
      </c>
      <c r="R899" s="183">
        <f t="shared" si="81"/>
        <v>0</v>
      </c>
      <c r="S899" s="183">
        <f t="shared" si="82"/>
        <v>0</v>
      </c>
      <c r="U899" s="177" t="s">
        <v>31</v>
      </c>
      <c r="V899" s="182">
        <f>SUM(P901:P903)</f>
        <v>4792.8749999999982</v>
      </c>
      <c r="W899" s="182">
        <f>SUM(Q901:Q903)</f>
        <v>0</v>
      </c>
      <c r="X899" s="182">
        <f>SUM(R901:R903)</f>
        <v>0</v>
      </c>
      <c r="Y899" s="182">
        <f>SUM(S901:S903)</f>
        <v>0</v>
      </c>
      <c r="Z899" s="214">
        <f t="shared" si="84"/>
        <v>4792.8749999999982</v>
      </c>
      <c r="AC899" s="228" t="s">
        <v>30</v>
      </c>
      <c r="AD899" s="126" t="s">
        <v>139</v>
      </c>
      <c r="AE899" s="194">
        <f ca="1">SUM(SUMIFS($N:$N,$C:$C,"RM",$G:$G,$AC$899,$H:$H,$AD899,$AG:$AG,"&lt;=30")+SUMIFS($N:$N,$C:$C,"RM BAL",$G:$G,$AC$899,$H:$H,$AD899,$AG:$AG,"&lt;=30")+SUMIFS($N:$N,$C:$C,"MILL",$G:$G,$AC$899,$H:$H,$AD899,$AG:$AG,"&lt;=30")+SUMIFS($N:$N,$C:$C,"RM SLT RUST",$G:$G,$AC$899,$H:$H,$AD899,$AG:$AG,"&lt;=30")+SUMIFS($N:$N,$C:$C,"RM SLT DENT",$G:$G,$AC$899,$H:$H,$AD899,$AG:$AG,"&lt;=30")+SUMIFS($N:$N,$C:$C,"RM SLT",$G:$G,$AC$899,$H:$H,$AD899,$AG:$AG,"&lt;=30"))</f>
        <v>0</v>
      </c>
      <c r="AF899" s="194">
        <f ca="1">SUM(SUMIFS($N:$N,$C:$C,"RM",$G:$G,$AC$899,$H:$H,$AD899,$AG:$AG,"&lt;=60")+SUMIFS($N:$N,$C:$C,"RM BAL",$G:$G,$AC$899,$H:$H,$AD899,$AG:$AG,"&lt;=60")+SUMIFS($N:$N,$C:$C,"MILL",$G:$G,$AC$899,$H:$H,$AD899,$AG:$AG,"&lt;=60")+SUMIFS($N:$N,$C:$C,"RM SLT RUST",$G:$G,$AC$899,$H:$H,$AD899,$AG:$AG,"&lt;=60")+SUMIFS($N:$N,$C:$C,"RM SLT DENT",$G:$G,$AC$899,$H:$H,$AD899,$AG:$AG,"&lt;=60")+SUMIFS($N:$N,$C:$C,"RM SLT",$G:$G,$AC$899,$H:$H,$AD899,$AG:$AG,"&lt;=60"))-AE899</f>
        <v>0</v>
      </c>
      <c r="AG899" s="194">
        <f ca="1">SUM(SUMIFS($N:$N,$C:$C,"RM",$G:$G,$AC$899,$H:$H,$AD899,$AG:$AG,"&lt;=90")+SUMIFS($N:$N,$C:$C,"RM BAL",$G:$G,$AC$899,$H:$H,$AD899,$AG:$AG,"&lt;=90")+SUMIFS($N:$N,$C:$C,"MILL",$G:$G,$AC$899,$H:$H,$AD899,$AG:$AG,"&lt;=90")+SUMIFS($N:$N,$C:$C,"RM SLT RUST",$G:$G,$AC$899,$H:$H,$AD899,$AG:$AG,"&lt;=90")+SUMIFS($N:$N,$C:$C,"RM SLT DENT",$G:$G,$AC$899,$H:$H,$AD899,$AG:$AG,"&lt;=90")+SUMIFS($N:$N,$C:$C,"RM SLT",$G:$G,$AC$899,$H:$H,$AD899,$AG:$AG,"&lt;=90"))-AF899-AE899</f>
        <v>0</v>
      </c>
      <c r="AH899" s="194">
        <f ca="1">SUM(SUMIFS($N:$N,$C:$C,"RM",$G:$G,$AC$899,$H:$H,$AD899,$AG:$AG,"&gt;=91")+SUMIFS($N:$N,$C:$C,"RM BAL",$G:$G,$AC$899,$H:$H,$AD899,$AG:$AG,"&gt;=91")+SUMIFS($N:$N,$C:$C,"MILL",$G:$G,$AC$899,$H:$H,$AD899,$AG:$AG,"&gt;=91")+SUMIFS($N:$N,$C:$C,"RM SLT RUST",$G:$G,$AC$899,$H:$H,$AD899,$AG:$AG,"&gt;=91")+SUMIFS($N:$N,$C:$C,"RM SLT DENT",$G:$G,$AC$899,$H:$H,$AD899,$AG:$AG,"&gt;=91")+SUMIFS($N:$N,$C:$C,"RM SLT",$G:$G,$AC$899,$H:$H,$AD899,$AG:$AG,"&gt;=91"))</f>
        <v>41.09</v>
      </c>
      <c r="AI899" s="195">
        <f t="shared" ca="1" si="66"/>
        <v>41.09</v>
      </c>
      <c r="AK899" s="229" t="s">
        <v>34</v>
      </c>
      <c r="AL899" s="230">
        <f ca="1">SUM(AL886:AL896)</f>
        <v>0</v>
      </c>
      <c r="AM899" s="230">
        <f ca="1">SUM(AM886:AM896)</f>
        <v>0</v>
      </c>
      <c r="AN899" s="230">
        <f ca="1">SUM(AN886:AN896)</f>
        <v>0</v>
      </c>
      <c r="AO899" s="230">
        <f ca="1">SUM(AO886:AO896)</f>
        <v>195.875</v>
      </c>
      <c r="AP899" s="204">
        <f ca="1">SUM(AP886:AP896)</f>
        <v>195.875</v>
      </c>
    </row>
    <row r="900" spans="2:42" ht="21" customHeight="1" x14ac:dyDescent="0.35">
      <c r="B900" s="800" t="s">
        <v>20</v>
      </c>
      <c r="C900" s="800" t="s">
        <v>13</v>
      </c>
      <c r="D900" s="802" t="s">
        <v>14</v>
      </c>
      <c r="E900" s="803"/>
      <c r="F900" s="803"/>
      <c r="G900" s="803"/>
      <c r="H900" s="803"/>
      <c r="I900" s="804"/>
      <c r="J900" s="800" t="s">
        <v>16</v>
      </c>
      <c r="K900" s="800" t="s">
        <v>18</v>
      </c>
      <c r="O900" s="216" t="s">
        <v>30</v>
      </c>
      <c r="P900" s="182">
        <f t="shared" si="79"/>
        <v>41.09</v>
      </c>
      <c r="Q900" s="182">
        <f t="shared" si="80"/>
        <v>0</v>
      </c>
      <c r="R900" s="183">
        <f t="shared" si="81"/>
        <v>0</v>
      </c>
      <c r="S900" s="183">
        <f t="shared" si="82"/>
        <v>0</v>
      </c>
      <c r="U900" s="177" t="s">
        <v>32</v>
      </c>
      <c r="V900" s="182">
        <f>SUM(P904:P905)</f>
        <v>31.66</v>
      </c>
      <c r="W900" s="182">
        <f>SUM(Q904:Q905)</f>
        <v>0</v>
      </c>
      <c r="X900" s="182">
        <f>SUM(R904:R905)</f>
        <v>0</v>
      </c>
      <c r="Y900" s="182">
        <f>SUM(S904:S905)</f>
        <v>0</v>
      </c>
      <c r="Z900" s="214">
        <f t="shared" si="84"/>
        <v>31.66</v>
      </c>
      <c r="AC900" s="228"/>
      <c r="AD900" s="200" t="s">
        <v>46</v>
      </c>
      <c r="AE900" s="194">
        <f>SUM(SUMIFS($N:$N,$C:$C,"RM",$G:$G,$AC$899,$H:$H,"2B",$AG:$AG,"&lt;=30")+SUMIFS($N:$N,$C:$C,"RM BAL",$G:$G,$AC$899,$H:$H,"2B",$AG:$AG,"&lt;=30")+SUMIFS($N:$N,$C:$C,"MILL",$G:$G,$AC$899,$H:$H,"2B",$AG:$AG,"&lt;=30")+SUMIFS($N:$N,$C:$C,"RM SLT RUST",$G:$G,$AC$899,$H:$H,"2B",$AG:$AG,"&lt;=30")+SUMIFS($N:$N,$C:$C,"RM SLT DENT",$G:$G,$AC$899,$H:$H,"2B",$AG:$AG,"&lt;=30")+SUMIFS($N:$N,$C:$C,"RM SLT",$G:$G,$AC$899,$H:$H,"2B",$AG:$AG,"&lt;=30")+SUMIFS($N:$N,$C:$C,"RM SLT",$G:$G,$AC$899,$H:$H,"BA",$AG:$AG,"&lt;=30")+SUMIFS($N:$N,$C:$C,"RM SLT",$G:$G,$AC$899,$H:$H,"2D",$AG:$AG,"&lt;=30"))</f>
        <v>0</v>
      </c>
      <c r="AF900" s="194">
        <f>SUM(SUMIFS($N:$N,$C:$C,"RM",$G:$G,$AC$899,$H:$H,"2B",$AG:$AG,"&lt;=60")+SUMIFS($N:$N,$C:$C,"RM BAL",$G:$G,$AC$899,$H:$H,"2B",$AG:$AG,"&lt;=60")+SUMIFS($N:$N,$C:$C,"MILL",$G:$G,$AC$899,$H:$H,"2B",$AG:$AG,"&lt;=60")+SUMIFS($N:$N,$C:$C,"RM SLT RUST",$G:$G,$AC$899,$H:$H,"2B",$AG:$AG,"&lt;=60")+SUMIFS($N:$N,$C:$C,"RM SLT DENT",$G:$G,$AC$899,$H:$H,"2B",$AG:$AG,"&lt;=60")+SUMIFS($N:$N,$C:$C,"RM SLT",$G:$G,$AC$899,$H:$H,"2B",$AG:$AG,"&lt;=60")+SUMIFS($N:$N,$C:$C,"RM SLT",$G:$G,$AC$899,$H:$H,"BA",$AG:$AG,"&lt;=60")+SUMIFS($N:$N,$C:$C,"RM SLT",$G:$G,$AC$899,$H:$H,"2D",$AG:$AG,"&lt;=60"))-AE900</f>
        <v>0</v>
      </c>
      <c r="AG900" s="194">
        <f>SUM(SUMIFS($N:$N,$C:$C,"RM",$G:$G,$AC$899,$H:$H,"2B",$AG:$AG,"&lt;=90")+SUMIFS($N:$N,$C:$C,"RM BAL",$G:$G,$AC$899,$H:$H,"2B",$AG:$AG,"&lt;=90")+SUMIFS($N:$N,$C:$C,"MILL",$G:$G,$AC$899,$H:$H,"2B",$AG:$AG,"&lt;=90")+SUMIFS($N:$N,$C:$C,"RM SLT RUST",$G:$G,$AC$899,$H:$H,"2B",$AG:$AG,"&lt;=90")+SUMIFS($N:$N,$C:$C,"RM SLT DENT",$G:$G,$AC$899,$H:$H,"2B",$AG:$AG,"&lt;=90")+SUMIFS($N:$N,$C:$C,"RM SLT",$G:$G,$AC$899,$H:$H,"2B",$AG:$AG,"&lt;=90")+SUMIFS($N:$N,$C:$C,"RM SLT",$G:$G,$AC$899,$H:$H,"BA",$AG:$AG,"&lt;=90")+SUMIFS($N:$N,$C:$C,"RM SLT",$G:$G,$AC$899,$H:$H,"2D",$AG:$AG,"&lt;=90"))-AF900-AE900</f>
        <v>0</v>
      </c>
      <c r="AH900" s="194">
        <f>SUM(SUMIFS($N:$N,$C:$C,"RM",$G:$G,$AC$899,$H:$H,"2B",$AG:$AG,"&gt;=91")+SUMIFS($N:$N,$C:$C,"RM BAL",$G:$G,$AC$899,$H:$H,"2B",$AG:$AG,"&gt;=91")+SUMIFS($N:$N,$C:$C,"MILL",$G:$G,$AC$899,$H:$H,"2B",$AG:$AG,"&gt;=91")+SUMIFS($N:$N,$C:$C,"RM SLT RUST",$G:$G,$AC$899,$H:$H,"2B",$AG:$AG,"&gt;=91")+SUMIFS($N:$N,$C:$C,"RM SLT DENT",$G:$G,$AC$899,$H:$H,"2B",$AG:$AG,"&gt;=91")+SUMIFS($N:$N,$C:$C,"RM SLT",$G:$G,$AC$899,$H:$H,"2B",$AG:$AG,"&gt;=91")+SUMIFS($N:$N,$C:$C,"RM SLT",$G:$G,$AC$899,$H:$H,"BA",$AG:$AG,"&gt;=91")+SUMIFS($N:$N,$C:$C,"RM SLT",$G:$G,$AC$899,$H:$H,"2D",$AG:$AG,"&gt;=91"))</f>
        <v>0</v>
      </c>
      <c r="AI900" s="195">
        <f t="shared" si="66"/>
        <v>0</v>
      </c>
      <c r="AK900" s="231"/>
      <c r="AL900" s="22"/>
      <c r="AM900"/>
      <c r="AN900" s="232"/>
      <c r="AO900" s="232"/>
      <c r="AP900" s="232"/>
    </row>
    <row r="901" spans="2:42" ht="21" customHeight="1" x14ac:dyDescent="0.35">
      <c r="B901" s="801"/>
      <c r="C901" s="801"/>
      <c r="D901" s="180" t="s">
        <v>36</v>
      </c>
      <c r="E901" s="180" t="s">
        <v>37</v>
      </c>
      <c r="F901" s="181" t="s">
        <v>38</v>
      </c>
      <c r="G901" s="180" t="s">
        <v>39</v>
      </c>
      <c r="H901" s="180" t="s">
        <v>2526</v>
      </c>
      <c r="I901" s="180" t="s">
        <v>2527</v>
      </c>
      <c r="J901" s="801"/>
      <c r="K901" s="801"/>
      <c r="O901" s="216">
        <v>304</v>
      </c>
      <c r="P901" s="182">
        <f t="shared" si="79"/>
        <v>1300.9250000000002</v>
      </c>
      <c r="Q901" s="182">
        <f t="shared" si="80"/>
        <v>0</v>
      </c>
      <c r="R901" s="183">
        <f t="shared" si="81"/>
        <v>0</v>
      </c>
      <c r="S901" s="183">
        <f t="shared" si="82"/>
        <v>0</v>
      </c>
      <c r="U901" s="177">
        <v>430</v>
      </c>
      <c r="V901" s="182">
        <f t="shared" ref="V901:Y904" si="85">P906</f>
        <v>20.887999999999998</v>
      </c>
      <c r="W901" s="182">
        <f t="shared" si="85"/>
        <v>0</v>
      </c>
      <c r="X901" s="182">
        <f t="shared" si="85"/>
        <v>0</v>
      </c>
      <c r="Y901" s="182">
        <f t="shared" si="85"/>
        <v>0</v>
      </c>
      <c r="Z901" s="214">
        <f t="shared" si="84"/>
        <v>20.887999999999998</v>
      </c>
      <c r="AC901" s="233"/>
      <c r="AD901" s="193" t="s">
        <v>65</v>
      </c>
      <c r="AE901" s="194">
        <f>SUM(SUMIFS($N:$N,$C:$C,"RM",$G:$G,$AC$902,$H:$H,$AD901,$AG:$AG,"&lt;=30")+SUMIFS($N:$N,$C:$C,"RM BAL",$G:$G,$AC$902,$H:$H,$AD901,$AG:$AG,"&lt;=30")+SUMIFS($N:$N,$C:$C,"MILL",$G:$G,$AC$902,$H:$H,$AD901,$AG:$AG,"&lt;=30")+SUMIFS($N:$N,$C:$C,"RM SLT RUST",$G:$G,$AC$902,$H:$H,$AD901,$AG:$AG,"&lt;=30")+SUMIFS($N:$N,$C:$C,"RM SLT DENT",$G:$G,$AC$902,$H:$H,$AD901,$AG:$AG,"&lt;=30")+SUMIFS($N:$N,$C:$C,"RM SLT",$G:$G,$AC$902,$H:$H,$AD901,$AG:$AG,"&lt;=30"))</f>
        <v>0</v>
      </c>
      <c r="AF901" s="194">
        <f>SUM(SUMIFS($N:$N,$C:$C,"RM",$G:$G,$AC$902,$H:$H,$AD901,$AG:$AG,"&lt;=60")+SUMIFS($N:$N,$C:$C,"RM BAL",$G:$G,$AC$902,$H:$H,$AD901,$AG:$AG,"&lt;=60")+SUMIFS($N:$N,$C:$C,"MILL",$G:$G,$AC$902,$H:$H,$AD901,$AG:$AG,"&lt;=60")+SUMIFS($N:$N,$C:$C,"RM SLT RUST",$G:$G,$AC$902,$H:$H,$AD901,$AG:$AG,"&lt;=60")+SUMIFS($N:$N,$C:$C,"RM SLT DENT",$G:$G,$AC$902,$H:$H,$AD901,$AG:$AG,"&lt;=60")+SUMIFS($N:$N,$C:$C,"RM SLT",$G:$G,$AC$902,$H:$H,$AD901,$AG:$AG,"&lt;=60"))-AE901</f>
        <v>0</v>
      </c>
      <c r="AG901" s="194">
        <f>SUM(SUMIFS($N:$N,$C:$C,"RM",$G:$G,$AC$902,$H:$H,$AD901,$AG:$AG,"&lt;=90")+SUMIFS($N:$N,$C:$C,"RM BAL",$G:$G,$AC$902,$H:$H,$AD901,$AG:$AG,"&lt;=90")+SUMIFS($N:$N,$C:$C,"MILL",$G:$G,$AC$902,$H:$H,$AD901,$AG:$AG,"&lt;=90")+SUMIFS($N:$N,$C:$C,"RM SLT RUST",$G:$G,$AC$902,$H:$H,$AD901,$AG:$AG,"&lt;=90")+SUMIFS($N:$N,$C:$C,"RM SLT DENT",$G:$G,$AC$902,$H:$H,$AD901,$AG:$AG,"&lt;=90")+SUMIFS($N:$N,$C:$C,"RM SLT",$G:$G,$AC$902,$H:$H,$AD901,$AG:$AG,"&lt;=90"))-AF901-AE901</f>
        <v>0</v>
      </c>
      <c r="AH901" s="194">
        <f>SUM(SUMIFS($N:$N,$C:$C,"RM",$G:$G,$AC$902,$H:$H,$AD901,$AG:$AG,"&gt;=91")+SUMIFS($N:$N,$C:$C,"RM BAL",$G:$G,$AC$902,$H:$H,$AD901,$AG:$AG,"&gt;=91")+SUMIFS($N:$N,$C:$C,"MILL",$G:$G,$AC$902,$H:$H,$AD901,$AG:$AG,"&gt;=91")+SUMIFS($N:$N,$C:$C,"RM SLT RUST",$G:$G,$AC$902,$H:$H,$AD901,$AG:$AG,"&gt;=91")+SUMIFS($N:$N,$C:$C,"RM SLT DENT",$G:$G,$AC$902,$H:$H,$AD901,$AG:$AG,"&gt;=91")+SUMIFS($N:$N,$C:$C,"RM SLT",$G:$G,$AC$902,$H:$H,$AD901,$AG:$AG,"&gt;=91"))</f>
        <v>0</v>
      </c>
      <c r="AI901" s="195">
        <f t="shared" si="66"/>
        <v>0</v>
      </c>
      <c r="AK901" s="179"/>
      <c r="AL901"/>
      <c r="AM901"/>
      <c r="AN901"/>
      <c r="AO901"/>
      <c r="AP901"/>
    </row>
    <row r="902" spans="2:42" ht="21" customHeight="1" x14ac:dyDescent="0.35">
      <c r="B902" s="182">
        <v>201</v>
      </c>
      <c r="C902" s="182">
        <f t="shared" ref="C902:C916" si="86">SUMIFS($N$5:$N$882,$C$5:$C$882,"BAL",$D$5:$D$882,"BAL",$G$5:$G$882,B902)</f>
        <v>0</v>
      </c>
      <c r="D902" s="182">
        <f t="shared" ref="D902:D916" si="87">SUMIFS($N$5:$N$882,$D$5:$D$882,"WAIT MULTI",$G$5:$G$882,B902)</f>
        <v>0</v>
      </c>
      <c r="E902" s="182">
        <f t="shared" ref="E902:E916" si="88">SUMIFS($N$5:$N$882,$D$5:$D$882,"HOLD SLT",$G$5:$G$882,B902)</f>
        <v>0</v>
      </c>
      <c r="F902" s="182">
        <f t="shared" ref="F902:F916" si="89">SUMIFS($N$5:$N$882,$D$5:$D$882,"RR ALLOCATED",$G$5:$G$882,B902)</f>
        <v>0</v>
      </c>
      <c r="G902" s="182">
        <f t="shared" ref="G902:G916" si="90">SUMIFS($N$5:$N$882,$D$5:$D$882,"STOCK RR",$G$5:$G$882,B902)</f>
        <v>0</v>
      </c>
      <c r="H902" s="182">
        <f t="shared" ref="H902:H916" si="91">SUMIFS($N$5:$N$882,$D$5:$D$882,"STOCK NO CUST",$G$5:$G$882,B902)</f>
        <v>0</v>
      </c>
      <c r="I902" s="182">
        <f t="shared" ref="I902:I916" si="92">SUMIFS($N$5:$N$882,$D$5:$D$882,"STOCK KW2",$G$5:$G$882,B902)</f>
        <v>0</v>
      </c>
      <c r="J902" s="182">
        <f t="shared" ref="J902:J909" si="93">SUMIFS($N$5:$N$882,$C$5:$C$882,"CTL",$G$5:$G$882,B885)</f>
        <v>0</v>
      </c>
      <c r="K902" s="214">
        <f t="shared" ref="K902:K916" si="94">SUM(C902:J902)</f>
        <v>0</v>
      </c>
      <c r="O902" s="216" t="s">
        <v>377</v>
      </c>
      <c r="P902" s="182">
        <f t="shared" si="79"/>
        <v>0</v>
      </c>
      <c r="Q902" s="182">
        <f t="shared" si="80"/>
        <v>0</v>
      </c>
      <c r="R902" s="183">
        <f t="shared" si="81"/>
        <v>0</v>
      </c>
      <c r="S902" s="183">
        <f t="shared" si="82"/>
        <v>0</v>
      </c>
      <c r="U902" s="177" t="s">
        <v>33</v>
      </c>
      <c r="V902" s="182">
        <f t="shared" si="85"/>
        <v>0</v>
      </c>
      <c r="W902" s="182">
        <f t="shared" si="85"/>
        <v>0</v>
      </c>
      <c r="X902" s="182">
        <f t="shared" si="85"/>
        <v>0</v>
      </c>
      <c r="Y902" s="182">
        <f t="shared" si="85"/>
        <v>0</v>
      </c>
      <c r="Z902" s="214">
        <f t="shared" si="84"/>
        <v>0</v>
      </c>
      <c r="AC902" s="234">
        <v>304</v>
      </c>
      <c r="AD902" s="126" t="s">
        <v>139</v>
      </c>
      <c r="AE902" s="194">
        <f ca="1">SUM(SUMIFS($N:$N,$C:$C,"RM",$G:$G,$AC$902,$H:$H,$AD902,$AG:$AG,"&lt;=30")+SUMIFS($N:$N,$C:$C,"RM BAL",$G:$G,$AC$902,$H:$H,$AD902,$AG:$AG,"&lt;=30")+SUMIFS($N:$N,$C:$C,"MILL",$G:$G,$AC$902,$H:$H,$AD902,$AG:$AG,"&lt;=30")+SUMIFS($N:$N,$C:$C,"RM SLT RUST",$G:$G,$AC$902,$H:$H,$AD902,$AG:$AG,"&lt;=30")+SUMIFS($N:$N,$C:$C,"RM SLT DENT",$G:$G,$AC$902,$H:$H,$AD902,$AG:$AG,"&lt;=30")+SUMIFS($N:$N,$C:$C,"RM SLT",$G:$G,$AC$902,$H:$H,$AD902,$AG:$AG,"&lt;=30"))</f>
        <v>0</v>
      </c>
      <c r="AF902" s="194">
        <f ca="1">SUM(SUMIFS($N:$N,$C:$C,"RM",$G:$G,$AC$902,$H:$H,$AD902,$AG:$AG,"&lt;=60")+SUMIFS($N:$N,$C:$C,"RM BAL",$G:$G,$AC$902,$H:$H,$AD902,$AG:$AG,"&lt;=60")+SUMIFS($N:$N,$C:$C,"MILL",$G:$G,$AC$902,$H:$H,$AD902,$AG:$AG,"&lt;=60")+SUMIFS($N:$N,$C:$C,"RM SLT RUST",$G:$G,$AC$902,$H:$H,$AD902,$AG:$AG,"&lt;=60")+SUMIFS($N:$N,$C:$C,"RM SLT DENT",$G:$G,$AC$902,$H:$H,$AD902,$AG:$AG,"&lt;=60")+SUMIFS($N:$N,$C:$C,"RM SLT",$G:$G,$AC$902,$H:$H,$AD902,$AG:$AG,"&lt;=60"))-AE902</f>
        <v>0</v>
      </c>
      <c r="AG902" s="194">
        <f ca="1">SUM(SUMIFS($N:$N,$C:$C,"RM",$G:$G,$AC$902,$H:$H,$AD902,$AG:$AG,"&lt;=90")+SUMIFS($N:$N,$C:$C,"RM BAL",$G:$G,$AC$902,$H:$H,$AD902,$AG:$AG,"&lt;=90")+SUMIFS($N:$N,$C:$C,"MILL",$G:$G,$AC$902,$H:$H,$AD902,$AG:$AG,"&lt;=90")+SUMIFS($N:$N,$C:$C,"RM SLT RUST",$G:$G,$AC$902,$H:$H,$AD902,$AG:$AG,"&lt;=90")+SUMIFS($N:$N,$C:$C,"RM SLT DENT",$G:$G,$AC$902,$H:$H,$AD902,$AG:$AG,"&lt;=90")+SUMIFS($N:$N,$C:$C,"RM SLT",$G:$G,$AC$902,$H:$H,$AD902,$AG:$AG,"&lt;=90"))-AF902-AE902</f>
        <v>0</v>
      </c>
      <c r="AH902" s="194">
        <f ca="1">SUM(SUMIFS($N:$N,$C:$C,"RM",$G:$G,$AC$902,$H:$H,$AD902,$AG:$AG,"&gt;=91")+SUMIFS($N:$N,$C:$C,"RM BAL",$G:$G,$AC$902,$H:$H,$AD902,$AG:$AG,"&gt;=91")+SUMIFS($N:$N,$C:$C,"MILL",$G:$G,$AC$902,$H:$H,$AD902,$AG:$AG,"&gt;=91")+SUMIFS($N:$N,$C:$C,"RM SLT RUST",$G:$G,$AC$902,$H:$H,$AD902,$AG:$AG,"&gt;=91")+SUMIFS($N:$N,$C:$C,"RM SLT DENT",$G:$G,$AC$902,$H:$H,$AD902,$AG:$AG,"&gt;=91")+SUMIFS($N:$N,$C:$C,"RM SLT",$G:$G,$AC$902,$H:$H,$AD902,$AG:$AG,"&gt;=91"))</f>
        <v>1300.9250000000002</v>
      </c>
      <c r="AI902" s="195">
        <f t="shared" ca="1" si="66"/>
        <v>1300.9250000000002</v>
      </c>
      <c r="AK902" s="179" t="s">
        <v>2539</v>
      </c>
      <c r="AL902"/>
      <c r="AM902"/>
      <c r="AN902"/>
      <c r="AO902"/>
      <c r="AP902"/>
    </row>
    <row r="903" spans="2:42" ht="21" customHeight="1" x14ac:dyDescent="0.35">
      <c r="B903" s="182" t="s">
        <v>27</v>
      </c>
      <c r="C903" s="182">
        <f t="shared" si="86"/>
        <v>0</v>
      </c>
      <c r="D903" s="182">
        <f t="shared" si="87"/>
        <v>0</v>
      </c>
      <c r="E903" s="182">
        <f t="shared" si="88"/>
        <v>0</v>
      </c>
      <c r="F903" s="182">
        <f t="shared" si="89"/>
        <v>0</v>
      </c>
      <c r="G903" s="182">
        <f t="shared" si="90"/>
        <v>0</v>
      </c>
      <c r="H903" s="182">
        <f t="shared" si="91"/>
        <v>17.149999999999999</v>
      </c>
      <c r="I903" s="182">
        <f t="shared" si="92"/>
        <v>0</v>
      </c>
      <c r="J903" s="182">
        <f t="shared" si="93"/>
        <v>0</v>
      </c>
      <c r="K903" s="214">
        <f t="shared" si="94"/>
        <v>17.149999999999999</v>
      </c>
      <c r="O903" s="216" t="s">
        <v>230</v>
      </c>
      <c r="P903" s="182">
        <f t="shared" si="79"/>
        <v>3491.9499999999985</v>
      </c>
      <c r="Q903" s="182">
        <f t="shared" si="80"/>
        <v>0</v>
      </c>
      <c r="R903" s="183">
        <f t="shared" si="81"/>
        <v>0</v>
      </c>
      <c r="S903" s="183">
        <f t="shared" si="82"/>
        <v>0</v>
      </c>
      <c r="U903" s="177">
        <v>410</v>
      </c>
      <c r="V903" s="182">
        <f t="shared" si="85"/>
        <v>0</v>
      </c>
      <c r="W903" s="182">
        <f t="shared" si="85"/>
        <v>0</v>
      </c>
      <c r="X903" s="182">
        <f t="shared" si="85"/>
        <v>28.369999999999997</v>
      </c>
      <c r="Y903" s="182">
        <f t="shared" si="85"/>
        <v>0</v>
      </c>
      <c r="Z903" s="214">
        <f t="shared" si="84"/>
        <v>28.369999999999997</v>
      </c>
      <c r="AC903" s="234"/>
      <c r="AD903" s="200" t="s">
        <v>46</v>
      </c>
      <c r="AE903" s="194">
        <f>SUM(SUMIFS($N:$N,$C:$C,"RM",$G:$G,$AC$902,$H:$H,"2B",$AG:$AG,"&lt;=30")+SUMIFS($N:$N,$C:$C,"RM BAL",$G:$G,$AC$902,$H:$H,"2B",$AG:$AG,"&lt;=30")+SUMIFS($N:$N,$C:$C,"MILL",$G:$G,$AC$902,$H:$H,"2B",$AG:$AG,"&lt;=30")+SUMIFS($N:$N,$C:$C,"RM SLT RUST",$G:$G,$AC$902,$H:$H,"2B",$AG:$AG,"&lt;=30")+SUMIFS($N:$N,$C:$C,"RM SLT DENT",$G:$G,$AC$902,$H:$H,"2B",$AG:$AG,"&lt;=30")+SUMIFS($N:$N,$C:$C,"RM SLT",$G:$G,$AC$902,$H:$H,"2B",$AG:$AG,"&lt;=30")+SUMIFS($N:$N,$C:$C,"RM SLT",$G:$G,$AC$902,$H:$H,"BA",$AG:$AG,"&lt;=30")+SUMIFS($N:$N,$C:$C,"RM SLT",$G:$G,$AC$902,$H:$H,"2D",$AG:$AG,"&lt;=30"))</f>
        <v>0</v>
      </c>
      <c r="AF903" s="194">
        <f>SUM(SUMIFS($N:$N,$C:$C,"RM",$G:$G,$AC$902,$H:$H,"2B",$AG:$AG,"&lt;=60")+SUMIFS($N:$N,$C:$C,"RM BAL",$G:$G,$AC$902,$H:$H,"2B",$AG:$AG,"&lt;=60")+SUMIFS($N:$N,$C:$C,"MILL",$G:$G,$AC$902,$H:$H,"2B",$AG:$AG,"&lt;=60")+SUMIFS($N:$N,$C:$C,"RM SLT RUST",$G:$G,$AC$902,$H:$H,"2B",$AG:$AG,"&lt;=60")+SUMIFS($N:$N,$C:$C,"RM SLT DENT",$G:$G,$AC$902,$H:$H,"2B",$AG:$AG,"&lt;=60")+SUMIFS($N:$N,$C:$C,"RM SLT",$G:$G,$AC$902,$H:$H,"2B",$AG:$AG,"&lt;=60")+SUMIFS($N:$N,$C:$C,"RM SLT",$G:$G,$AC$902,$H:$H,"BA",$AG:$AG,"&lt;=60")+SUMIFS($N:$N,$C:$C,"RM SLT",$G:$G,$AC$902,$H:$H,"2D",$AG:$AG,"&lt;=60"))-AE903</f>
        <v>0</v>
      </c>
      <c r="AG903" s="194">
        <f>SUM(SUMIFS($N:$N,$C:$C,"RM",$G:$G,$AC$902,$H:$H,"2B",$AG:$AG,"&lt;=90")+SUMIFS($N:$N,$C:$C,"RM BAL",$G:$G,$AC$902,$H:$H,"2B",$AG:$AG,"&lt;=90")+SUMIFS($N:$N,$C:$C,"MILL",$G:$G,$AC$902,$H:$H,"2B",$AG:$AG,"&lt;=90")+SUMIFS($N:$N,$C:$C,"RM SLT RUST",$G:$G,$AC$902,$H:$H,"2B",$AG:$AG,"&lt;=90")+SUMIFS($N:$N,$C:$C,"RM SLT DENT",$G:$G,$AC$902,$H:$H,"2B",$AG:$AG,"&lt;=90")+SUMIFS($N:$N,$C:$C,"RM SLT",$G:$G,$AC$902,$H:$H,"2B",$AG:$AG,"&lt;=90")+SUMIFS($N:$N,$C:$C,"RM SLT",$G:$G,$AC$902,$H:$H,"BA",$AG:$AG,"&lt;=90")+SUMIFS($N:$N,$C:$C,"RM SLT",$G:$G,$AC$902,$H:$H,"2D",$AG:$AG,"&lt;=90"))-AF903-AE903</f>
        <v>0</v>
      </c>
      <c r="AH903" s="194">
        <f>SUM(SUMIFS($N:$N,$C:$C,"RM",$G:$G,$AC$902,$H:$H,"2B",$AG:$AG,"&gt;=91")+SUMIFS($N:$N,$C:$C,"RM BAL",$G:$G,$AC$902,$H:$H,"2B",$AG:$AG,"&gt;=91")+SUMIFS($N:$N,$C:$C,"MILL",$G:$G,$AC$902,$H:$H,"2B",$AG:$AG,"&gt;=91")+SUMIFS($N:$N,$C:$C,"RM SLT RUST",$G:$G,$AC$902,$H:$H,"2B",$AG:$AG,"&gt;=91")+SUMIFS($N:$N,$C:$C,"RM SLT DENT",$G:$G,$AC$902,$H:$H,"2B",$AG:$AG,"&gt;=91")+SUMIFS($N:$N,$C:$C,"RM SLT",$G:$G,$AC$902,$H:$H,"2B",$AG:$AG,"&gt;=91")+SUMIFS($N:$N,$C:$C,"RM SLT",$G:$G,$AC$902,$H:$H,"BA",$AG:$AG,"&gt;=91")+SUMIFS($N:$N,$C:$C,"RM SLT",$G:$G,$AC$902,$H:$H,"2D",$AG:$AG,"&gt;=91"))</f>
        <v>0</v>
      </c>
      <c r="AI903" s="195">
        <f t="shared" si="66"/>
        <v>0</v>
      </c>
      <c r="AK903" s="805" t="s">
        <v>73</v>
      </c>
      <c r="AL903" s="807" t="s">
        <v>2528</v>
      </c>
      <c r="AM903" s="808"/>
      <c r="AN903" s="808"/>
      <c r="AO903" s="809"/>
      <c r="AP903" s="810" t="s">
        <v>34</v>
      </c>
    </row>
    <row r="904" spans="2:42" ht="21" customHeight="1" x14ac:dyDescent="0.35">
      <c r="B904" s="182" t="s">
        <v>28</v>
      </c>
      <c r="C904" s="182">
        <f t="shared" si="86"/>
        <v>0</v>
      </c>
      <c r="D904" s="182">
        <f t="shared" si="87"/>
        <v>0</v>
      </c>
      <c r="E904" s="182">
        <f t="shared" si="88"/>
        <v>0</v>
      </c>
      <c r="F904" s="182">
        <f t="shared" si="89"/>
        <v>0</v>
      </c>
      <c r="G904" s="182">
        <f t="shared" si="90"/>
        <v>0</v>
      </c>
      <c r="H904" s="182">
        <f t="shared" si="91"/>
        <v>10.01</v>
      </c>
      <c r="I904" s="182">
        <f t="shared" si="92"/>
        <v>0</v>
      </c>
      <c r="J904" s="182">
        <f t="shared" si="93"/>
        <v>0</v>
      </c>
      <c r="K904" s="214">
        <f t="shared" si="94"/>
        <v>10.01</v>
      </c>
      <c r="O904" s="216">
        <v>316</v>
      </c>
      <c r="P904" s="182">
        <f t="shared" si="79"/>
        <v>0</v>
      </c>
      <c r="Q904" s="182">
        <f t="shared" si="80"/>
        <v>0</v>
      </c>
      <c r="R904" s="183">
        <f t="shared" si="81"/>
        <v>0</v>
      </c>
      <c r="S904" s="183">
        <f t="shared" si="82"/>
        <v>0</v>
      </c>
      <c r="U904" s="177">
        <v>301</v>
      </c>
      <c r="V904" s="182">
        <f t="shared" si="85"/>
        <v>54.373000000000005</v>
      </c>
      <c r="W904" s="182">
        <f t="shared" si="85"/>
        <v>0</v>
      </c>
      <c r="X904" s="182">
        <f t="shared" si="85"/>
        <v>0</v>
      </c>
      <c r="Y904" s="182">
        <f t="shared" si="85"/>
        <v>0</v>
      </c>
      <c r="Z904" s="214">
        <f t="shared" si="84"/>
        <v>54.373000000000005</v>
      </c>
      <c r="AC904" s="235"/>
      <c r="AD904" s="193" t="s">
        <v>65</v>
      </c>
      <c r="AE904" s="194">
        <f>SUM(SUMIFS($N:$N,$C:$C,"RM",$G:$G,$AC$905,$H:$H,$AD904,$AG:$AG,"&lt;=30")+SUMIFS($N:$N,$C:$C,"RM BAL",$G:$G,$AC$905,$H:$H,$AD904,$AG:$AG,"&lt;=30")+SUMIFS($N:$N,$C:$C,"MILL",$G:$G,$AC$905,$H:$H,$AD904,$AG:$AG,"&lt;=30")+SUMIFS($N:$N,$C:$C,"RM SLT RUST",$G:$G,$AC$905,$H:$H,$AD904,$AG:$AG,"&lt;=30")+SUMIFS($N:$N,$C:$C,"RM SLT DENT",$G:$G,$AC$905,$H:$H,$AD904,$AG:$AG,"&lt;=30")+SUMIFS($N:$N,$C:$C,"RM SLT",$G:$G,$AC$905,$H:$H,$AD904,$AG:$AG,"&lt;=30"))</f>
        <v>0</v>
      </c>
      <c r="AF904" s="194">
        <f>SUM(SUMIFS($N:$N,$C:$C,"RM",$G:$G,$AC$905,$H:$H,$AD904,$AG:$AG,"&lt;=60")+SUMIFS($N:$N,$C:$C,"RM BAL",$G:$G,$AC$905,$H:$H,$AD904,$AG:$AG,"&lt;=60")+SUMIFS($N:$N,$C:$C,"MILL",$G:$G,$AC$905,$H:$H,$AD904,$AG:$AG,"&lt;=60")+SUMIFS($N:$N,$C:$C,"RM SLT RUST",$G:$G,$AC$905,$H:$H,$AD904,$AG:$AG,"&lt;=60")+SUMIFS($N:$N,$C:$C,"RM SLT DENT",$G:$G,$AC$905,$H:$H,$AD904,$AG:$AG,"&lt;=60")+SUMIFS($N:$N,$C:$C,"RM SLT",$G:$G,$AC$905,$H:$H,$AD904,$AG:$AG,"&lt;=60"))-AE904</f>
        <v>0</v>
      </c>
      <c r="AG904" s="194">
        <f>SUM(SUMIFS($N:$N,$C:$C,"RM",$G:$G,$AC$905,$H:$H,$AD904,$AG:$AG,"&lt;=90")+SUMIFS($N:$N,$C:$C,"RM BAL",$G:$G,$AC$905,$H:$H,$AD904,$AG:$AG,"&lt;=90")+SUMIFS($N:$N,$C:$C,"MILL",$G:$G,$AC$905,$H:$H,$AD904,$AG:$AG,"&lt;=90")+SUMIFS($N:$N,$C:$C,"RM SLT RUST",$G:$G,$AC$905,$H:$H,$AD904,$AG:$AG,"&lt;=90")+SUMIFS($N:$N,$C:$C,"RM SLT DENT",$G:$G,$AC$905,$H:$H,$AD904,$AG:$AG,"&lt;=90")+SUMIFS($N:$N,$C:$C,"RM SLT",$G:$G,$AC$905,$H:$H,$AD904,$AG:$AG,"&lt;=90"))-AF904-AE904</f>
        <v>0</v>
      </c>
      <c r="AH904" s="194">
        <f>SUM(SUMIFS($N:$N,$C:$C,"RM",$G:$G,$AC$905,$H:$H,$AD904,$AG:$AG,"&gt;=91")+SUMIFS($N:$N,$C:$C,"RM BAL",$G:$G,$AC$905,$H:$H,$AD904,$AG:$AG,"&gt;=91")+SUMIFS($N:$N,$C:$C,"MILL",$G:$G,$AC$905,$H:$H,$AD904,$AG:$AG,"&gt;=91")+SUMIFS($N:$N,$C:$C,"RM SLT RUST",$G:$G,$AC$905,$H:$H,$AD904,$AG:$AG,"&gt;=91")+SUMIFS($N:$N,$C:$C,"RM SLT DENT",$G:$G,$AC$905,$H:$H,$AD904,$AG:$AG,"&gt;=91")+SUMIFS($N:$N,$C:$C,"RM SLT",$G:$G,$AC$905,$H:$H,$AD904,$AG:$AG,"&gt;=91"))</f>
        <v>0</v>
      </c>
      <c r="AI904" s="195">
        <f t="shared" si="66"/>
        <v>0</v>
      </c>
      <c r="AK904" s="806"/>
      <c r="AL904" s="191" t="s">
        <v>2530</v>
      </c>
      <c r="AM904" s="191" t="s">
        <v>2531</v>
      </c>
      <c r="AN904" s="191" t="s">
        <v>2532</v>
      </c>
      <c r="AO904" s="191" t="s">
        <v>2534</v>
      </c>
      <c r="AP904" s="811"/>
    </row>
    <row r="905" spans="2:42" ht="21" customHeight="1" x14ac:dyDescent="0.35">
      <c r="B905" s="182" t="s">
        <v>29</v>
      </c>
      <c r="C905" s="182">
        <f t="shared" si="86"/>
        <v>66.284999999999997</v>
      </c>
      <c r="D905" s="182">
        <f t="shared" si="87"/>
        <v>184.12500000000003</v>
      </c>
      <c r="E905" s="182">
        <f t="shared" si="88"/>
        <v>17.675000000000001</v>
      </c>
      <c r="F905" s="182">
        <f t="shared" si="89"/>
        <v>41.784999999999997</v>
      </c>
      <c r="G905" s="182">
        <f t="shared" si="90"/>
        <v>28.774999999999999</v>
      </c>
      <c r="H905" s="182">
        <f t="shared" si="91"/>
        <v>28.405000000000001</v>
      </c>
      <c r="I905" s="182">
        <f t="shared" si="92"/>
        <v>0</v>
      </c>
      <c r="J905" s="182">
        <f t="shared" si="93"/>
        <v>0</v>
      </c>
      <c r="K905" s="214">
        <f t="shared" si="94"/>
        <v>367.04999999999995</v>
      </c>
      <c r="O905" s="216" t="s">
        <v>148</v>
      </c>
      <c r="P905" s="182">
        <f t="shared" si="79"/>
        <v>31.66</v>
      </c>
      <c r="Q905" s="182">
        <f t="shared" si="80"/>
        <v>0</v>
      </c>
      <c r="R905" s="183">
        <f t="shared" si="81"/>
        <v>0</v>
      </c>
      <c r="S905" s="183">
        <f t="shared" si="82"/>
        <v>0</v>
      </c>
      <c r="U905" s="178" t="s">
        <v>34</v>
      </c>
      <c r="V905" s="236">
        <f>SUM(V894:V904)</f>
        <v>5690.3899999999976</v>
      </c>
      <c r="W905" s="236">
        <f>SUM(W894:W904)</f>
        <v>10.199999999999999</v>
      </c>
      <c r="X905" s="236">
        <f>SUM(X894:X904)</f>
        <v>402.35</v>
      </c>
      <c r="Y905" s="236">
        <f>SUM(Y894:Y904)</f>
        <v>46.831999999999994</v>
      </c>
      <c r="Z905" s="237">
        <f t="shared" si="84"/>
        <v>6149.7719999999981</v>
      </c>
      <c r="AC905" s="238" t="s">
        <v>230</v>
      </c>
      <c r="AD905" s="126" t="s">
        <v>139</v>
      </c>
      <c r="AE905" s="194">
        <f ca="1">SUM(SUMIFS($N:$N,$C:$C,"RM",$G:$G,$AC$905,$H:$H,$AD905,$AG:$AG,"&lt;=30")+SUMIFS($N:$N,$C:$C,"RM BAL",$G:$G,$AC$905,$H:$H,$AD905,$AG:$AG,"&lt;=30")+SUMIFS($N:$N,$C:$C,"MILL",$G:$G,$AC$905,$H:$H,$AD905,$AG:$AG,"&lt;=30")+SUMIFS($N:$N,$C:$C,"RM SLT RUST",$G:$G,$AC$905,$H:$H,$AD905,$AG:$AG,"&lt;=30")+SUMIFS($N:$N,$C:$C,"RM SLT DENT",$G:$G,$AC$905,$H:$H,$AD905,$AG:$AG,"&lt;=30")+SUMIFS($N:$N,$C:$C,"RM SLT",$G:$G,$AC$905,$H:$H,$AD905,$AG:$AG,"&lt;=30"))</f>
        <v>0</v>
      </c>
      <c r="AF905" s="194">
        <f ca="1">SUM(SUMIFS($N:$N,$C:$C,"RM",$G:$G,$AC$905,$H:$H,$AD905,$AG:$AG,"&lt;=60")+SUMIFS($N:$N,$C:$C,"RM BAL",$G:$G,$AC$905,$H:$H,$AD905,$AG:$AG,"&lt;=60")+SUMIFS($N:$N,$C:$C,"MILL",$G:$G,$AC$905,$H:$H,$AD905,$AG:$AG,"&lt;=60")+SUMIFS($N:$N,$C:$C,"RM SLT RUST",$G:$G,$AC$905,$H:$H,$AD905,$AG:$AG,"&lt;=60")+SUMIFS($N:$N,$C:$C,"RM SLT DENT",$G:$G,$AC$905,$H:$H,$AD905,$AG:$AG,"&lt;=60")+SUMIFS($N:$N,$C:$C,"RM SLT",$G:$G,$AC$905,$H:$H,$AD905,$AG:$AG,"&lt;=60"))-AE905</f>
        <v>0</v>
      </c>
      <c r="AG905" s="194">
        <f ca="1">SUM(SUMIFS($N:$N,$C:$C,"RM",$G:$G,$AC$905,$H:$H,$AD905,$AG:$AG,"&lt;=90")+SUMIFS($N:$N,$C:$C,"RM BAL",$G:$G,$AC$905,$H:$H,$AD905,$AG:$AG,"&lt;=90")+SUMIFS($N:$N,$C:$C,"MILL",$G:$G,$AC$905,$H:$H,$AD905,$AG:$AG,"&lt;=90")+SUMIFS($N:$N,$C:$C,"RM SLT RUST",$G:$G,$AC$905,$H:$H,$AD905,$AG:$AG,"&lt;=90")+SUMIFS($N:$N,$C:$C,"RM SLT DENT",$G:$G,$AC$905,$H:$H,$AD905,$AG:$AG,"&lt;=90")+SUMIFS($N:$N,$C:$C,"RM SLT",$G:$G,$AC$905,$H:$H,$AD905,$AG:$AG,"&lt;=90"))-AF905-AE905</f>
        <v>0</v>
      </c>
      <c r="AH905" s="194">
        <f ca="1">SUM(SUMIFS($N:$N,$C:$C,"RM",$G:$G,$AC$905,$H:$H,$AD905,$AG:$AG,"&gt;=91")+SUMIFS($N:$N,$C:$C,"RM BAL",$G:$G,$AC$905,$H:$H,$AD905,$AG:$AG,"&gt;=91")+SUMIFS($N:$N,$C:$C,"MILL",$G:$G,$AC$905,$H:$H,$AD905,$AG:$AG,"&gt;=91")+SUMIFS($N:$N,$C:$C,"RM SLT RUST",$G:$G,$AC$905,$H:$H,$AD905,$AG:$AG,"&gt;=91")+SUMIFS($N:$N,$C:$C,"RM SLT DENT",$G:$G,$AC$905,$H:$H,$AD905,$AG:$AG,"&gt;=91")+SUMIFS($N:$N,$C:$C,"RM SLT",$G:$G,$AC$905,$H:$H,$AD905,$AG:$AG,"&gt;=91"))</f>
        <v>3491.949999999998</v>
      </c>
      <c r="AI905" s="195">
        <f t="shared" ca="1" si="66"/>
        <v>3491.949999999998</v>
      </c>
      <c r="AK905" s="196">
        <v>201</v>
      </c>
      <c r="AL905" s="194">
        <f t="shared" ref="AL905:AL917" si="95">SUM(SUMIFS($N:$N,$C:$C,"RE SLT",$G:$G,$AK905,$AH:$AH,"&lt;=30")+SUMIFS($N:$N,$C:$C,"RR",$G:$G,$AK905,$AH:$AH,"&lt;=30")+SUMIFS($N:$N,$C:$C,"SLT",$G:$G,$AK905,$AH:$AH,"&lt;=30"))</f>
        <v>0</v>
      </c>
      <c r="AM905" s="194">
        <f t="shared" ref="AM905:AM917" si="96">SUM(SUMIFS($N:$N,$C:$C,"RE SLT",$G:$G,$AK905,$AH:$AH,"&lt;=60")+SUMIFS($N:$N,$C:$C,"RR",$G:$G,$AK905,$AH:$AH,"&lt;=60")+SUMIFS($N:$N,$C:$C,"SLT",$G:$G,$AK905,$AH:$AH,"&lt;=60"))-AL905</f>
        <v>0</v>
      </c>
      <c r="AN905" s="194">
        <f t="shared" ref="AN905:AN917" si="97">SUM(SUMIFS($N:$N,$C:$C,"RE SLT",$G:$G,$AK905,$AH:$AH,"&lt;=90")+SUMIFS($N:$N,$C:$C,"RR",$G:$G,$AK905,$AH:$AH,"&lt;=90")+SUMIFS($N:$N,$C:$C,"SLT",$G:$G,$AK905,$AH:$AH,"&lt;=90"))-AM905-AL905</f>
        <v>0</v>
      </c>
      <c r="AO905" s="194">
        <f t="shared" ref="AO905:AO917" si="98">SUM(SUMIFS($N:$N,$C:$C,"RE SLT",$G:$G,$AK905,$AH:$AH,"&gt;=91")+SUMIFS($N:$N,$C:$C,"RR",$G:$G,$AK905,$AH:$AH,"&gt;=91")+SUMIFS($N:$N,$C:$C,"SLT",$G:$G,$AK905,$AH:$AH,"&gt;=91"))</f>
        <v>0</v>
      </c>
      <c r="AP905" s="195">
        <f t="shared" ref="AP905:AP917" si="99">SUM(AL905:AO905)</f>
        <v>0</v>
      </c>
    </row>
    <row r="906" spans="2:42" ht="21" customHeight="1" x14ac:dyDescent="0.35">
      <c r="B906" s="182" t="s">
        <v>2538</v>
      </c>
      <c r="C906" s="182">
        <f t="shared" si="86"/>
        <v>0</v>
      </c>
      <c r="D906" s="182">
        <f t="shared" si="87"/>
        <v>0</v>
      </c>
      <c r="E906" s="182">
        <f t="shared" si="88"/>
        <v>0</v>
      </c>
      <c r="F906" s="182">
        <f t="shared" si="89"/>
        <v>0</v>
      </c>
      <c r="G906" s="182">
        <f t="shared" si="90"/>
        <v>0</v>
      </c>
      <c r="H906" s="182">
        <f t="shared" si="91"/>
        <v>0</v>
      </c>
      <c r="I906" s="182">
        <f t="shared" si="92"/>
        <v>0</v>
      </c>
      <c r="J906" s="182">
        <f t="shared" si="93"/>
        <v>0</v>
      </c>
      <c r="K906" s="214">
        <f t="shared" si="94"/>
        <v>0</v>
      </c>
      <c r="O906" s="216">
        <v>430</v>
      </c>
      <c r="P906" s="182">
        <f t="shared" si="79"/>
        <v>20.887999999999998</v>
      </c>
      <c r="Q906" s="182">
        <f t="shared" si="80"/>
        <v>0</v>
      </c>
      <c r="R906" s="183">
        <f t="shared" si="81"/>
        <v>0</v>
      </c>
      <c r="S906" s="183">
        <f t="shared" si="82"/>
        <v>0</v>
      </c>
      <c r="U906" s="100"/>
      <c r="Y906" s="97"/>
      <c r="Z906" s="97"/>
      <c r="AC906" s="238"/>
      <c r="AD906" s="200" t="s">
        <v>66</v>
      </c>
      <c r="AE906" s="194">
        <f>SUM(SUMIFS($N:$N,$C:$C,"RM",$G:$G,$AC$905,$H:$H,"2B",$AG:$AG,"&lt;=30")+SUMIFS($N:$N,$C:$C,"RM BAL",$G:$G,$AC$905,$H:$H,"2B",$AG:$AG,"&lt;=30")+SUMIFS($N:$N,$C:$C,"MILL",$G:$G,$AC$905,$H:$H,"2B",$AG:$AG,"&lt;=30")+SUMIFS($N:$N,$C:$C,"RM SLT RUST",$G:$G,$AC$905,$H:$H,"2B",$AG:$AG,"&lt;=30")+SUMIFS($N:$N,$C:$C,"RM SLT DENT",$G:$G,$AC$905,$H:$H,"2B",$AG:$AG,"&lt;=30")+SUMIFS($N:$N,$C:$C,"RM SLT",$G:$G,$AC$905,$H:$H,"2B",$AG:$AG,"&lt;=30")+SUMIFS($N:$N,$C:$C,"RM SLT",$G:$G,$AC$905,$H:$H,"BA",$AG:$AG,"&lt;=30")+SUMIFS($N:$N,$C:$C,"RM SLT",$G:$G,$AC$905,$H:$H,"2D",$AG:$AG,"&lt;=30"))</f>
        <v>0</v>
      </c>
      <c r="AF906" s="194">
        <f>SUM(SUMIFS($N:$N,$C:$C,"RM",$G:$G,$AC$905,$H:$H,"2B",$AG:$AG,"&lt;=60")+SUMIFS($N:$N,$C:$C,"RM BAL",$G:$G,$AC$905,$H:$H,"2B",$AG:$AG,"&lt;=60")+SUMIFS($N:$N,$C:$C,"MILL",$G:$G,$AC$905,$H:$H,"2B",$AG:$AG,"&lt;=60")+SUMIFS($N:$N,$C:$C,"RM SLT RUST",$G:$G,$AC$905,$H:$H,"2B",$AG:$AG,"&lt;=60")+SUMIFS($N:$N,$C:$C,"RM SLT DENT",$G:$G,$AC$905,$H:$H,"2B",$AG:$AG,"&lt;=60")+SUMIFS($N:$N,$C:$C,"RM SLT",$G:$G,$AC$905,$H:$H,"2B",$AG:$AG,"&lt;=60")+SUMIFS($N:$N,$C:$C,"RM SLT",$G:$G,$AC$905,$H:$H,"BA",$AG:$AG,"&lt;=60")+SUMIFS($N:$N,$C:$C,"RM SLT",$G:$G,$AC$905,$H:$H,"2D",$AG:$AG,"&lt;=60"))-AE906</f>
        <v>0</v>
      </c>
      <c r="AG906" s="194">
        <f>SUM(SUMIFS($N:$N,$C:$C,"RM",$G:$G,$AC$905,$H:$H,"2B",$AG:$AG,"&lt;=90")+SUMIFS($N:$N,$C:$C,"RM BAL",$G:$G,$AC$905,$H:$H,"2B",$AG:$AG,"&lt;=90")+SUMIFS($N:$N,$C:$C,"MILL",$G:$G,$AC$905,$H:$H,"2B",$AG:$AG,"&lt;=90")+SUMIFS($N:$N,$C:$C,"RM SLT RUST",$G:$G,$AC$905,$H:$H,"2B",$AG:$AG,"&lt;=90")+SUMIFS($N:$N,$C:$C,"RM SLT DENT",$G:$G,$AC$905,$H:$H,"2B",$AG:$AG,"&lt;=90")+SUMIFS($N:$N,$C:$C,"RM SLT",$G:$G,$AC$905,$H:$H,"2B",$AG:$AG,"&lt;=90")+SUMIFS($N:$N,$C:$C,"RM SLT",$G:$G,$AC$905,$H:$H,"BA",$AG:$AG,"&lt;=90")+SUMIFS($N:$N,$C:$C,"RM SLT",$G:$G,$AC$905,$H:$H,"2D",$AG:$AG,"&lt;=90"))-AF906-AE906</f>
        <v>0</v>
      </c>
      <c r="AH906" s="194">
        <f>SUM(SUMIFS($N:$N,$C:$C,"RM",$G:$G,$AC$905,$H:$H,"2B",$AG:$AG,"&gt;=91")+SUMIFS($N:$N,$C:$C,"RM BAL",$G:$G,$AC$905,$H:$H,"2B",$AG:$AG,"&gt;=91")+SUMIFS($N:$N,$C:$C,"MILL",$G:$G,$AC$905,$H:$H,"2B",$AG:$AG,"&gt;=91")+SUMIFS($N:$N,$C:$C,"RM SLT RUST",$G:$G,$AC$905,$H:$H,"2B",$AG:$AG,"&gt;=91")+SUMIFS($N:$N,$C:$C,"RM SLT DENT",$G:$G,$AC$905,$H:$H,"2B",$AG:$AG,"&gt;=91")+SUMIFS($N:$N,$C:$C,"RM SLT",$G:$G,$AC$905,$H:$H,"2B",$AG:$AG,"&gt;=91")+SUMIFS($N:$N,$C:$C,"RM SLT",$G:$G,$AC$905,$H:$H,"BA",$AG:$AG,"&gt;=91")+SUMIFS($N:$N,$C:$C,"RM SLT",$G:$G,$AC$905,$H:$H,"2D",$AG:$AG,"&gt;=91"))</f>
        <v>0</v>
      </c>
      <c r="AI906" s="195">
        <f t="shared" si="66"/>
        <v>0</v>
      </c>
      <c r="AK906" s="198" t="s">
        <v>27</v>
      </c>
      <c r="AL906" s="194">
        <f t="shared" ca="1" si="95"/>
        <v>0</v>
      </c>
      <c r="AM906" s="194">
        <f t="shared" ca="1" si="96"/>
        <v>0</v>
      </c>
      <c r="AN906" s="194">
        <f t="shared" ca="1" si="97"/>
        <v>0</v>
      </c>
      <c r="AO906" s="194">
        <f t="shared" ca="1" si="98"/>
        <v>5.55</v>
      </c>
      <c r="AP906" s="195">
        <f t="shared" ca="1" si="99"/>
        <v>5.55</v>
      </c>
    </row>
    <row r="907" spans="2:42" ht="21" customHeight="1" x14ac:dyDescent="0.35">
      <c r="B907" s="182" t="s">
        <v>30</v>
      </c>
      <c r="C907" s="182">
        <f t="shared" si="86"/>
        <v>0</v>
      </c>
      <c r="D907" s="182">
        <f t="shared" si="87"/>
        <v>0</v>
      </c>
      <c r="E907" s="182">
        <f t="shared" si="88"/>
        <v>0</v>
      </c>
      <c r="F907" s="182">
        <f t="shared" si="89"/>
        <v>0</v>
      </c>
      <c r="G907" s="182">
        <f t="shared" si="90"/>
        <v>0</v>
      </c>
      <c r="H907" s="182">
        <f t="shared" si="91"/>
        <v>0</v>
      </c>
      <c r="I907" s="182">
        <f t="shared" si="92"/>
        <v>0</v>
      </c>
      <c r="J907" s="182">
        <f t="shared" si="93"/>
        <v>0</v>
      </c>
      <c r="K907" s="214">
        <f t="shared" si="94"/>
        <v>0</v>
      </c>
      <c r="O907" s="216" t="s">
        <v>33</v>
      </c>
      <c r="P907" s="182">
        <f t="shared" si="79"/>
        <v>0</v>
      </c>
      <c r="Q907" s="182">
        <f t="shared" si="80"/>
        <v>0</v>
      </c>
      <c r="R907" s="183">
        <f t="shared" si="81"/>
        <v>0</v>
      </c>
      <c r="S907" s="183">
        <f t="shared" si="82"/>
        <v>0</v>
      </c>
      <c r="U907" s="100"/>
      <c r="Y907" s="97"/>
      <c r="Z907" s="97"/>
      <c r="AC907" s="239"/>
      <c r="AD907" s="193" t="s">
        <v>65</v>
      </c>
      <c r="AE907" s="194">
        <f>SUM(SUMIFS($N:$N,$C:$C,"RM",$G:$G,$AC$908,$H:$H,$AD907,$AG:$AG,"&lt;=30")+SUMIFS($N:$N,$C:$C,"RM BAL",$G:$G,$AC$908,$H:$H,$AD907,$AG:$AG,"&lt;=30")+SUMIFS($N:$N,$C:$C,"MILL",$G:$G,$AC$908,$H:$H,$AD907,$AG:$AG,"&lt;=30")+SUMIFS($N:$N,$C:$C,"RM SLT RUST",$G:$G,$AC$908,$H:$H,$AD907,$AG:$AG,"&lt;=30")+SUMIFS($N:$N,$C:$C,"RM SLT DENT",$G:$G,$AC$908,$H:$H,$AD907,$AG:$AG,"&lt;=30")+SUMIFS($N:$N,$C:$C,"RM SLT",$G:$G,$AC$908,$H:$H,$AD907,$AG:$AG,"&lt;=30"))</f>
        <v>0</v>
      </c>
      <c r="AF907" s="194">
        <f>SUM(SUMIFS($N:$N,$C:$C,"RM",$G:$G,$AC$908,$H:$H,$AD907,$AG:$AG,"&lt;=60")+SUMIFS($N:$N,$C:$C,"RM BAL",$G:$G,$AC$908,$H:$H,$AD907,$AG:$AG,"&lt;=60")+SUMIFS($N:$N,$C:$C,"MILL",$G:$G,$AC$908,$H:$H,$AD907,$AG:$AG,"&lt;=60")+SUMIFS($N:$N,$C:$C,"RM SLT RUST",$G:$G,$AC$908,$H:$H,$AD907,$AG:$AG,"&lt;=60")+SUMIFS($N:$N,$C:$C,"RM SLT DENT",$G:$G,$AC$908,$H:$H,$AD907,$AG:$AG,"&lt;=60")+SUMIFS($N:$N,$C:$C,"RM SLT",$G:$G,$AC$908,$H:$H,$AD907,$AG:$AG,"&lt;=60"))-AE907</f>
        <v>0</v>
      </c>
      <c r="AG907" s="194">
        <f>SUM(SUMIFS($N:$N,$C:$C,"RM",$G:$G,$AC$908,$H:$H,$AD907,$AG:$AG,"&lt;=90")+SUMIFS($N:$N,$C:$C,"RM BAL",$G:$G,$AC$908,$H:$H,$AD907,$AG:$AG,"&lt;=90")+SUMIFS($N:$N,$C:$C,"MILL",$G:$G,$AC$908,$H:$H,$AD907,$AG:$AG,"&lt;=90")+SUMIFS($N:$N,$C:$C,"RM SLT RUST",$G:$G,$AC$908,$H:$H,$AD907,$AG:$AG,"&lt;=90")+SUMIFS($N:$N,$C:$C,"RM SLT DENT",$G:$G,$AC$908,$H:$H,$AD907,$AG:$AG,"&lt;=90")+SUMIFS($N:$N,$C:$C,"RM SLT",$G:$G,$AC$908,$H:$H,$AD907,$AG:$AG,"&lt;=90"))-AF907-AE907</f>
        <v>0</v>
      </c>
      <c r="AH907" s="194">
        <f>SUM(SUMIFS($N:$N,$C:$C,"RM",$G:$G,$AC$908,$H:$H,$AD907,$AG:$AG,"&gt;=91")+SUMIFS($N:$N,$C:$C,"RM BAL",$G:$G,$AC$908,$H:$H,$AD907,$AG:$AG,"&gt;=91")+SUMIFS($N:$N,$C:$C,"MILL",$G:$G,$AC$908,$H:$H,$AD907,$AG:$AG,"&gt;=91")+SUMIFS($N:$N,$C:$C,"RM SLT RUST",$G:$G,$AC$908,$H:$H,$AD907,$AG:$AG,"&gt;=91")+SUMIFS($N:$N,$C:$C,"RM SLT DENT",$G:$G,$AC$908,$H:$H,$AD907,$AG:$AG,"&gt;=91")+SUMIFS($N:$N,$C:$C,"RM SLT",$G:$G,$AC$908,$H:$H,$AD907,$AG:$AG,"&gt;=91"))</f>
        <v>0</v>
      </c>
      <c r="AI907" s="195">
        <f t="shared" si="66"/>
        <v>0</v>
      </c>
      <c r="AK907" s="201" t="s">
        <v>28</v>
      </c>
      <c r="AL907" s="194">
        <f t="shared" ca="1" si="95"/>
        <v>0</v>
      </c>
      <c r="AM907" s="194">
        <f t="shared" ca="1" si="96"/>
        <v>0</v>
      </c>
      <c r="AN907" s="194">
        <f t="shared" ca="1" si="97"/>
        <v>0</v>
      </c>
      <c r="AO907" s="194">
        <f t="shared" ca="1" si="98"/>
        <v>10.01</v>
      </c>
      <c r="AP907" s="195">
        <f t="shared" ca="1" si="99"/>
        <v>10.01</v>
      </c>
    </row>
    <row r="908" spans="2:42" ht="21" customHeight="1" x14ac:dyDescent="0.35">
      <c r="B908" s="182">
        <v>304</v>
      </c>
      <c r="C908" s="182">
        <f t="shared" si="86"/>
        <v>16.145</v>
      </c>
      <c r="D908" s="182">
        <f t="shared" si="87"/>
        <v>102.825</v>
      </c>
      <c r="E908" s="182">
        <f t="shared" si="88"/>
        <v>0</v>
      </c>
      <c r="F908" s="182">
        <f t="shared" si="89"/>
        <v>0</v>
      </c>
      <c r="G908" s="182">
        <f t="shared" si="90"/>
        <v>0</v>
      </c>
      <c r="H908" s="182">
        <f t="shared" si="91"/>
        <v>25.125999999999998</v>
      </c>
      <c r="I908" s="182">
        <f t="shared" si="92"/>
        <v>0</v>
      </c>
      <c r="J908" s="182">
        <f t="shared" si="93"/>
        <v>0</v>
      </c>
      <c r="K908" s="214">
        <f t="shared" si="94"/>
        <v>144.096</v>
      </c>
      <c r="O908" s="216">
        <v>410</v>
      </c>
      <c r="P908" s="182">
        <f t="shared" si="79"/>
        <v>0</v>
      </c>
      <c r="Q908" s="182">
        <f t="shared" si="80"/>
        <v>0</v>
      </c>
      <c r="R908" s="183">
        <f t="shared" si="81"/>
        <v>28.369999999999997</v>
      </c>
      <c r="S908" s="183">
        <f t="shared" si="82"/>
        <v>0</v>
      </c>
      <c r="U908" s="100"/>
      <c r="Y908" s="97"/>
      <c r="Z908" s="97"/>
      <c r="AC908" s="240" t="s">
        <v>148</v>
      </c>
      <c r="AD908" s="126" t="s">
        <v>139</v>
      </c>
      <c r="AE908" s="194">
        <f ca="1">SUM(SUMIFS($N:$N,$C:$C,"RM",$G:$G,$AC$908,$H:$H,$AD908,$AG:$AG,"&lt;=30")+SUMIFS($N:$N,$C:$C,"RM BAL",$G:$G,$AC$908,$H:$H,$AD908,$AG:$AG,"&lt;=30")+SUMIFS($N:$N,$C:$C,"MILL",$G:$G,$AC$908,$H:$H,$AD908,$AG:$AG,"&lt;=30")+SUMIFS($N:$N,$C:$C,"RM SLT RUST",$G:$G,$AC$908,$H:$H,$AD908,$AG:$AG,"&lt;=30")+SUMIFS($N:$N,$C:$C,"RM SLT DENT",$G:$G,$AC$908,$H:$H,$AD908,$AG:$AG,"&lt;=30")+SUMIFS($N:$N,$C:$C,"RM SLT",$G:$G,$AC$908,$H:$H,$AD908,$AG:$AG,"&lt;=30"))</f>
        <v>0</v>
      </c>
      <c r="AF908" s="194">
        <f ca="1">SUM(SUMIFS($N:$N,$C:$C,"RM",$G:$G,$AC$908,$H:$H,$AD908,$AG:$AG,"&lt;=60")+SUMIFS($N:$N,$C:$C,"RM BAL",$G:$G,$AC$908,$H:$H,$AD908,$AG:$AG,"&lt;=60")+SUMIFS($N:$N,$C:$C,"MILL",$G:$G,$AC$908,$H:$H,$AD908,$AG:$AG,"&lt;=60")+SUMIFS($N:$N,$C:$C,"RM SLT RUST",$G:$G,$AC$908,$H:$H,$AD908,$AG:$AG,"&lt;=60")+SUMIFS($N:$N,$C:$C,"RM SLT DENT",$G:$G,$AC$908,$H:$H,$AD908,$AG:$AG,"&lt;=60")+SUMIFS($N:$N,$C:$C,"RM SLT",$G:$G,$AC$908,$H:$H,$AD908,$AG:$AG,"&lt;=60"))-AE908</f>
        <v>0</v>
      </c>
      <c r="AG908" s="194">
        <f ca="1">SUM(SUMIFS($N:$N,$C:$C,"RM",$G:$G,$AC$908,$H:$H,$AD908,$AG:$AG,"&lt;=90")+SUMIFS($N:$N,$C:$C,"RM BAL",$G:$G,$AC$908,$H:$H,$AD908,$AG:$AG,"&lt;=90")+SUMIFS($N:$N,$C:$C,"MILL",$G:$G,$AC$908,$H:$H,$AD908,$AG:$AG,"&lt;=90")+SUMIFS($N:$N,$C:$C,"RM SLT RUST",$G:$G,$AC$908,$H:$H,$AD908,$AG:$AG,"&lt;=90")+SUMIFS($N:$N,$C:$C,"RM SLT DENT",$G:$G,$AC$908,$H:$H,$AD908,$AG:$AG,"&lt;=90")+SUMIFS($N:$N,$C:$C,"RM SLT",$G:$G,$AC$908,$H:$H,$AD908,$AG:$AG,"&lt;=90"))-AF908-AE908</f>
        <v>0</v>
      </c>
      <c r="AH908" s="194">
        <f ca="1">SUM(SUMIFS($N:$N,$C:$C,"RM",$G:$G,$AC$908,$H:$H,$AD908,$AG:$AG,"&gt;=91")+SUMIFS($N:$N,$C:$C,"RM BAL",$G:$G,$AC$908,$H:$H,$AD908,$AG:$AG,"&gt;=91")+SUMIFS($N:$N,$C:$C,"MILL",$G:$G,$AC$908,$H:$H,$AD908,$AG:$AG,"&gt;=91")+SUMIFS($N:$N,$C:$C,"RM SLT RUST",$G:$G,$AC$908,$H:$H,$AD908,$AG:$AG,"&gt;=91")+SUMIFS($N:$N,$C:$C,"RM SLT DENT",$G:$G,$AC$908,$H:$H,$AD908,$AG:$AG,"&gt;=91")+SUMIFS($N:$N,$C:$C,"RM SLT",$G:$G,$AC$908,$H:$H,$AD908,$AG:$AG,"&gt;=91"))</f>
        <v>31.66</v>
      </c>
      <c r="AI908" s="195">
        <f t="shared" ca="1" si="66"/>
        <v>31.66</v>
      </c>
      <c r="AK908" s="203" t="s">
        <v>29</v>
      </c>
      <c r="AL908" s="194">
        <f t="shared" ca="1" si="95"/>
        <v>0</v>
      </c>
      <c r="AM908" s="194">
        <f t="shared" ca="1" si="96"/>
        <v>0</v>
      </c>
      <c r="AN908" s="194">
        <f t="shared" ca="1" si="97"/>
        <v>0</v>
      </c>
      <c r="AO908" s="194">
        <f t="shared" ca="1" si="98"/>
        <v>270.78000000000003</v>
      </c>
      <c r="AP908" s="204">
        <f t="shared" ca="1" si="99"/>
        <v>270.78000000000003</v>
      </c>
    </row>
    <row r="909" spans="2:42" ht="21" customHeight="1" x14ac:dyDescent="0.35">
      <c r="B909" s="182" t="s">
        <v>377</v>
      </c>
      <c r="C909" s="182">
        <f t="shared" si="86"/>
        <v>7.6</v>
      </c>
      <c r="D909" s="182">
        <f t="shared" si="87"/>
        <v>0</v>
      </c>
      <c r="E909" s="182">
        <f t="shared" si="88"/>
        <v>0</v>
      </c>
      <c r="F909" s="182">
        <f t="shared" si="89"/>
        <v>0</v>
      </c>
      <c r="G909" s="182">
        <f t="shared" si="90"/>
        <v>0</v>
      </c>
      <c r="H909" s="182">
        <f t="shared" si="91"/>
        <v>33.21</v>
      </c>
      <c r="I909" s="182">
        <f t="shared" si="92"/>
        <v>0</v>
      </c>
      <c r="J909" s="182">
        <f t="shared" si="93"/>
        <v>0</v>
      </c>
      <c r="K909" s="214">
        <f t="shared" si="94"/>
        <v>40.81</v>
      </c>
      <c r="O909" s="216">
        <v>301</v>
      </c>
      <c r="P909" s="182">
        <f t="shared" si="79"/>
        <v>54.373000000000005</v>
      </c>
      <c r="Q909" s="182">
        <f t="shared" si="80"/>
        <v>0</v>
      </c>
      <c r="R909" s="183">
        <f t="shared" si="81"/>
        <v>0</v>
      </c>
      <c r="S909" s="183">
        <f t="shared" si="82"/>
        <v>0</v>
      </c>
      <c r="U909" s="100"/>
      <c r="Y909" s="97"/>
      <c r="Z909" s="97"/>
      <c r="AC909" s="240"/>
      <c r="AD909" s="200" t="s">
        <v>46</v>
      </c>
      <c r="AE909" s="194">
        <f>SUM(SUMIFS($N:$N,$C:$C,"RM",$G:$G,$AC$908,$H:$H,"2B",$AG:$AG,"&lt;=30")+SUMIFS($N:$N,$C:$C,"RM BAL",$G:$G,$AC$908,$H:$H,"2B",$AG:$AG,"&lt;=30")+SUMIFS($N:$N,$C:$C,"MILL",$G:$G,$AC$908,$H:$H,"2B",$AG:$AG,"&lt;=30")+SUMIFS($N:$N,$C:$C,"RM SLT RUST",$G:$G,$AC$908,$H:$H,"2B",$AG:$AG,"&lt;=30")+SUMIFS($N:$N,$C:$C,"RM SLT DENT",$G:$G,$AC$908,$H:$H,"2B",$AG:$AG,"&lt;=30")+SUMIFS($N:$N,$C:$C,"RM SLT",$G:$G,$AC$908,$H:$H,"2B",$AG:$AG,"&lt;=30")+SUMIFS($N:$N,$C:$C,"RM SLT",$G:$G,$AC$908,$H:$H,"BA",$AG:$AG,"&lt;=30")+SUMIFS($N:$N,$C:$C,"RM SLT",$G:$G,$AC$908,$H:$H,"2D",$AG:$AG,"&lt;=30"))</f>
        <v>0</v>
      </c>
      <c r="AF909" s="194">
        <f>SUM(SUMIFS($N:$N,$C:$C,"RM",$G:$G,$AC$908,$H:$H,"2B",$AG:$AG,"&lt;=60")+SUMIFS($N:$N,$C:$C,"RM BAL",$G:$G,$AC$908,$H:$H,"2B",$AG:$AG,"&lt;=60")+SUMIFS($N:$N,$C:$C,"MILL",$G:$G,$AC$908,$H:$H,"2B",$AG:$AG,"&lt;=60")+SUMIFS($N:$N,$C:$C,"RM SLT RUST",$G:$G,$AC$908,$H:$H,"2B",$AG:$AG,"&lt;=60")+SUMIFS($N:$N,$C:$C,"RM SLT DENT",$G:$G,$AC$908,$H:$H,"2B",$AG:$AG,"&lt;=60")+SUMIFS($N:$N,$C:$C,"RM SLT",$G:$G,$AC$908,$H:$H,"2B",$AG:$AG,"&lt;=60")+SUMIFS($N:$N,$C:$C,"RM SLT",$G:$G,$AC$908,$H:$H,"BA",$AG:$AG,"&lt;=60")+SUMIFS($N:$N,$C:$C,"RM SLT",$G:$G,$AC$908,$H:$H,"2D",$AG:$AG,"&lt;=60"))-AE909</f>
        <v>0</v>
      </c>
      <c r="AG909" s="194">
        <f>SUM(SUMIFS($N:$N,$C:$C,"RM",$G:$G,$AC$908,$H:$H,"2B",$AG:$AG,"&lt;=90")+SUMIFS($N:$N,$C:$C,"RM BAL",$G:$G,$AC$908,$H:$H,"2B",$AG:$AG,"&lt;=90")+SUMIFS($N:$N,$C:$C,"MILL",$G:$G,$AC$908,$H:$H,"2B",$AG:$AG,"&lt;=90")+SUMIFS($N:$N,$C:$C,"RM SLT RUST",$G:$G,$AC$908,$H:$H,"2B",$AG:$AG,"&lt;=90")+SUMIFS($N:$N,$C:$C,"RM SLT DENT",$G:$G,$AC$908,$H:$H,"2B",$AG:$AG,"&lt;=90")+SUMIFS($N:$N,$C:$C,"RM SLT",$G:$G,$AC$908,$H:$H,"2B",$AG:$AG,"&lt;=90")+SUMIFS($N:$N,$C:$C,"RM SLT",$G:$G,$AC$908,$H:$H,"BA",$AG:$AG,"&lt;=90")+SUMIFS($N:$N,$C:$C,"RM SLT",$G:$G,$AC$908,$H:$H,"2D",$AG:$AG,"&lt;=90"))-AF909-AE909</f>
        <v>0</v>
      </c>
      <c r="AH909" s="194">
        <f>SUM(SUMIFS($N:$N,$C:$C,"RM",$G:$G,$AC$908,$H:$H,"2B",$AG:$AG,"&gt;=91")+SUMIFS($N:$N,$C:$C,"RM BAL",$G:$G,$AC$908,$H:$H,"2B",$AG:$AG,"&gt;=91")+SUMIFS($N:$N,$C:$C,"MILL",$G:$G,$AC$908,$H:$H,"2B",$AG:$AG,"&gt;=91")+SUMIFS($N:$N,$C:$C,"RM SLT RUST",$G:$G,$AC$908,$H:$H,"2B",$AG:$AG,"&gt;=91")+SUMIFS($N:$N,$C:$C,"RM SLT DENT",$G:$G,$AC$908,$H:$H,"2B",$AG:$AG,"&gt;=91")+SUMIFS($N:$N,$C:$C,"RM SLT",$G:$G,$AC$908,$H:$H,"2B",$AG:$AG,"&gt;=91")+SUMIFS($N:$N,$C:$C,"RM SLT",$G:$G,$AC$908,$H:$H,"BA",$AG:$AG,"&gt;=91")+SUMIFS($N:$N,$C:$C,"RM SLT",$G:$G,$AC$908,$H:$H,"2D",$AG:$AG,"&gt;=91"))</f>
        <v>0</v>
      </c>
      <c r="AI909" s="195">
        <f t="shared" si="66"/>
        <v>0</v>
      </c>
      <c r="AK909" s="206" t="s">
        <v>30</v>
      </c>
      <c r="AL909" s="194">
        <f t="shared" si="95"/>
        <v>0</v>
      </c>
      <c r="AM909" s="194">
        <f t="shared" si="96"/>
        <v>0</v>
      </c>
      <c r="AN909" s="194">
        <f t="shared" si="97"/>
        <v>0</v>
      </c>
      <c r="AO909" s="194">
        <f t="shared" si="98"/>
        <v>0</v>
      </c>
      <c r="AP909" s="195">
        <f t="shared" si="99"/>
        <v>0</v>
      </c>
    </row>
    <row r="910" spans="2:42" ht="21" customHeight="1" x14ac:dyDescent="0.35">
      <c r="B910" s="182" t="s">
        <v>230</v>
      </c>
      <c r="C910" s="182">
        <f t="shared" si="86"/>
        <v>123.375</v>
      </c>
      <c r="D910" s="182">
        <f t="shared" si="87"/>
        <v>192.32499999999996</v>
      </c>
      <c r="E910" s="182">
        <f t="shared" si="88"/>
        <v>22.344999999999999</v>
      </c>
      <c r="F910" s="182">
        <f t="shared" si="89"/>
        <v>0</v>
      </c>
      <c r="G910" s="182">
        <f t="shared" si="90"/>
        <v>3.74</v>
      </c>
      <c r="H910" s="182">
        <f t="shared" si="91"/>
        <v>10.88</v>
      </c>
      <c r="I910" s="182">
        <f t="shared" si="92"/>
        <v>0</v>
      </c>
      <c r="J910" s="182">
        <f>SUMIFS($N$5:$N$882,$C$5:$C$882,"CTL",$G$5:$G$882,B892)</f>
        <v>0</v>
      </c>
      <c r="K910" s="214">
        <f t="shared" si="94"/>
        <v>352.66499999999996</v>
      </c>
      <c r="O910" s="178" t="s">
        <v>34</v>
      </c>
      <c r="P910" s="186">
        <f>SUM(P895:P909)</f>
        <v>5690.3899999999985</v>
      </c>
      <c r="Q910" s="186">
        <f>SUM(Q895:Q909)</f>
        <v>10.199999999999999</v>
      </c>
      <c r="R910" s="186">
        <f>SUM(R895:R909)</f>
        <v>402.35</v>
      </c>
      <c r="S910" s="241">
        <f>SUM(S895:S909)</f>
        <v>46.831999999999994</v>
      </c>
      <c r="AC910" s="242"/>
      <c r="AD910" s="193" t="s">
        <v>65</v>
      </c>
      <c r="AE910" s="194">
        <f>SUM(SUMIFS($N:$N,$C:$C,"RM",$G:$G,$AC$911,$H:$H,$AD910,$AG:$AG,"&lt;=30")+SUMIFS($N:$N,$C:$C,"RM BAL",$G:$G,$AC$911,$H:$H,$AD910,$AG:$AG,"&lt;=30")+SUMIFS($N:$N,$C:$C,"MILL",$G:$G,$AC$911,$H:$H,$AD910,$AG:$AG,"&lt;=30")+SUMIFS($N:$N,$C:$C,"RM SLT RUST",$G:$G,$AC$911,$H:$H,$AD910,$AG:$AG,"&lt;=30")+SUMIFS($N:$N,$C:$C,"RM SLT DENT",$G:$G,$AC$911,$H:$H,$AD910,$AG:$AG,"&lt;=30")+SUMIFS($N:$N,$C:$C,"RM SLT",$G:$G,$AC$911,$H:$H,$AD910,$AG:$AG,"&lt;=30"))</f>
        <v>0</v>
      </c>
      <c r="AF910" s="194">
        <f>SUM(SUMIFS($N:$N,$C:$C,"RM",$G:$G,$AC$911,$H:$H,$AD910,$AG:$AG,"&lt;=60")+SUMIFS($N:$N,$C:$C,"RM BAL",$G:$G,$AC$911,$H:$H,$AD910,$AG:$AG,"&lt;=60")+SUMIFS($N:$N,$C:$C,"MILL",$G:$G,$AC$911,$H:$H,$AD910,$AG:$AG,"&lt;=60")+SUMIFS($N:$N,$C:$C,"RM SLT RUST",$G:$G,$AC$911,$H:$H,$AD910,$AG:$AG,"&lt;=60")+SUMIFS($N:$N,$C:$C,"RM SLT DENT",$G:$G,$AC$911,$H:$H,$AD910,$AG:$AG,"&lt;=60")+SUMIFS($N:$N,$C:$C,"RM SLT",$G:$G,$AC$911,$H:$H,$AD910,$AG:$AG,"&lt;=60"))-AE910</f>
        <v>0</v>
      </c>
      <c r="AG910" s="194">
        <f>SUM(SUMIFS($N:$N,$C:$C,"RM",$G:$G,$AC$911,$H:$H,$AD910,$AG:$AG,"&lt;=90")+SUMIFS($N:$N,$C:$C,"RM BAL",$G:$G,$AC$911,$H:$H,$AD910,$AG:$AG,"&lt;=90")+SUMIFS($N:$N,$C:$C,"MILL",$G:$G,$AC$911,$H:$H,$AD910,$AG:$AG,"&lt;=90")+SUMIFS($N:$N,$C:$C,"RM SLT RUST",$G:$G,$AC$911,$H:$H,$AD910,$AG:$AG,"&lt;=90")+SUMIFS($N:$N,$C:$C,"RM SLT DENT",$G:$G,$AC$911,$H:$H,$AD910,$AG:$AG,"&lt;=90")+SUMIFS($N:$N,$C:$C,"RM SLT",$G:$G,$AC$911,$H:$H,$AD910,$AG:$AG,"&lt;=90"))-AF910-AE910</f>
        <v>0</v>
      </c>
      <c r="AH910" s="194">
        <f>SUM(SUMIFS($N:$N,$C:$C,"RM",$G:$G,$AC$911,$H:$H,$AD910,$AG:$AG,"&gt;=91")+SUMIFS($N:$N,$C:$C,"RM BAL",$G:$G,$AC$911,$H:$H,$AD910,$AG:$AG,"&gt;=91")+SUMIFS($N:$N,$C:$C,"MILL",$G:$G,$AC$911,$H:$H,$AD910,$AG:$AG,"&gt;=91")+SUMIFS($N:$N,$C:$C,"RM SLT RUST",$G:$G,$AC$911,$H:$H,$AD910,$AG:$AG,"&gt;=91")+SUMIFS($N:$N,$C:$C,"RM SLT DENT",$G:$G,$AC$911,$H:$H,$AD910,$AG:$AG,"&gt;=91")+SUMIFS($N:$N,$C:$C,"RM SLT",$G:$G,$AC$911,$H:$H,$AD910,$AG:$AG,"&gt;=91"))</f>
        <v>0</v>
      </c>
      <c r="AI910" s="195">
        <f t="shared" si="66"/>
        <v>0</v>
      </c>
      <c r="AK910" s="207">
        <v>304</v>
      </c>
      <c r="AL910" s="194">
        <f t="shared" ca="1" si="95"/>
        <v>0</v>
      </c>
      <c r="AM910" s="194">
        <f t="shared" ca="1" si="96"/>
        <v>0</v>
      </c>
      <c r="AN910" s="194">
        <f t="shared" ca="1" si="97"/>
        <v>0</v>
      </c>
      <c r="AO910" s="194">
        <f t="shared" ca="1" si="98"/>
        <v>101.895</v>
      </c>
      <c r="AP910" s="195">
        <f t="shared" ca="1" si="99"/>
        <v>101.895</v>
      </c>
    </row>
    <row r="911" spans="2:42" ht="21" customHeight="1" x14ac:dyDescent="0.35">
      <c r="B911" s="182">
        <v>316</v>
      </c>
      <c r="C911" s="182">
        <f t="shared" si="86"/>
        <v>0</v>
      </c>
      <c r="D911" s="182">
        <f t="shared" si="87"/>
        <v>0</v>
      </c>
      <c r="E911" s="182">
        <f t="shared" si="88"/>
        <v>0</v>
      </c>
      <c r="F911" s="182">
        <f t="shared" si="89"/>
        <v>0</v>
      </c>
      <c r="G911" s="182">
        <f t="shared" si="90"/>
        <v>0</v>
      </c>
      <c r="H911" s="182">
        <f t="shared" si="91"/>
        <v>0</v>
      </c>
      <c r="I911" s="182">
        <f t="shared" si="92"/>
        <v>0</v>
      </c>
      <c r="J911" s="182">
        <f>SUMIFS($N$5:$N$882,$C$5:$C$882,"CTL",$G$5:$G$882,B893)</f>
        <v>0</v>
      </c>
      <c r="K911" s="214">
        <f t="shared" si="94"/>
        <v>0</v>
      </c>
      <c r="AC911" s="243">
        <v>430</v>
      </c>
      <c r="AD911" s="126" t="s">
        <v>139</v>
      </c>
      <c r="AE911" s="194">
        <f ca="1">SUM(SUMIFS($N:$N,$C:$C,"RM",$G:$G,$AC$911,$H:$H,$AD911,$AG:$AG,"&lt;=30")+SUMIFS($N:$N,$C:$C,"RM BAL",$G:$G,$AC$911,$H:$H,$AD911,$AG:$AG,"&lt;=30")+SUMIFS($N:$N,$C:$C,"MILL",$G:$G,$AC$911,$H:$H,$AD911,$AG:$AG,"&lt;=30")+SUMIFS($N:$N,$C:$C,"RM SLT RUST",$G:$G,$AC$911,$H:$H,$AD911,$AG:$AG,"&lt;=30")+SUMIFS($N:$N,$C:$C,"RM SLT DENT",$G:$G,$AC$911,$H:$H,$AD911,$AG:$AG,"&lt;=30")+SUMIFS($N:$N,$C:$C,"RM SLT",$G:$G,$AC$911,$H:$H,$AD911,$AG:$AG,"&lt;=30"))</f>
        <v>0</v>
      </c>
      <c r="AF911" s="194">
        <f ca="1">SUM(SUMIFS($N:$N,$C:$C,"RM",$G:$G,$AC$911,$H:$H,$AD911,$AG:$AG,"&lt;=60")+SUMIFS($N:$N,$C:$C,"RM BAL",$G:$G,$AC$911,$H:$H,$AD911,$AG:$AG,"&lt;=60")+SUMIFS($N:$N,$C:$C,"MILL",$G:$G,$AC$911,$H:$H,$AD911,$AG:$AG,"&lt;=60")+SUMIFS($N:$N,$C:$C,"RM SLT RUST",$G:$G,$AC$911,$H:$H,$AD911,$AG:$AG,"&lt;=60")+SUMIFS($N:$N,$C:$C,"RM SLT DENT",$G:$G,$AC$911,$H:$H,$AD911,$AG:$AG,"&lt;=60")+SUMIFS($N:$N,$C:$C,"RM SLT",$G:$G,$AC$911,$H:$H,$AD911,$AG:$AG,"&lt;=60"))-AE911</f>
        <v>0</v>
      </c>
      <c r="AG911" s="194">
        <f ca="1">SUM(SUMIFS($N:$N,$C:$C,"RM",$G:$G,$AC$911,$H:$H,$AD911,$AG:$AG,"&lt;=90")+SUMIFS($N:$N,$C:$C,"RM BAL",$G:$G,$AC$911,$H:$H,$AD911,$AG:$AG,"&lt;=90")+SUMIFS($N:$N,$C:$C,"MILL",$G:$G,$AC$911,$H:$H,$AD911,$AG:$AG,"&lt;=90")+SUMIFS($N:$N,$C:$C,"RM SLT RUST",$G:$G,$AC$911,$H:$H,$AD911,$AG:$AG,"&lt;=90")+SUMIFS($N:$N,$C:$C,"RM SLT DENT",$G:$G,$AC$911,$H:$H,$AD911,$AG:$AG,"&lt;=90")+SUMIFS($N:$N,$C:$C,"RM SLT",$G:$G,$AC$911,$H:$H,$AD911,$AG:$AG,"&lt;=90"))-AF911-AE911</f>
        <v>0</v>
      </c>
      <c r="AH911" s="194">
        <f ca="1">SUM(SUMIFS($N:$N,$C:$C,"RM",$G:$G,$AC$911,$H:$H,$AD911,$AG:$AG,"&gt;=91")+SUMIFS($N:$N,$C:$C,"RM BAL",$G:$G,$AC$911,$H:$H,$AD911,$AG:$AG,"&gt;=91")+SUMIFS($N:$N,$C:$C,"MILL",$G:$G,$AC$911,$H:$H,$AD911,$AG:$AG,"&gt;=91")+SUMIFS($N:$N,$C:$C,"RM SLT RUST",$G:$G,$AC$911,$H:$H,$AD911,$AG:$AG,"&gt;=91")+SUMIFS($N:$N,$C:$C,"RM SLT DENT",$G:$G,$AC$911,$H:$H,$AD911,$AG:$AG,"&gt;=91")+SUMIFS($N:$N,$C:$C,"RM SLT",$G:$G,$AC$911,$H:$H,$AD911,$AG:$AG,"&gt;=91"))</f>
        <v>20.887999999999998</v>
      </c>
      <c r="AI911" s="195">
        <f t="shared" ca="1" si="66"/>
        <v>20.887999999999998</v>
      </c>
      <c r="AK911" s="209" t="s">
        <v>230</v>
      </c>
      <c r="AL911" s="194">
        <f t="shared" ca="1" si="95"/>
        <v>0</v>
      </c>
      <c r="AM911" s="194">
        <f t="shared" ca="1" si="96"/>
        <v>0</v>
      </c>
      <c r="AN911" s="194">
        <f t="shared" ca="1" si="97"/>
        <v>0</v>
      </c>
      <c r="AO911" s="194">
        <f t="shared" ca="1" si="98"/>
        <v>194.38499999999996</v>
      </c>
      <c r="AP911" s="195">
        <f t="shared" ca="1" si="99"/>
        <v>194.38499999999996</v>
      </c>
    </row>
    <row r="912" spans="2:42" ht="21" customHeight="1" x14ac:dyDescent="0.35">
      <c r="B912" s="182" t="s">
        <v>148</v>
      </c>
      <c r="C912" s="182">
        <f t="shared" si="86"/>
        <v>2.16</v>
      </c>
      <c r="D912" s="182">
        <f t="shared" si="87"/>
        <v>5.3550000000000004</v>
      </c>
      <c r="E912" s="182">
        <f t="shared" si="88"/>
        <v>0</v>
      </c>
      <c r="F912" s="182">
        <f t="shared" si="89"/>
        <v>0</v>
      </c>
      <c r="G912" s="182">
        <f t="shared" si="90"/>
        <v>0</v>
      </c>
      <c r="H912" s="182">
        <f t="shared" si="91"/>
        <v>4.3899999999999997</v>
      </c>
      <c r="I912" s="182">
        <f t="shared" si="92"/>
        <v>0</v>
      </c>
      <c r="J912" s="182">
        <f>SUMIFS($N$5:$N$882,$C$5:$C$882,"CTL",$G$5:$G$882,B896)</f>
        <v>0</v>
      </c>
      <c r="K912" s="214">
        <f t="shared" si="94"/>
        <v>11.905000000000001</v>
      </c>
      <c r="AC912" s="243"/>
      <c r="AD912" s="200" t="s">
        <v>46</v>
      </c>
      <c r="AE912" s="194">
        <f>SUM(SUMIFS($N:$N,$C:$C,"RM",$G:$G,$AC$911,$H:$H,"2B",$AG:$AG,"&lt;=30")+SUMIFS($N:$N,$C:$C,"RM BAL",$G:$G,$AC$911,$H:$H,"2B",$AG:$AG,"&lt;=30")+SUMIFS($N:$N,$C:$C,"MILL",$G:$G,$AC$911,$H:$H,"2B",$AG:$AG,"&lt;=30")+SUMIFS($N:$N,$C:$C,"RM SLT RUST",$G:$G,$AC$911,$H:$H,"2B",$AG:$AG,"&lt;=30")+SUMIFS($N:$N,$C:$C,"RM SLT DENT",$G:$G,$AC$911,$H:$H,"2B",$AG:$AG,"&lt;=30")+SUMIFS($N:$N,$C:$C,"RM SLT",$G:$G,$AC$911,$H:$H,"2B",$AG:$AG,"&lt;=30")+SUMIFS($N:$N,$C:$C,"RM SLT",$G:$G,$AC$911,$H:$H,"BA",$AG:$AG,"&lt;=30")+SUMIFS($N:$N,$C:$C,"RM SLT",$G:$G,$AC$911,$H:$H,"2D",$AG:$AG,"&lt;=30"))</f>
        <v>0</v>
      </c>
      <c r="AF912" s="194">
        <f>SUM(SUMIFS($N:$N,$C:$C,"RM",$G:$G,$AC$911,$H:$H,"2B",$AG:$AG,"&lt;=60")+SUMIFS($N:$N,$C:$C,"RM BAL",$G:$G,$AC$911,$H:$H,"2B",$AG:$AG,"&lt;=60")+SUMIFS($N:$N,$C:$C,"MILL",$G:$G,$AC$911,$H:$H,"2B",$AG:$AG,"&lt;=60")+SUMIFS($N:$N,$C:$C,"RM SLT RUST",$G:$G,$AC$911,$H:$H,"2B",$AG:$AG,"&lt;=60")+SUMIFS($N:$N,$C:$C,"RM SLT DENT",$G:$G,$AC$911,$H:$H,"2B",$AG:$AG,"&lt;=60")+SUMIFS($N:$N,$C:$C,"RM SLT",$G:$G,$AC$911,$H:$H,"2B",$AG:$AG,"&lt;=60")+SUMIFS($N:$N,$C:$C,"RM SLT",$G:$G,$AC$911,$H:$H,"BA",$AG:$AG,"&lt;=60")+SUMIFS($N:$N,$C:$C,"RM SLT",$G:$G,$AC$911,$H:$H,"2D",$AG:$AG,"&lt;=60"))-AE912</f>
        <v>0</v>
      </c>
      <c r="AG912" s="194">
        <f>SUM(SUMIFS($N:$N,$C:$C,"RM",$G:$G,$AC$911,$H:$H,"2B",$AG:$AG,"&lt;=90")+SUMIFS($N:$N,$C:$C,"RM BAL",$G:$G,$AC$911,$H:$H,"2B",$AG:$AG,"&lt;=90")+SUMIFS($N:$N,$C:$C,"MILL",$G:$G,$AC$911,$H:$H,"2B",$AG:$AG,"&lt;=90")+SUMIFS($N:$N,$C:$C,"RM SLT RUST",$G:$G,$AC$911,$H:$H,"2B",$AG:$AG,"&lt;=90")+SUMIFS($N:$N,$C:$C,"RM SLT DENT",$G:$G,$AC$911,$H:$H,"2B",$AG:$AG,"&lt;=90")+SUMIFS($N:$N,$C:$C,"RM SLT",$G:$G,$AC$911,$H:$H,"2B",$AG:$AG,"&lt;=90")+SUMIFS($N:$N,$C:$C,"RM SLT",$G:$G,$AC$911,$H:$H,"BA",$AG:$AG,"&lt;=90")+SUMIFS($N:$N,$C:$C,"RM SLT",$G:$G,$AC$911,$H:$H,"2D",$AG:$AG,"&lt;=90"))-AF912-AE912</f>
        <v>0</v>
      </c>
      <c r="AH912" s="194">
        <f>SUM(SUMIFS($N:$N,$C:$C,"RM",$G:$G,$AC$911,$H:$H,"2B",$AG:$AG,"&gt;=91")+SUMIFS($N:$N,$C:$C,"RM BAL",$G:$G,$AC$911,$H:$H,"2B",$AG:$AG,"&gt;=91")+SUMIFS($N:$N,$C:$C,"MILL",$G:$G,$AC$911,$H:$H,"2B",$AG:$AG,"&gt;=91")+SUMIFS($N:$N,$C:$C,"RM SLT RUST",$G:$G,$AC$911,$H:$H,"2B",$AG:$AG,"&gt;=91")+SUMIFS($N:$N,$C:$C,"RM SLT DENT",$G:$G,$AC$911,$H:$H,"2B",$AG:$AG,"&gt;=91")+SUMIFS($N:$N,$C:$C,"RM SLT",$G:$G,$AC$911,$H:$H,"2B",$AG:$AG,"&gt;=91")+SUMIFS($N:$N,$C:$C,"RM SLT",$G:$G,$AC$911,$H:$H,"BA",$AG:$AG,"&gt;=91")+SUMIFS($N:$N,$C:$C,"RM SLT",$G:$G,$AC$911,$H:$H,"2D",$AG:$AG,"&gt;=91"))</f>
        <v>0</v>
      </c>
      <c r="AI912" s="195">
        <f t="shared" si="66"/>
        <v>0</v>
      </c>
      <c r="AK912" s="213" t="s">
        <v>148</v>
      </c>
      <c r="AL912" s="194">
        <f t="shared" ca="1" si="95"/>
        <v>0</v>
      </c>
      <c r="AM912" s="194">
        <f t="shared" ca="1" si="96"/>
        <v>0</v>
      </c>
      <c r="AN912" s="194">
        <f t="shared" ca="1" si="97"/>
        <v>0</v>
      </c>
      <c r="AO912" s="194">
        <f t="shared" ca="1" si="98"/>
        <v>4.3899999999999997</v>
      </c>
      <c r="AP912" s="195">
        <f t="shared" ca="1" si="99"/>
        <v>4.3899999999999997</v>
      </c>
    </row>
    <row r="913" spans="2:42" ht="21" customHeight="1" x14ac:dyDescent="0.35">
      <c r="B913" s="182">
        <v>430</v>
      </c>
      <c r="C913" s="182">
        <f t="shared" si="86"/>
        <v>0</v>
      </c>
      <c r="D913" s="182">
        <f t="shared" si="87"/>
        <v>0</v>
      </c>
      <c r="E913" s="182">
        <f t="shared" si="88"/>
        <v>0</v>
      </c>
      <c r="F913" s="182">
        <f t="shared" si="89"/>
        <v>0</v>
      </c>
      <c r="G913" s="182">
        <f t="shared" si="90"/>
        <v>0</v>
      </c>
      <c r="H913" s="182">
        <f t="shared" si="91"/>
        <v>12.091000000000001</v>
      </c>
      <c r="I913" s="182">
        <f t="shared" si="92"/>
        <v>0</v>
      </c>
      <c r="J913" s="182">
        <f>SUMIFS($N$5:$N$882,$C$5:$C$882,"CTL",$G$5:$G$882,B897)</f>
        <v>0</v>
      </c>
      <c r="K913" s="214">
        <f t="shared" si="94"/>
        <v>12.091000000000001</v>
      </c>
      <c r="AC913" s="244"/>
      <c r="AD913" s="193" t="s">
        <v>65</v>
      </c>
      <c r="AE913" s="194">
        <f>SUM(SUMIFS($N:$N,$C:$C,"RM",$G:$G,$AC$914,$H:$H,$AD913,$AG:$AG,"&lt;=30")+SUMIFS($N:$N,$C:$C,"RM BAL",$G:$G,$AC$914,$H:$H,$AD913,$AG:$AG,"&lt;=30")+SUMIFS($N:$N,$C:$C,"MILL",$G:$G,$AC$914,$H:$H,$AD913,$AG:$AG,"&lt;=30")+SUMIFS($N:$N,$C:$C,"RM SLT RUST",$G:$G,$AC$914,$H:$H,$AD913,$AG:$AG,"&lt;=30")+SUMIFS($N:$N,$C:$C,"RM SLT DENT",$G:$G,$AC$914,$H:$H,$AD913,$AG:$AG,"&lt;=30")+SUMIFS($N:$N,$C:$C,"RM SLT",$G:$G,$AC$914,$H:$H,$AD913,$AG:$AG,"&lt;=30"))</f>
        <v>0</v>
      </c>
      <c r="AF913" s="194">
        <f>SUM(SUMIFS($N:$N,$C:$C,"RM",$G:$G,$AC$914,$H:$H,$AD913,$AG:$AG,"&lt;=60")+SUMIFS($N:$N,$C:$C,"RM BAL",$G:$G,$AC$914,$H:$H,$AD913,$AG:$AG,"&lt;=60")+SUMIFS($N:$N,$C:$C,"MILL",$G:$G,$AC$914,$H:$H,$AD913,$AG:$AG,"&lt;=60")+SUMIFS($N:$N,$C:$C,"RM SLT RUST",$G:$G,$AC$914,$H:$H,$AD913,$AG:$AG,"&lt;=60")+SUMIFS($N:$N,$C:$C,"RM SLT DENT",$G:$G,$AC$914,$H:$H,$AD913,$AG:$AG,"&lt;=60")+SUMIFS($N:$N,$C:$C,"RM SLT",$G:$G,$AC$914,$H:$H,$AD913,$AG:$AG,"&lt;=60"))-AE913</f>
        <v>0</v>
      </c>
      <c r="AG913" s="194">
        <f>SUM(SUMIFS($N:$N,$C:$C,"RM",$G:$G,$AC$914,$H:$H,$AD913,$AG:$AG,"&lt;=90")+SUMIFS($N:$N,$C:$C,"RM BAL",$G:$G,$AC$914,$H:$H,$AD913,$AG:$AG,"&lt;=90")+SUMIFS($N:$N,$C:$C,"MILL",$G:$G,$AC$914,$H:$H,$AD913,$AG:$AG,"&lt;=90")+SUMIFS($N:$N,$C:$C,"RM SLT RUST",$G:$G,$AC$914,$H:$H,$AD913,$AG:$AG,"&lt;=90")+SUMIFS($N:$N,$C:$C,"RM SLT DENT",$G:$G,$AC$914,$H:$H,$AD913,$AG:$AG,"&lt;=90")+SUMIFS($N:$N,$C:$C,"RM SLT",$G:$G,$AC$914,$H:$H,$AD913,$AG:$AG,"&lt;=90"))-AF913-AE913</f>
        <v>0</v>
      </c>
      <c r="AH913" s="194">
        <f>SUM(SUMIFS($N:$N,$C:$C,"RM",$G:$G,$AC$914,$H:$H,$AD913,$AG:$AG,"&gt;=91")+SUMIFS($N:$N,$C:$C,"RM BAL",$G:$G,$AC$914,$H:$H,$AD913,$AG:$AG,"&gt;=91")+SUMIFS($N:$N,$C:$C,"MILL",$G:$G,$AC$914,$H:$H,$AD913,$AG:$AG,"&gt;=91")+SUMIFS($N:$N,$C:$C,"RM SLT RUST",$G:$G,$AC$914,$H:$H,$AD913,$AG:$AG,"&gt;=91")+SUMIFS($N:$N,$C:$C,"RM SLT DENT",$G:$G,$AC$914,$H:$H,$AD913,$AG:$AG,"&gt;=91")+SUMIFS($N:$N,$C:$C,"RM SLT",$G:$G,$AC$914,$H:$H,$AD913,$AG:$AG,"&gt;=91"))</f>
        <v>0</v>
      </c>
      <c r="AI913" s="195">
        <f t="shared" si="66"/>
        <v>0</v>
      </c>
      <c r="AK913" s="215">
        <v>430</v>
      </c>
      <c r="AL913" s="194">
        <f t="shared" ca="1" si="95"/>
        <v>0</v>
      </c>
      <c r="AM913" s="194">
        <f t="shared" ca="1" si="96"/>
        <v>0</v>
      </c>
      <c r="AN913" s="194">
        <f t="shared" ca="1" si="97"/>
        <v>0</v>
      </c>
      <c r="AO913" s="194">
        <f t="shared" ca="1" si="98"/>
        <v>12.091000000000001</v>
      </c>
      <c r="AP913" s="195">
        <f t="shared" ca="1" si="99"/>
        <v>12.091000000000001</v>
      </c>
    </row>
    <row r="914" spans="2:42" ht="21" customHeight="1" x14ac:dyDescent="0.35">
      <c r="B914" s="182" t="s">
        <v>33</v>
      </c>
      <c r="C914" s="182">
        <f t="shared" si="86"/>
        <v>0</v>
      </c>
      <c r="D914" s="182">
        <f t="shared" si="87"/>
        <v>0</v>
      </c>
      <c r="E914" s="182">
        <f t="shared" si="88"/>
        <v>0</v>
      </c>
      <c r="F914" s="182">
        <f t="shared" si="89"/>
        <v>0</v>
      </c>
      <c r="G914" s="182">
        <f t="shared" si="90"/>
        <v>0</v>
      </c>
      <c r="H914" s="182">
        <f t="shared" si="91"/>
        <v>0</v>
      </c>
      <c r="I914" s="182">
        <f t="shared" si="92"/>
        <v>0</v>
      </c>
      <c r="J914" s="182">
        <f>SUMIFS($N$5:$N$882,$C$5:$C$882,"CTL",$G$5:$G$882,B898)</f>
        <v>0</v>
      </c>
      <c r="K914" s="214">
        <f t="shared" si="94"/>
        <v>0</v>
      </c>
      <c r="AC914" s="245" t="s">
        <v>2538</v>
      </c>
      <c r="AD914" s="126" t="s">
        <v>139</v>
      </c>
      <c r="AE914" s="194">
        <f>SUM(SUMIFS($N:$N,$C:$C,"RM",$G:$G,$AC$914,$H:$H,$AD914,$AG:$AG,"&lt;=30")+SUMIFS($N:$N,$C:$C,"RM BAL",$G:$G,$AC$914,$H:$H,$AD914,$AG:$AG,"&lt;=30")+SUMIFS($N:$N,$C:$C,"MILL",$G:$G,$AC$914,$H:$H,$AD914,$AG:$AG,"&lt;=30")+SUMIFS($N:$N,$C:$C,"RM SLT RUST",$G:$G,$AC$914,$H:$H,$AD914,$AG:$AG,"&lt;=30")+SUMIFS($N:$N,$C:$C,"RM SLT DENT",$G:$G,$AC$914,$H:$H,$AD914,$AG:$AG,"&lt;=30")+SUMIFS($N:$N,$C:$C,"RM SLT",$G:$G,$AC$914,$H:$H,$AD914,$AG:$AG,"&lt;=30"))</f>
        <v>0</v>
      </c>
      <c r="AF914" s="194">
        <f>SUM(SUMIFS($N:$N,$C:$C,"RM",$G:$G,$AC$914,$H:$H,$AD914,$AG:$AG,"&lt;=60")+SUMIFS($N:$N,$C:$C,"RM BAL",$G:$G,$AC$914,$H:$H,$AD914,$AG:$AG,"&lt;=60")+SUMIFS($N:$N,$C:$C,"MILL",$G:$G,$AC$914,$H:$H,$AD914,$AG:$AG,"&lt;=60")+SUMIFS($N:$N,$C:$C,"RM SLT RUST",$G:$G,$AC$914,$H:$H,$AD914,$AG:$AG,"&lt;=60")+SUMIFS($N:$N,$C:$C,"RM SLT DENT",$G:$G,$AC$914,$H:$H,$AD914,$AG:$AG,"&lt;=60")+SUMIFS($N:$N,$C:$C,"RM SLT",$G:$G,$AC$914,$H:$H,$AD914,$AG:$AG,"&lt;=60"))-AE914</f>
        <v>0</v>
      </c>
      <c r="AG914" s="194">
        <f>SUM(SUMIFS($N:$N,$C:$C,"RM",$G:$G,$AC$914,$H:$H,$AD914,$AG:$AG,"&lt;=90")+SUMIFS($N:$N,$C:$C,"RM BAL",$G:$G,$AC$914,$H:$H,$AD914,$AG:$AG,"&lt;=90")+SUMIFS($N:$N,$C:$C,"MILL",$G:$G,$AC$914,$H:$H,$AD914,$AG:$AG,"&lt;=90")+SUMIFS($N:$N,$C:$C,"RM SLT RUST",$G:$G,$AC$914,$H:$H,$AD914,$AG:$AG,"&lt;=90")+SUMIFS($N:$N,$C:$C,"RM SLT DENT",$G:$G,$AC$914,$H:$H,$AD914,$AG:$AG,"&lt;=90")+SUMIFS($N:$N,$C:$C,"RM SLT",$G:$G,$AC$914,$H:$H,$AD914,$AG:$AG,"&lt;=90"))-AF914-AE914</f>
        <v>0</v>
      </c>
      <c r="AH914" s="194">
        <f>SUM(SUMIFS($N:$N,$C:$C,"RM",$G:$G,$AC$914,$H:$H,$AD914,$AG:$AG,"&gt;=91")+SUMIFS($N:$N,$C:$C,"RM BAL",$G:$G,$AC$914,$H:$H,$AD914,$AG:$AG,"&gt;=91")+SUMIFS($N:$N,$C:$C,"MILL",$G:$G,$AC$914,$H:$H,$AD914,$AG:$AG,"&gt;=91")+SUMIFS($N:$N,$C:$C,"RM SLT RUST",$G:$G,$AC$914,$H:$H,$AD914,$AG:$AG,"&gt;=91")+SUMIFS($N:$N,$C:$C,"RM SLT DENT",$G:$G,$AC$914,$H:$H,$AD914,$AG:$AG,"&gt;=91")+SUMIFS($N:$N,$C:$C,"RM SLT",$G:$G,$AC$914,$H:$H,$AD914,$AG:$AG,"&gt;=91"))</f>
        <v>0</v>
      </c>
      <c r="AI914" s="195">
        <f t="shared" si="66"/>
        <v>0</v>
      </c>
      <c r="AK914" s="218" t="s">
        <v>2538</v>
      </c>
      <c r="AL914" s="194">
        <f t="shared" si="95"/>
        <v>0</v>
      </c>
      <c r="AM914" s="194">
        <f t="shared" si="96"/>
        <v>0</v>
      </c>
      <c r="AN914" s="194">
        <f t="shared" si="97"/>
        <v>0</v>
      </c>
      <c r="AO914" s="194">
        <f t="shared" si="98"/>
        <v>0</v>
      </c>
      <c r="AP914" s="195">
        <f t="shared" si="99"/>
        <v>0</v>
      </c>
    </row>
    <row r="915" spans="2:42" ht="21" customHeight="1" x14ac:dyDescent="0.35">
      <c r="B915" s="182">
        <v>410</v>
      </c>
      <c r="C915" s="182">
        <f t="shared" si="86"/>
        <v>0</v>
      </c>
      <c r="D915" s="182">
        <f t="shared" si="87"/>
        <v>0</v>
      </c>
      <c r="E915" s="182">
        <f t="shared" si="88"/>
        <v>0.85499999999999998</v>
      </c>
      <c r="F915" s="182">
        <f t="shared" si="89"/>
        <v>0</v>
      </c>
      <c r="G915" s="182">
        <f t="shared" si="90"/>
        <v>0</v>
      </c>
      <c r="H915" s="182">
        <f t="shared" si="91"/>
        <v>0</v>
      </c>
      <c r="I915" s="182">
        <f t="shared" si="92"/>
        <v>0</v>
      </c>
      <c r="J915" s="182">
        <f>SUMIFS($N$5:$N$882,$C$5:$C$882,"CTL",$G$5:$G$882,B899)</f>
        <v>0</v>
      </c>
      <c r="K915" s="214">
        <f t="shared" si="94"/>
        <v>0.85499999999999998</v>
      </c>
      <c r="AC915" s="246"/>
      <c r="AD915" s="200" t="s">
        <v>46</v>
      </c>
      <c r="AE915" s="194">
        <f>SUM(SUMIFS($N:$N,$C:$C,"RM",$G:$G,$AC$914,$H:$H,"2B",$AG:$AG,"&lt;=30")+SUMIFS($N:$N,$C:$C,"RM BAL",$G:$G,$AC$914,$H:$H,"2B",$AG:$AG,"&lt;=30")+SUMIFS($N:$N,$C:$C,"MILL",$G:$G,$AC$914,$H:$H,"2B",$AG:$AG,"&lt;=30")+SUMIFS($N:$N,$C:$C,"RM SLT RUST",$G:$G,$AC$914,$H:$H,"2B",$AG:$AG,"&lt;=30")+SUMIFS($N:$N,$C:$C,"RM SLT DENT",$G:$G,$AC$914,$H:$H,"2B",$AG:$AG,"&lt;=30")+SUMIFS($N:$N,$C:$C,"RM SLT",$G:$G,$AC$914,$H:$H,"2B",$AG:$AG,"&lt;=30")+SUMIFS($N:$N,$C:$C,"RM SLT",$G:$G,$AC$914,$H:$H,"BA",$AG:$AG,"&lt;=30")+SUMIFS($N:$N,$C:$C,"RM SLT",$G:$G,$AC$914,$H:$H,"2D",$AG:$AG,"&lt;=30"))</f>
        <v>0</v>
      </c>
      <c r="AF915" s="194">
        <f>SUM(SUMIFS($N:$N,$C:$C,"RM",$G:$G,$AC$914,$H:$H,"2B",$AG:$AG,"&lt;=60")+SUMIFS($N:$N,$C:$C,"RM BAL",$G:$G,$AC$914,$H:$H,"2B",$AG:$AG,"&lt;=60")+SUMIFS($N:$N,$C:$C,"MILL",$G:$G,$AC$914,$H:$H,"2B",$AG:$AG,"&lt;=60")+SUMIFS($N:$N,$C:$C,"RM SLT RUST",$G:$G,$AC$914,$H:$H,"2B",$AG:$AG,"&lt;=60")+SUMIFS($N:$N,$C:$C,"RM SLT DENT",$G:$G,$AC$914,$H:$H,"2B",$AG:$AG,"&lt;=60")+SUMIFS($N:$N,$C:$C,"RM SLT",$G:$G,$AC$914,$H:$H,"2B",$AG:$AG,"&lt;=60")+SUMIFS($N:$N,$C:$C,"RM SLT",$G:$G,$AC$914,$H:$H,"BA",$AG:$AG,"&lt;=60")+SUMIFS($N:$N,$C:$C,"RM SLT",$G:$G,$AC$914,$H:$H,"2D",$AG:$AG,"&lt;=60"))-AE915</f>
        <v>0</v>
      </c>
      <c r="AG915" s="194">
        <f>SUM(SUMIFS($N:$N,$C:$C,"RM",$G:$G,$AC$914,$H:$H,"2B",$AG:$AG,"&lt;=90")+SUMIFS($N:$N,$C:$C,"RM BAL",$G:$G,$AC$914,$H:$H,"2B",$AG:$AG,"&lt;=90")+SUMIFS($N:$N,$C:$C,"MILL",$G:$G,$AC$914,$H:$H,"2B",$AG:$AG,"&lt;=90")+SUMIFS($N:$N,$C:$C,"RM SLT RUST",$G:$G,$AC$914,$H:$H,"2B",$AG:$AG,"&lt;=90")+SUMIFS($N:$N,$C:$C,"RM SLT DENT",$G:$G,$AC$914,$H:$H,"2B",$AG:$AG,"&lt;=90")+SUMIFS($N:$N,$C:$C,"RM SLT",$G:$G,$AC$914,$H:$H,"2B",$AG:$AG,"&lt;=90")+SUMIFS($N:$N,$C:$C,"RM SLT",$G:$G,$AC$914,$H:$H,"BA",$AG:$AG,"&lt;=90")+SUMIFS($N:$N,$C:$C,"RM SLT",$G:$G,$AC$914,$H:$H,"2D",$AG:$AG,"&lt;=90"))-AF915-AE915</f>
        <v>0</v>
      </c>
      <c r="AH915" s="194">
        <f>SUM(SUMIFS($N:$N,$C:$C,"RM",$G:$G,$AC$914,$H:$H,"2B",$AG:$AG,"&gt;=91")+SUMIFS($N:$N,$C:$C,"RM BAL",$G:$G,$AC$914,$H:$H,"2B",$AG:$AG,"&gt;=91")+SUMIFS($N:$N,$C:$C,"MILL",$G:$G,$AC$914,$H:$H,"2B",$AG:$AG,"&gt;=91")+SUMIFS($N:$N,$C:$C,"RM SLT RUST",$G:$G,$AC$914,$H:$H,"2B",$AG:$AG,"&gt;=91")+SUMIFS($N:$N,$C:$C,"RM SLT DENT",$G:$G,$AC$914,$H:$H,"2B",$AG:$AG,"&gt;=91")+SUMIFS($N:$N,$C:$C,"RM SLT",$G:$G,$AC$914,$H:$H,"2B",$AG:$AG,"&gt;=91")+SUMIFS($N:$N,$C:$C,"RM SLT",$G:$G,$AC$914,$H:$H,"BA",$AG:$AG,"&gt;=91")+SUMIFS($N:$N,$C:$C,"RM SLT",$G:$G,$AC$914,$H:$H,"2D",$AG:$AG,"&gt;=91"))</f>
        <v>0</v>
      </c>
      <c r="AI915" s="195">
        <f t="shared" si="66"/>
        <v>0</v>
      </c>
      <c r="AK915" s="220" t="s">
        <v>33</v>
      </c>
      <c r="AL915" s="194">
        <f t="shared" si="95"/>
        <v>0</v>
      </c>
      <c r="AM915" s="194">
        <f t="shared" si="96"/>
        <v>0</v>
      </c>
      <c r="AN915" s="194">
        <f t="shared" si="97"/>
        <v>0</v>
      </c>
      <c r="AO915" s="194">
        <f t="shared" si="98"/>
        <v>0</v>
      </c>
      <c r="AP915" s="195">
        <f t="shared" si="99"/>
        <v>0</v>
      </c>
    </row>
    <row r="916" spans="2:42" ht="21" customHeight="1" x14ac:dyDescent="0.35">
      <c r="B916" s="182">
        <v>301</v>
      </c>
      <c r="C916" s="182">
        <f t="shared" si="86"/>
        <v>0</v>
      </c>
      <c r="D916" s="182">
        <f t="shared" si="87"/>
        <v>0</v>
      </c>
      <c r="E916" s="182">
        <f t="shared" si="88"/>
        <v>0</v>
      </c>
      <c r="F916" s="182">
        <f t="shared" si="89"/>
        <v>0</v>
      </c>
      <c r="G916" s="182">
        <f t="shared" si="90"/>
        <v>0</v>
      </c>
      <c r="H916" s="182">
        <f t="shared" si="91"/>
        <v>0</v>
      </c>
      <c r="I916" s="182">
        <f t="shared" si="92"/>
        <v>0</v>
      </c>
      <c r="J916" s="182">
        <f>SUMIFS($N$5:$N$882,$C$5:$C$882,"CTL",$G$5:$G$882,B900)</f>
        <v>0</v>
      </c>
      <c r="K916" s="214">
        <f t="shared" si="94"/>
        <v>0</v>
      </c>
      <c r="AC916" s="247"/>
      <c r="AD916" s="193" t="s">
        <v>65</v>
      </c>
      <c r="AE916" s="194">
        <f>SUM(SUMIFS($N:$N,$C:$C,"RM",$G:$G,$AC$917,$H:$H,$AD916,$AG:$AG,"&lt;=30")+SUMIFS($N:$N,$C:$C,"RM BAL",$G:$G,$AC$917,$H:$H,$AD916,$AG:$AG,"&lt;=30")+SUMIFS($N:$N,$C:$C,"MILL",$G:$G,$AC$917,$H:$H,$AD916,$AG:$AG,"&lt;=30")+SUMIFS($N:$N,$C:$C,"RM SLT RUST",$G:$G,$AC$917,$H:$H,$AD916,$AG:$AG,"&lt;=30")+SUMIFS($N:$N,$C:$C,"RM SLT DENT",$G:$G,$AC$917,$H:$H,$AD916,$AG:$AG,"&lt;=30")+SUMIFS($N:$N,$C:$C,"RM SLT",$G:$G,$AC$917,$H:$H,$AD916,$AG:$AG,"&lt;=30"))</f>
        <v>0</v>
      </c>
      <c r="AF916" s="194">
        <f>SUM(SUMIFS($N:$N,$C:$C,"RM",$G:$G,$AC$917,$H:$H,$AD916,$AG:$AG,"&lt;=60")+SUMIFS($N:$N,$C:$C,"RM BAL",$G:$G,$AC$917,$H:$H,$AD916,$AG:$AG,"&lt;=60")+SUMIFS($N:$N,$C:$C,"MILL",$G:$G,$AC$917,$H:$H,$AD916,$AG:$AG,"&lt;=60")+SUMIFS($N:$N,$C:$C,"RM SLT RUST",$G:$G,$AC$917,$H:$H,$AD916,$AG:$AG,"&lt;=60")+SUMIFS($N:$N,$C:$C,"RM SLT DENT",$G:$G,$AC$917,$H:$H,$AD916,$AG:$AG,"&lt;=60")+SUMIFS($N:$N,$C:$C,"RM SLT",$G:$G,$AC$917,$H:$H,$AD916,$AG:$AG,"&lt;=60"))-AE916</f>
        <v>0</v>
      </c>
      <c r="AG916" s="194">
        <f>SUM(SUMIFS($N:$N,$C:$C,"RM",$G:$G,$AC$917,$H:$H,$AD916,$AG:$AG,"&lt;=90")+SUMIFS($N:$N,$C:$C,"RM BAL",$G:$G,$AC$917,$H:$H,$AD916,$AG:$AG,"&lt;=90")+SUMIFS($N:$N,$C:$C,"MILL",$G:$G,$AC$917,$H:$H,$AD916,$AG:$AG,"&lt;=90")+SUMIFS($N:$N,$C:$C,"RM SLT RUST",$G:$G,$AC$917,$H:$H,$AD916,$AG:$AG,"&lt;=90")+SUMIFS($N:$N,$C:$C,"RM SLT DENT",$G:$G,$AC$917,$H:$H,$AD916,$AG:$AG,"&lt;=90")+SUMIFS($N:$N,$C:$C,"RM SLT",$G:$G,$AC$917,$H:$H,$AD916,$AG:$AG,"&lt;=90"))-AF916-AE916</f>
        <v>0</v>
      </c>
      <c r="AH916" s="194">
        <f>SUM(SUMIFS($N:$N,$C:$C,"RM",$G:$G,$AC$917,$H:$H,$AD916,$AG:$AG,"&gt;=91")+SUMIFS($N:$N,$C:$C,"RM BAL",$G:$G,$AC$917,$H:$H,$AD916,$AG:$AG,"&gt;=91")+SUMIFS($N:$N,$C:$C,"MILL",$G:$G,$AC$917,$H:$H,$AD916,$AG:$AG,"&gt;=91")+SUMIFS($N:$N,$C:$C,"RM SLT RUST",$G:$G,$AC$917,$H:$H,$AD916,$AG:$AG,"&gt;=91")+SUMIFS($N:$N,$C:$C,"RM SLT DENT",$G:$G,$AC$917,$H:$H,$AD916,$AG:$AG,"&gt;=91")+SUMIFS($N:$N,$C:$C,"RM SLT",$G:$G,$AC$917,$H:$H,$AD916,$AG:$AG,"&gt;=91"))</f>
        <v>0</v>
      </c>
      <c r="AI916" s="195">
        <f t="shared" si="66"/>
        <v>0</v>
      </c>
      <c r="AK916" s="221">
        <v>410</v>
      </c>
      <c r="AL916" s="194">
        <f t="shared" si="95"/>
        <v>0</v>
      </c>
      <c r="AM916" s="194">
        <f t="shared" si="96"/>
        <v>0</v>
      </c>
      <c r="AN916" s="194">
        <f t="shared" si="97"/>
        <v>0</v>
      </c>
      <c r="AO916" s="194">
        <f t="shared" si="98"/>
        <v>0</v>
      </c>
      <c r="AP916" s="195">
        <f t="shared" si="99"/>
        <v>0</v>
      </c>
    </row>
    <row r="917" spans="2:42" ht="21" customHeight="1" x14ac:dyDescent="0.35">
      <c r="B917" s="178" t="s">
        <v>34</v>
      </c>
      <c r="C917" s="186">
        <f t="shared" ref="C917:J917" si="100">SUM(C902:C916)</f>
        <v>215.56499999999997</v>
      </c>
      <c r="D917" s="186">
        <f t="shared" si="100"/>
        <v>484.63</v>
      </c>
      <c r="E917" s="186">
        <f t="shared" si="100"/>
        <v>40.874999999999993</v>
      </c>
      <c r="F917" s="186">
        <f t="shared" si="100"/>
        <v>41.784999999999997</v>
      </c>
      <c r="G917" s="186">
        <f t="shared" si="100"/>
        <v>32.515000000000001</v>
      </c>
      <c r="H917" s="186">
        <f t="shared" si="100"/>
        <v>141.262</v>
      </c>
      <c r="I917" s="186">
        <f t="shared" si="100"/>
        <v>0</v>
      </c>
      <c r="J917" s="186">
        <f t="shared" si="100"/>
        <v>0</v>
      </c>
      <c r="K917" s="186">
        <f>SUM(K902:K916)</f>
        <v>956.63199999999995</v>
      </c>
      <c r="AC917" s="247" t="s">
        <v>33</v>
      </c>
      <c r="AD917" s="126" t="s">
        <v>139</v>
      </c>
      <c r="AE917" s="194">
        <f>SUM(SUMIFS($N:$N,$C:$C,"RM",$G:$G,$AC$917,$H:$H,$AD917,$AG:$AG,"&lt;=30")+SUMIFS($N:$N,$C:$C,"RM BAL",$G:$G,$AC$917,$H:$H,$AD917,$AG:$AG,"&lt;=30")+SUMIFS($N:$N,$C:$C,"MILL",$G:$G,$AC$917,$H:$H,$AD917,$AG:$AG,"&lt;=30")+SUMIFS($N:$N,$C:$C,"RM SLT RUST",$G:$G,$AC$917,$H:$H,$AD917,$AG:$AG,"&lt;=30")+SUMIFS($N:$N,$C:$C,"RM SLT DENT",$G:$G,$AC$917,$H:$H,$AD917,$AG:$AG,"&lt;=30")+SUMIFS($N:$N,$C:$C,"RM SLT",$G:$G,$AC$917,$H:$H,$AD917,$AG:$AG,"&lt;=30"))</f>
        <v>0</v>
      </c>
      <c r="AF917" s="194">
        <f>SUM(SUMIFS($N:$N,$C:$C,"RM",$G:$G,$AC$917,$H:$H,$AD917,$AG:$AG,"&lt;=60")+SUMIFS($N:$N,$C:$C,"RM BAL",$G:$G,$AC$917,$H:$H,$AD917,$AG:$AG,"&lt;=60")+SUMIFS($N:$N,$C:$C,"MILL",$G:$G,$AC$917,$H:$H,$AD917,$AG:$AG,"&lt;=60")+SUMIFS($N:$N,$C:$C,"RM SLT RUST",$G:$G,$AC$917,$H:$H,$AD917,$AG:$AG,"&lt;=60")+SUMIFS($N:$N,$C:$C,"RM SLT DENT",$G:$G,$AC$917,$H:$H,$AD917,$AG:$AG,"&lt;=60")+SUMIFS($N:$N,$C:$C,"RM SLT",$G:$G,$AC$917,$H:$H,$AD917,$AG:$AG,"&lt;=60"))-AE917</f>
        <v>0</v>
      </c>
      <c r="AG917" s="194">
        <f>SUM(SUMIFS($N:$N,$C:$C,"RM",$G:$G,$AC$917,$H:$H,$AD917,$AG:$AG,"&lt;=90")+SUMIFS($N:$N,$C:$C,"RM BAL",$G:$G,$AC$917,$H:$H,$AD917,$AG:$AG,"&lt;=90")+SUMIFS($N:$N,$C:$C,"MILL",$G:$G,$AC$917,$H:$H,$AD917,$AG:$AG,"&lt;=90")+SUMIFS($N:$N,$C:$C,"RM SLT RUST",$G:$G,$AC$917,$H:$H,$AD917,$AG:$AG,"&lt;=90")+SUMIFS($N:$N,$C:$C,"RM SLT DENT",$G:$G,$AC$917,$H:$H,$AD917,$AG:$AG,"&lt;=90")+SUMIFS($N:$N,$C:$C,"RM SLT",$G:$G,$AC$917,$H:$H,$AD917,$AG:$AG,"&lt;=90"))-AF917-AE917</f>
        <v>0</v>
      </c>
      <c r="AH917" s="194">
        <f>SUM(SUMIFS($N:$N,$C:$C,"RM",$G:$G,$AC$917,$H:$H,$AD917,$AG:$AG,"&gt;=91")+SUMIFS($N:$N,$C:$C,"RM BAL",$G:$G,$AC$917,$H:$H,$AD917,$AG:$AG,"&gt;=91")+SUMIFS($N:$N,$C:$C,"MILL",$G:$G,$AC$917,$H:$H,$AD917,$AG:$AG,"&gt;=91")+SUMIFS($N:$N,$C:$C,"RM SLT RUST",$G:$G,$AC$917,$H:$H,$AD917,$AG:$AG,"&gt;=91")+SUMIFS($N:$N,$C:$C,"RM SLT DENT",$G:$G,$AC$917,$H:$H,$AD917,$AG:$AG,"&gt;=91")+SUMIFS($N:$N,$C:$C,"RM SLT",$G:$G,$AC$917,$H:$H,$AD917,$AG:$AG,"&gt;=91"))</f>
        <v>0</v>
      </c>
      <c r="AI917" s="195">
        <f t="shared" si="66"/>
        <v>0</v>
      </c>
      <c r="AK917" s="223">
        <v>301</v>
      </c>
      <c r="AL917" s="194">
        <f t="shared" si="95"/>
        <v>0</v>
      </c>
      <c r="AM917" s="194">
        <f t="shared" si="96"/>
        <v>0</v>
      </c>
      <c r="AN917" s="194">
        <f t="shared" si="97"/>
        <v>0</v>
      </c>
      <c r="AO917" s="194">
        <f t="shared" si="98"/>
        <v>0</v>
      </c>
      <c r="AP917" s="195">
        <f t="shared" si="99"/>
        <v>0</v>
      </c>
    </row>
    <row r="918" spans="2:42" ht="21" customHeight="1" x14ac:dyDescent="0.35">
      <c r="AC918" s="248"/>
      <c r="AD918" s="200" t="s">
        <v>46</v>
      </c>
      <c r="AE918" s="194">
        <f>SUM(SUMIFS($N:$N,$C:$C,"RM",$G:$G,$AC$917,$H:$H,"2B",$AG:$AG,"&lt;=30")+SUMIFS($N:$N,$C:$C,"RM BAL",$G:$G,$AC$917,$H:$H,"2B",$AG:$AG,"&lt;=30")+SUMIFS($N:$N,$C:$C,"MILL",$G:$G,$AC$917,$H:$H,"2B",$AG:$AG,"&lt;=30")+SUMIFS($N:$N,$C:$C,"RM SLT RUST",$G:$G,$AC$917,$H:$H,"2B",$AG:$AG,"&lt;=30")+SUMIFS($N:$N,$C:$C,"RM SLT DENT",$G:$G,$AC$917,$H:$H,"2B",$AG:$AG,"&lt;=30")+SUMIFS($N:$N,$C:$C,"RM SLT",$G:$G,$AC$917,$H:$H,"2B",$AG:$AG,"&lt;=30")+SUMIFS($N:$N,$C:$C,"RM SLT",$G:$G,$AC$917,$H:$H,"BA",$AG:$AG,"&lt;=30")+SUMIFS($N:$N,$C:$C,"RM SLT",$G:$G,$AC$917,$H:$H,"2D",$AG:$AG,"&lt;=30"))</f>
        <v>0</v>
      </c>
      <c r="AF918" s="194">
        <f>SUM(SUMIFS($N:$N,$C:$C,"RM",$G:$G,$AC$917,$H:$H,"2B",$AG:$AG,"&lt;=60")+SUMIFS($N:$N,$C:$C,"RM BAL",$G:$G,$AC$917,$H:$H,"2B",$AG:$AG,"&lt;=60")+SUMIFS($N:$N,$C:$C,"MILL",$G:$G,$AC$917,$H:$H,"2B",$AG:$AG,"&lt;=60")+SUMIFS($N:$N,$C:$C,"RM SLT RUST",$G:$G,$AC$917,$H:$H,"2B",$AG:$AG,"&lt;=60")+SUMIFS($N:$N,$C:$C,"RM SLT DENT",$G:$G,$AC$917,$H:$H,"2B",$AG:$AG,"&lt;=60")+SUMIFS($N:$N,$C:$C,"RM SLT",$G:$G,$AC$917,$H:$H,"2B",$AG:$AG,"&lt;=60")+SUMIFS($N:$N,$C:$C,"RM SLT",$G:$G,$AC$917,$H:$H,"BA",$AG:$AG,"&lt;=60")+SUMIFS($N:$N,$C:$C,"RM SLT",$G:$G,$AC$917,$H:$H,"2D",$AG:$AG,"&lt;=60"))-AE918</f>
        <v>0</v>
      </c>
      <c r="AG918" s="194">
        <f>SUM(SUMIFS($N:$N,$C:$C,"RM",$G:$G,$AC$917,$H:$H,"2B",$AG:$AG,"&lt;=90")+SUMIFS($N:$N,$C:$C,"RM BAL",$G:$G,$AC$917,$H:$H,"2B",$AG:$AG,"&lt;=90")+SUMIFS($N:$N,$C:$C,"MILL",$G:$G,$AC$917,$H:$H,"2B",$AG:$AG,"&lt;=90")+SUMIFS($N:$N,$C:$C,"RM SLT RUST",$G:$G,$AC$917,$H:$H,"2B",$AG:$AG,"&lt;=90")+SUMIFS($N:$N,$C:$C,"RM SLT DENT",$G:$G,$AC$917,$H:$H,"2B",$AG:$AG,"&lt;=90")+SUMIFS($N:$N,$C:$C,"RM SLT",$G:$G,$AC$917,$H:$H,"2B",$AG:$AG,"&lt;=90")+SUMIFS($N:$N,$C:$C,"RM SLT",$G:$G,$AC$917,$H:$H,"BA",$AG:$AG,"&lt;=90")+SUMIFS($N:$N,$C:$C,"RM SLT",$G:$G,$AC$917,$H:$H,"2D",$AG:$AG,"&lt;=90"))-AF918-AE918</f>
        <v>0</v>
      </c>
      <c r="AH918" s="194">
        <f>SUM(SUMIFS($N:$N,$C:$C,"RM",$G:$G,$AC$917,$H:$H,"2B",$AG:$AG,"&gt;=91")+SUMIFS($N:$N,$C:$C,"RM BAL",$G:$G,$AC$917,$H:$H,"2B",$AG:$AG,"&gt;=91")+SUMIFS($N:$N,$C:$C,"MILL",$G:$G,$AC$917,$H:$H,"2B",$AG:$AG,"&gt;=91")+SUMIFS($N:$N,$C:$C,"RM SLT RUST",$G:$G,$AC$917,$H:$H,"2B",$AG:$AG,"&gt;=91")+SUMIFS($N:$N,$C:$C,"RM SLT DENT",$G:$G,$AC$917,$H:$H,"2B",$AG:$AG,"&gt;=91")+SUMIFS($N:$N,$C:$C,"RM SLT",$G:$G,$AC$917,$H:$H,"2B",$AG:$AG,"&gt;=91")+SUMIFS($N:$N,$C:$C,"RM SLT",$G:$G,$AC$917,$H:$H,"BA",$AG:$AG,"&gt;=91")+SUMIFS($N:$N,$C:$C,"RM SLT",$G:$G,$AC$917,$H:$H,"2D",$AG:$AG,"&gt;=91"))</f>
        <v>0</v>
      </c>
      <c r="AI918" s="195">
        <f t="shared" si="66"/>
        <v>0</v>
      </c>
      <c r="AK918" s="229" t="s">
        <v>34</v>
      </c>
      <c r="AL918" s="230">
        <f ca="1">SUM(AL905:AL917)</f>
        <v>0</v>
      </c>
      <c r="AM918" s="230">
        <f ca="1">SUM(AM905:AM917)</f>
        <v>0</v>
      </c>
      <c r="AN918" s="230">
        <f ca="1">SUM(AN905:AN917)</f>
        <v>0</v>
      </c>
      <c r="AO918" s="230">
        <f ca="1">SUM(AO905:AO917)</f>
        <v>599.101</v>
      </c>
      <c r="AP918" s="204">
        <f ca="1">SUM(AP905:AP916)</f>
        <v>599.101</v>
      </c>
    </row>
    <row r="919" spans="2:42" ht="21" customHeight="1" x14ac:dyDescent="0.35">
      <c r="I919" s="100" t="s">
        <v>2540</v>
      </c>
      <c r="AC919" s="249"/>
      <c r="AD919" s="193" t="s">
        <v>65</v>
      </c>
      <c r="AE919" s="194">
        <f>SUM(SUMIFS($N:$N,$C:$C,"RM",$G:$G,$AC$920,$H:$H,$AD919,$AG:$AG,"&lt;=30")+SUMIFS($N:$N,$C:$C,"RM BAL",$G:$G,$AC$920,$H:$H,$AD919,$AG:$AG,"&lt;=30")+SUMIFS($N:$N,$C:$C,"MILL",$G:$G,$AC$920,$H:$H,$AD919,$AG:$AG,"&lt;=30")+SUMIFS($N:$N,$C:$C,"RM SLT RUST",$G:$G,$AC$920,$H:$H,$AD919,$AG:$AG,"&lt;=30")+SUMIFS($N:$N,$C:$C,"RM SLT DENT",$G:$G,$AC$920,$H:$H,$AD919,$AG:$AG,"&lt;=30")+SUMIFS($N:$N,$C:$C,"RM SLT",$G:$G,$AC$920,$H:$H,$AD919,$AG:$AG,"&lt;=30"))</f>
        <v>0</v>
      </c>
      <c r="AF919" s="194">
        <f>SUM(SUMIFS($N:$N,$C:$C,"RM",$G:$G,$AC$920,$H:$H,$AD919,$AG:$AG,"&lt;=60")+SUMIFS($N:$N,$C:$C,"RM BAL",$G:$G,$AC$920,$H:$H,$AD919,$AG:$AG,"&lt;=60")+SUMIFS($N:$N,$C:$C,"MILL",$G:$G,$AC$920,$H:$H,$AD919,$AG:$AG,"&lt;=60")+SUMIFS($N:$N,$C:$C,"RM SLT RUST",$G:$G,$AC$920,$H:$H,$AD919,$AG:$AG,"&lt;=60")+SUMIFS($N:$N,$C:$C,"RM SLT DENT",$G:$G,$AC$920,$H:$H,$AD919,$AG:$AG,"&lt;=60")+SUMIFS($N:$N,$C:$C,"RM SLT",$G:$G,$AC$920,$H:$H,$AD919,$AG:$AG,"&lt;=60"))-AE919</f>
        <v>0</v>
      </c>
      <c r="AG919" s="194">
        <f>SUM(SUMIFS($N:$N,$C:$C,"RM",$G:$G,$AC$920,$H:$H,$AD919,$AG:$AG,"&lt;=90")+SUMIFS($N:$N,$C:$C,"RM BAL",$G:$G,$AC$920,$H:$H,$AD919,$AG:$AG,"&lt;=90")+SUMIFS($N:$N,$C:$C,"MILL",$G:$G,$AC$920,$H:$H,$AD919,$AG:$AG,"&lt;=90")+SUMIFS($N:$N,$C:$C,"RM SLT RUST",$G:$G,$AC$920,$H:$H,$AD919,$AG:$AG,"&lt;=90")+SUMIFS($N:$N,$C:$C,"RM SLT DENT",$G:$G,$AC$920,$H:$H,$AD919,$AG:$AG,"&lt;=90")+SUMIFS($N:$N,$C:$C,"RM SLT",$G:$G,$AC$920,$H:$H,$AD919,$AG:$AG,"&lt;=90"))-AF919-AE919</f>
        <v>0</v>
      </c>
      <c r="AH919" s="194">
        <f>SUM(SUMIFS($N:$N,$C:$C,"RM",$G:$G,$AC$920,$H:$H,$AD919,$AG:$AG,"&gt;=91")+SUMIFS($N:$N,$C:$C,"RM BAL",$G:$G,$AC$920,$H:$H,$AD919,$AG:$AG,"&gt;=91")+SUMIFS($N:$N,$C:$C,"MILL",$G:$G,$AC$920,$H:$H,$AD919,$AG:$AG,"&gt;=91")+SUMIFS($N:$N,$C:$C,"RM SLT RUST",$G:$G,$AC$920,$H:$H,$AD919,$AG:$AG,"&gt;=91")+SUMIFS($N:$N,$C:$C,"RM SLT DENT",$G:$G,$AC$920,$H:$H,$AD919,$AG:$AG,"&gt;=91")+SUMIFS($N:$N,$C:$C,"RM SLT",$G:$G,$AC$920,$H:$H,$AD919,$AG:$AG,"&gt;=91"))</f>
        <v>0</v>
      </c>
      <c r="AI919" s="195">
        <f t="shared" si="66"/>
        <v>0</v>
      </c>
      <c r="AK919" s="250"/>
      <c r="AL919" s="251"/>
      <c r="AM919" s="252"/>
      <c r="AN919" s="252"/>
      <c r="AO919" s="252"/>
      <c r="AP919" s="252"/>
    </row>
    <row r="920" spans="2:42" ht="21" customHeight="1" x14ac:dyDescent="0.35">
      <c r="AC920" s="253">
        <v>410</v>
      </c>
      <c r="AD920" s="126" t="s">
        <v>139</v>
      </c>
      <c r="AE920" s="194">
        <f>SUM(SUMIFS($N:$N,$C:$C,"RM",$G:$G,$AC$920,$H:$H,$AD920,$AG:$AG,"&lt;=30")+SUMIFS($N:$N,$C:$C,"RM BAL",$G:$G,$AC$920,$H:$H,$AD920,$AG:$AG,"&lt;=30")+SUMIFS($N:$N,$C:$C,"MILL",$G:$G,$AC$920,$H:$H,$AD920,$AG:$AG,"&lt;=30")+SUMIFS($N:$N,$C:$C,"RM SLT RUST",$G:$G,$AC$920,$H:$H,$AD920,$AG:$AG,"&lt;=30")+SUMIFS($N:$N,$C:$C,"RM SLT DENT",$G:$G,$AC$920,$H:$H,$AD920,$AG:$AG,"&lt;=30")+SUMIFS($N:$N,$C:$C,"RM SLT",$G:$G,$AC$920,$H:$H,$AD920,$AG:$AG,"&lt;=30"))</f>
        <v>0</v>
      </c>
      <c r="AF920" s="194">
        <f>SUM(SUMIFS($N:$N,$C:$C,"RM",$G:$G,$AC$920,$H:$H,$AD920,$AG:$AG,"&lt;=60")+SUMIFS($N:$N,$C:$C,"RM BAL",$G:$G,$AC$920,$H:$H,$AD920,$AG:$AG,"&lt;=60")+SUMIFS($N:$N,$C:$C,"MILL",$G:$G,$AC$920,$H:$H,$AD920,$AG:$AG,"&lt;=60")+SUMIFS($N:$N,$C:$C,"RM SLT RUST",$G:$G,$AC$920,$H:$H,$AD920,$AG:$AG,"&lt;=60")+SUMIFS($N:$N,$C:$C,"RM SLT DENT",$G:$G,$AC$920,$H:$H,$AD920,$AG:$AG,"&lt;=60")+SUMIFS($N:$N,$C:$C,"RM SLT",$G:$G,$AC$920,$H:$H,$AD920,$AG:$AG,"&lt;=60"))-AE920</f>
        <v>0</v>
      </c>
      <c r="AG920" s="194">
        <f>SUM(SUMIFS($N:$N,$C:$C,"RM",$G:$G,$AC$920,$H:$H,$AD920,$AG:$AG,"&lt;=90")+SUMIFS($N:$N,$C:$C,"RM BAL",$G:$G,$AC$920,$H:$H,$AD920,$AG:$AG,"&lt;=90")+SUMIFS($N:$N,$C:$C,"MILL",$G:$G,$AC$920,$H:$H,$AD920,$AG:$AG,"&lt;=90")+SUMIFS($N:$N,$C:$C,"RM SLT RUST",$G:$G,$AC$920,$H:$H,$AD920,$AG:$AG,"&lt;=90")+SUMIFS($N:$N,$C:$C,"RM SLT DENT",$G:$G,$AC$920,$H:$H,$AD920,$AG:$AG,"&lt;=90")+SUMIFS($N:$N,$C:$C,"RM SLT",$G:$G,$AC$920,$H:$H,$AD920,$AG:$AG,"&lt;=90"))-AF920-AE920</f>
        <v>0</v>
      </c>
      <c r="AH920" s="194">
        <f>SUM(SUMIFS($N:$N,$C:$C,"RM",$G:$G,$AC$920,$H:$H,$AD920,$AG:$AG,"&gt;=91")+SUMIFS($N:$N,$C:$C,"RM BAL",$G:$G,$AC$920,$H:$H,$AD920,$AG:$AG,"&gt;=91")+SUMIFS($N:$N,$C:$C,"MILL",$G:$G,$AC$920,$H:$H,$AD920,$AG:$AG,"&gt;=91")+SUMIFS($N:$N,$C:$C,"RM SLT RUST",$G:$G,$AC$920,$H:$H,$AD920,$AG:$AG,"&gt;=91")+SUMIFS($N:$N,$C:$C,"RM SLT DENT",$G:$G,$AC$920,$H:$H,$AD920,$AG:$AG,"&gt;=91")+SUMIFS($N:$N,$C:$C,"RM SLT",$G:$G,$AC$920,$H:$H,$AD920,$AG:$AG,"&gt;=91"))</f>
        <v>0</v>
      </c>
      <c r="AI920" s="195">
        <f t="shared" si="66"/>
        <v>0</v>
      </c>
      <c r="AK920" s="250"/>
      <c r="AL920" s="251"/>
      <c r="AM920" s="252"/>
      <c r="AN920" s="252"/>
      <c r="AO920" s="252"/>
      <c r="AP920" s="252"/>
    </row>
    <row r="921" spans="2:42" ht="21" customHeight="1" x14ac:dyDescent="0.35">
      <c r="AC921" s="254"/>
      <c r="AD921" s="200" t="s">
        <v>46</v>
      </c>
      <c r="AE921" s="194">
        <f ca="1">SUM(SUMIFS($N:$N,$C:$C,"RM",$G:$G,$AC$920,$H:$H,"2B",$AG:$AG,"&lt;=30")+SUMIFS($N:$N,$C:$C,"RM BAL",$G:$G,$AC$920,$H:$H,"2B",$AG:$AG,"&lt;=30")+SUMIFS($N:$N,$C:$C,"MILL",$G:$G,$AC$920,$H:$H,"2B",$AG:$AG,"&lt;=30")+SUMIFS($N:$N,$C:$C,"RM SLT RUST",$G:$G,$AC$920,$H:$H,"2B",$AG:$AG,"&lt;=30")+SUMIFS($N:$N,$C:$C,"RM SLT DENT",$G:$G,$AC$920,$H:$H,"2B",$AG:$AG,"&lt;=30")+SUMIFS($N:$N,$C:$C,"RM SLT",$G:$G,$AC$920,$H:$H,"2B",$AG:$AG,"&lt;=30")+SUMIFS($N:$N,$C:$C,"RM SLT",$G:$G,$AC$920,$H:$H,"BA",$AG:$AG,"&lt;=30")+SUMIFS($N:$N,$C:$C,"RM SLT",$G:$G,$AC$920,$H:$H,"2D",$AG:$AG,"&lt;=30"))</f>
        <v>0</v>
      </c>
      <c r="AF921" s="194">
        <f ca="1">SUM(SUMIFS($N:$N,$C:$C,"RM",$G:$G,$AC$920,$H:$H,$AD921,$AG:$AG,"&lt;=60")+SUMIFS($N:$N,$C:$C,"RM BAL",$G:$G,$AC$920,$H:$H,$AD921,$AG:$AG,"&lt;=60")+SUMIFS($N:$N,$C:$C,"MILL",$G:$G,$AC$920,$H:$H,$AD921,$AG:$AG,"&lt;=60")+SUMIFS($N:$N,$C:$C,"RM SLT RUST",$G:$G,$AC$920,$H:$H,$AD921,$AG:$AG,"&lt;=60")+SUMIFS($N:$N,$C:$C,"RM SLT DENT",$G:$G,$AC$920,$H:$H,$AD921,$AG:$AG,"&lt;=60")+SUMIFS($N:$N,$C:$C,"RM SLT",$G:$G,$AC$920,$H:$H,$AD921,$AG:$AG,"&lt;=60"))-AE921</f>
        <v>0</v>
      </c>
      <c r="AG921" s="194">
        <f ca="1">SUM(SUMIFS($N:$N,$C:$C,"RM",$G:$G,$AC$920,$H:$H,$AD921,$AG:$AG,"&lt;=90")+SUMIFS($N:$N,$C:$C,"RM BAL",$G:$G,$AC$920,$H:$H,$AD921,$AG:$AG,"&lt;=90")+SUMIFS($N:$N,$C:$C,"MILL",$G:$G,$AC$920,$H:$H,$AD921,$AG:$AG,"&lt;=90")+SUMIFS($N:$N,$C:$C,"RM SLT RUST",$G:$G,$AC$920,$H:$H,$AD921,$AG:$AG,"&lt;=90")+SUMIFS($N:$N,$C:$C,"RM SLT DENT",$G:$G,$AC$920,$H:$H,$AD921,$AG:$AG,"&lt;=90")+SUMIFS($N:$N,$C:$C,"RM SLT",$G:$G,$AC$920,$H:$H,$AD921,$AG:$AG,"&lt;=90"))-AF921-AE921</f>
        <v>0</v>
      </c>
      <c r="AH921" s="194">
        <f>SUM(SUMIFS($N:$N,$C:$C,"RM",$G:$G,$AC$920,$H:$H,$AD921,$AG:$AG,"&gt;=91")+SUMIFS($N:$N,$C:$C,"RM BAL",$G:$G,$AC$920,$H:$H,$AD921,$AG:$AG,"&gt;=91")+SUMIFS($N:$N,$C:$C,"MILL",$G:$G,$AC$920,$H:$H,$AD921,$AG:$AG,"&gt;=91")+SUMIFS($N:$N,$C:$C,"RM SLT RUST",$G:$G,$AC$920,$H:$H,$AD921,$AG:$AG,"&gt;=91")+SUMIFS($N:$N,$C:$C,"RM SLT DENT",$G:$G,$AC$920,$H:$H,$AD921,$AG:$AG,"&gt;=91")+SUMIFS($N:$N,$C:$C,"RM SLT",$G:$G,$AC$920,$H:$H,$AD921,$AG:$AG,"&gt;=91"))</f>
        <v>0</v>
      </c>
      <c r="AI921" s="195">
        <f t="shared" ca="1" si="66"/>
        <v>0</v>
      </c>
      <c r="AK921" s="250"/>
      <c r="AL921" s="251"/>
      <c r="AM921" s="252"/>
      <c r="AN921" s="252"/>
      <c r="AO921" s="252"/>
      <c r="AP921" s="252"/>
    </row>
    <row r="922" spans="2:42" ht="21" customHeight="1" x14ac:dyDescent="0.35">
      <c r="AC922" s="255"/>
      <c r="AD922" s="193" t="s">
        <v>65</v>
      </c>
      <c r="AE922" s="194">
        <f>SUM(SUMIFS($N:$N,$C:$C,"RM",$G:$G,$AC$923,$H:$H,$AD922,$AG:$AG,"&lt;=30")+SUMIFS($N:$N,$C:$C,"RM BAL",$G:$G,$AC$923,$H:$H,$AD922,$AG:$AG,"&lt;=30")+SUMIFS($N:$N,$C:$C,"MILL",$G:$G,$AC$923,$H:$H,$AD922,$AG:$AG,"&lt;=30")+SUMIFS($N:$N,$C:$C,"RM SLT RUST",$G:$G,$AC$923,$H:$H,$AD922,$AG:$AG,"&lt;=30")+SUMIFS($N:$N,$C:$C,"RM SLT DENT",$G:$G,$AC$923,$H:$H,$AD922,$AG:$AG,"&lt;=30")+SUMIFS($N:$N,$C:$C,"RM SLT",$G:$G,$AC$923,$H:$H,$AD922,$AG:$AG,"&lt;=30"))</f>
        <v>0</v>
      </c>
      <c r="AF922" s="194">
        <f>SUM(SUMIFS($N:$N,$C:$C,"RM",$G:$G,$AC$923,$H:$H,$AD922,$AG:$AG,"&lt;=60")+SUMIFS($N:$N,$C:$C,"RM BAL",$G:$G,$AC$923,$H:$H,$AD922,$AG:$AG,"&lt;=60")+SUMIFS($N:$N,$C:$C,"MILL",$G:$G,$AC$923,$H:$H,$AD922,$AG:$AG,"&lt;=60")+SUMIFS($N:$N,$C:$C,"RM SLT RUST",$G:$G,$AC$923,$H:$H,$AD922,$AG:$AG,"&lt;=60")+SUMIFS($N:$N,$C:$C,"RM SLT DENT",$G:$G,$AC$923,$H:$H,$AD922,$AG:$AG,"&lt;=60")+SUMIFS($N:$N,$C:$C,"RM SLT",$G:$G,$AC$923,$H:$H,$AD922,$AG:$AG,"&lt;=60"))-AE922</f>
        <v>0</v>
      </c>
      <c r="AG922" s="194">
        <f>SUM(SUMIFS($N:$N,$C:$C,"RM",$G:$G,$AC$923,$H:$H,$AD922,$AG:$AG,"&lt;=90")+SUMIFS($N:$N,$C:$C,"RM BAL",$G:$G,$AC$923,$H:$H,$AD922,$AG:$AG,"&lt;=90")+SUMIFS($N:$N,$C:$C,"MILL",$G:$G,$AC$923,$H:$H,$AD922,$AG:$AG,"&lt;=90")+SUMIFS($N:$N,$C:$C,"RM SLT RUST",$G:$G,$AC$923,$H:$H,$AD922,$AG:$AG,"&lt;=90")+SUMIFS($N:$N,$C:$C,"RM SLT DENT",$G:$G,$AC$923,$H:$H,$AD922,$AG:$AG,"&lt;=90")+SUMIFS($N:$N,$C:$C,"RM SLT",$G:$G,$AC$923,$H:$H,$AD922,$AG:$AG,"&lt;=90"))-AF922-AE922</f>
        <v>0</v>
      </c>
      <c r="AH922" s="194">
        <f>SUM(SUMIFS($N:$N,$C:$C,"RM",$G:$G,$AC$923,$H:$H,$AD922,$AG:$AG,"&gt;=91")+SUMIFS($N:$N,$C:$C,"RM BAL",$G:$G,$AC$923,$H:$H,$AD922,$AG:$AG,"&gt;=91")+SUMIFS($N:$N,$C:$C,"MILL",$G:$G,$AC$923,$H:$H,$AD922,$AG:$AG,"&gt;=91")+SUMIFS($N:$N,$C:$C,"RM SLT RUST",$G:$G,$AC$923,$H:$H,$AD922,$AG:$AG,"&gt;=91")+SUMIFS($N:$N,$C:$C,"RM SLT DENT",$G:$G,$AC$923,$H:$H,$AD922,$AG:$AG,"&gt;=91")+SUMIFS($N:$N,$C:$C,"RM SLT",$G:$G,$AC$923,$H:$H,$AD922,$AG:$AG,"&gt;=91"))</f>
        <v>0</v>
      </c>
      <c r="AI922" s="195">
        <f t="shared" si="66"/>
        <v>0</v>
      </c>
      <c r="AK922" s="250"/>
      <c r="AL922" s="251"/>
      <c r="AM922" s="252"/>
      <c r="AN922" s="252"/>
      <c r="AO922" s="252"/>
      <c r="AP922" s="252"/>
    </row>
    <row r="923" spans="2:42" ht="21" customHeight="1" x14ac:dyDescent="0.35">
      <c r="AC923" s="255">
        <v>301</v>
      </c>
      <c r="AD923" s="126" t="s">
        <v>139</v>
      </c>
      <c r="AE923" s="194">
        <f ca="1">SUM(SUMIFS($N:$N,$C:$C,"RM",$G:$G,$AC$923,$H:$H,$AD923,$AG:$AG,"&lt;=30")+SUMIFS($N:$N,$C:$C,"RM BAL",$G:$G,$AC$923,$H:$H,$AD923,$AG:$AG,"&lt;=30")+SUMIFS($N:$N,$C:$C,"MILL",$G:$G,$AC$923,$H:$H,$AD923,$AG:$AG,"&lt;=30")+SUMIFS($N:$N,$C:$C,"RM SLT RUST",$G:$G,$AC$923,$H:$H,$AD923,$AG:$AG,"&lt;=30")+SUMIFS($N:$N,$C:$C,"RM SLT DENT",$G:$G,$AC$923,$H:$H,$AD923,$AG:$AG,"&lt;=30")+SUMIFS($N:$N,$C:$C,"RM SLT",$G:$G,$AC$923,$H:$H,$AD923,$AG:$AG,"&lt;=30"))</f>
        <v>0</v>
      </c>
      <c r="AF923" s="194">
        <f ca="1">SUM(SUMIFS($N:$N,$C:$C,"RM",$G:$G,$AC$923,$H:$H,$AD923,$AG:$AG,"&lt;=60")+SUMIFS($N:$N,$C:$C,"RM BAL",$G:$G,$AC$923,$H:$H,$AD923,$AG:$AG,"&lt;=60")+SUMIFS($N:$N,$C:$C,"MILL",$G:$G,$AC$923,$H:$H,$AD923,$AG:$AG,"&lt;=60")+SUMIFS($N:$N,$C:$C,"RM SLT RUST",$G:$G,$AC$923,$H:$H,$AD923,$AG:$AG,"&lt;=60")+SUMIFS($N:$N,$C:$C,"RM SLT DENT",$G:$G,$AC$923,$H:$H,$AD923,$AG:$AG,"&lt;=60")+SUMIFS($N:$N,$C:$C,"RM SLT",$G:$G,$AC$923,$H:$H,$AD923,$AG:$AG,"&lt;=60"))-AE923</f>
        <v>0</v>
      </c>
      <c r="AG923" s="194">
        <f ca="1">SUM(SUMIFS($N:$N,$C:$C,"RM",$G:$G,$AC$923,$H:$H,$AD923,$AG:$AG,"&lt;=90")+SUMIFS($N:$N,$C:$C,"RM BAL",$G:$G,$AC$923,$H:$H,$AD923,$AG:$AG,"&lt;=90")+SUMIFS($N:$N,$C:$C,"MILL",$G:$G,$AC$923,$H:$H,$AD923,$AG:$AG,"&lt;=90")+SUMIFS($N:$N,$C:$C,"RM SLT RUST",$G:$G,$AC$923,$H:$H,$AD923,$AG:$AG,"&lt;=90")+SUMIFS($N:$N,$C:$C,"RM SLT DENT",$G:$G,$AC$923,$H:$H,$AD923,$AG:$AG,"&lt;=90")+SUMIFS($N:$N,$C:$C,"RM SLT",$G:$G,$AC$923,$H:$H,$AD923,$AG:$AG,"&lt;=90"))-AF923-AE923</f>
        <v>0</v>
      </c>
      <c r="AH923" s="194">
        <f ca="1">SUM(SUMIFS($N:$N,$C:$C,"RM",$G:$G,$AC$923,$H:$H,$AD923,$AG:$AG,"&gt;=91")+SUMIFS($N:$N,$C:$C,"RM BAL",$G:$G,$AC$923,$H:$H,$AD923,$AG:$AG,"&gt;=91")+SUMIFS($N:$N,$C:$C,"MILL",$G:$G,$AC$923,$H:$H,$AD923,$AG:$AG,"&gt;=91")+SUMIFS($N:$N,$C:$C,"RM SLT RUST",$G:$G,$AC$923,$H:$H,$AD923,$AG:$AG,"&gt;=91")+SUMIFS($N:$N,$C:$C,"RM SLT DENT",$G:$G,$AC$923,$H:$H,$AD923,$AG:$AG,"&gt;=91")+SUMIFS($N:$N,$C:$C,"RM SLT",$G:$G,$AC$923,$H:$H,$AD923,$AG:$AG,"&gt;=91"))</f>
        <v>54.373000000000005</v>
      </c>
      <c r="AI923" s="195">
        <f t="shared" ca="1" si="66"/>
        <v>54.373000000000005</v>
      </c>
    </row>
    <row r="924" spans="2:42" ht="21" customHeight="1" x14ac:dyDescent="0.35">
      <c r="AC924" s="256"/>
      <c r="AD924" s="200" t="s">
        <v>46</v>
      </c>
      <c r="AE924" s="194">
        <f>SUM(SUMIFS($N:$N,$C:$C,"RM",$G:$G,$AC$923,$H:$H,$AD924,$AG:$AG,"&lt;=30")+SUMIFS($N:$N,$C:$C,"RM BAL",$G:$G,$AC$923,$H:$H,$AD924,$AG:$AG,"&lt;=30")+SUMIFS($N:$N,$C:$C,"MILL",$G:$G,$AC$923,$H:$H,$AD924,$AG:$AG,"&lt;=30")+SUMIFS($N:$N,$C:$C,"RM SLT RUST",$G:$G,$AC$923,$H:$H,$AD924,$AG:$AG,"&lt;=30")+SUMIFS($N:$N,$C:$C,"RM SLT DENT",$G:$G,$AC$923,$H:$H,$AD924,$AG:$AG,"&lt;=30")+SUMIFS($N:$N,$C:$C,"RM SLT",$G:$G,$AC$923,$H:$H,$AD924,$AG:$AG,"&lt;=30"))</f>
        <v>0</v>
      </c>
      <c r="AF924" s="194">
        <f>SUM(SUMIFS($N:$N,$C:$C,"RM",$G:$G,$AC$923,$H:$H,$AD924,$AG:$AG,"&lt;=60")+SUMIFS($N:$N,$C:$C,"RM BAL",$G:$G,$AC$923,$H:$H,$AD924,$AG:$AG,"&lt;=60")+SUMIFS($N:$N,$C:$C,"MILL",$G:$G,$AC$923,$H:$H,$AD924,$AG:$AG,"&lt;=60")+SUMIFS($N:$N,$C:$C,"RM SLT RUST",$G:$G,$AC$923,$H:$H,$AD924,$AG:$AG,"&lt;=60")+SUMIFS($N:$N,$C:$C,"RM SLT DENT",$G:$G,$AC$923,$H:$H,$AD924,$AG:$AG,"&lt;=60")+SUMIFS($N:$N,$C:$C,"RM SLT",$G:$G,$AC$923,$H:$H,$AD924,$AG:$AG,"&lt;=60"))-AE924</f>
        <v>0</v>
      </c>
      <c r="AG924" s="194">
        <f>SUM(SUMIFS($N:$N,$C:$C,"RM",$G:$G,$AC$923,$H:$H,$AD924,$AG:$AG,"&lt;=90")+SUMIFS($N:$N,$C:$C,"RM BAL",$G:$G,$AC$923,$H:$H,$AD924,$AG:$AG,"&lt;=90")+SUMIFS($N:$N,$C:$C,"MILL",$G:$G,$AC$923,$H:$H,$AD924,$AG:$AG,"&lt;=90")+SUMIFS($N:$N,$C:$C,"RM SLT RUST",$G:$G,$AC$923,$H:$H,$AD924,$AG:$AG,"&lt;=90")+SUMIFS($N:$N,$C:$C,"RM SLT DENT",$G:$G,$AC$923,$H:$H,$AD924,$AG:$AG,"&lt;=90")+SUMIFS($N:$N,$C:$C,"RM SLT",$G:$G,$AC$923,$H:$H,$AD924,$AG:$AG,"&lt;=90"))-AF924-AE924</f>
        <v>0</v>
      </c>
      <c r="AH924" s="194">
        <f>SUM(SUMIFS($N:$N,$C:$C,"RM",$G:$G,$AC$923,$H:$H,$AD924,$AG:$AG,"&gt;=91")+SUMIFS($N:$N,$C:$C,"RM BAL",$G:$G,$AC$923,$H:$H,$AD924,$AG:$AG,"&gt;=91")+SUMIFS($N:$N,$C:$C,"MILL",$G:$G,$AC$923,$H:$H,$AD924,$AG:$AG,"&gt;=91")+SUMIFS($N:$N,$C:$C,"RM SLT RUST",$G:$G,$AC$923,$H:$H,$AD924,$AG:$AG,"&gt;=91")+SUMIFS($N:$N,$C:$C,"RM SLT DENT",$G:$G,$AC$923,$H:$H,$AD924,$AG:$AG,"&gt;=91")+SUMIFS($N:$N,$C:$C,"RM SLT",$G:$G,$AC$923,$H:$H,$AD924,$AG:$AG,"&gt;=91"))</f>
        <v>0</v>
      </c>
      <c r="AI924" s="195">
        <f t="shared" si="66"/>
        <v>0</v>
      </c>
    </row>
    <row r="925" spans="2:42" ht="21" customHeight="1" x14ac:dyDescent="0.35">
      <c r="AC925" s="812" t="s">
        <v>34</v>
      </c>
      <c r="AD925" s="813"/>
      <c r="AE925" s="257">
        <f ca="1">SUM(AE886:AE924)</f>
        <v>0</v>
      </c>
      <c r="AF925" s="257">
        <f ca="1">SUM(AF886:AF924)</f>
        <v>0</v>
      </c>
      <c r="AG925" s="257">
        <f ca="1">SUM(AG886:AG924)</f>
        <v>0</v>
      </c>
      <c r="AH925" s="257">
        <f ca="1">SUM(AH886:AH924)</f>
        <v>6121.4019999999973</v>
      </c>
      <c r="AI925" s="195">
        <f t="shared" ca="1" si="66"/>
        <v>6121.4019999999973</v>
      </c>
    </row>
  </sheetData>
  <autoFilter ref="A4:BT759" xr:uid="{00000000-0009-0000-0000-000000000000}"/>
  <dataConsolidate/>
  <mergeCells count="19">
    <mergeCell ref="AK903:AK904"/>
    <mergeCell ref="AL903:AO903"/>
    <mergeCell ref="AP903:AP904"/>
    <mergeCell ref="AC925:AD925"/>
    <mergeCell ref="AE884:AI884"/>
    <mergeCell ref="AK884:AK885"/>
    <mergeCell ref="AL884:AO884"/>
    <mergeCell ref="AP884:AP885"/>
    <mergeCell ref="AC884:AC885"/>
    <mergeCell ref="B900:B901"/>
    <mergeCell ref="C900:C901"/>
    <mergeCell ref="D900:I900"/>
    <mergeCell ref="J900:J901"/>
    <mergeCell ref="K900:K901"/>
    <mergeCell ref="B883:B884"/>
    <mergeCell ref="C883:C884"/>
    <mergeCell ref="D883:I883"/>
    <mergeCell ref="J883:J884"/>
    <mergeCell ref="K883:K884"/>
  </mergeCells>
  <pageMargins left="0.5" right="0.5" top="0.5" bottom="0" header="0.3" footer="0.3"/>
  <pageSetup scale="1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0F6B-A142-4317-A818-E7C7B9923D16}">
  <dimension ref="A1:BG430"/>
  <sheetViews>
    <sheetView topLeftCell="B1" zoomScale="70" zoomScaleNormal="70" workbookViewId="0">
      <pane ySplit="3" topLeftCell="A348" activePane="bottomLeft" state="frozen"/>
      <selection activeCell="J367" sqref="J367"/>
      <selection pane="bottomLeft" activeCell="J367" sqref="J367"/>
    </sheetView>
  </sheetViews>
  <sheetFormatPr defaultColWidth="9.1796875" defaultRowHeight="14" x14ac:dyDescent="0.35"/>
  <cols>
    <col min="1" max="1" width="5.26953125" style="260" customWidth="1"/>
    <col min="2" max="2" width="8.1796875" style="260" customWidth="1"/>
    <col min="3" max="3" width="26.7265625" style="260" customWidth="1"/>
    <col min="4" max="4" width="18.7265625" style="260" customWidth="1"/>
    <col min="5" max="5" width="21.7265625" style="260" customWidth="1"/>
    <col min="6" max="6" width="18.81640625" style="260" customWidth="1"/>
    <col min="7" max="7" width="9.7265625" style="260" customWidth="1"/>
    <col min="8" max="8" width="9.1796875" style="260"/>
    <col min="9" max="9" width="12.453125" style="274" customWidth="1"/>
    <col min="10" max="10" width="9.7265625" style="275" customWidth="1"/>
    <col min="11" max="11" width="12.81640625" style="276" customWidth="1"/>
    <col min="12" max="12" width="13.81640625" style="276" customWidth="1"/>
    <col min="13" max="13" width="12.453125" style="274" customWidth="1"/>
    <col min="14" max="14" width="13.453125" style="274" customWidth="1"/>
    <col min="15" max="16" width="15.1796875" style="278" customWidth="1"/>
    <col min="17" max="17" width="34.453125" style="260" customWidth="1"/>
    <col min="18" max="18" width="16.26953125" style="260" customWidth="1"/>
    <col min="19" max="20" width="11.54296875" style="260" customWidth="1"/>
    <col min="21" max="24" width="12.7265625" style="260" customWidth="1"/>
    <col min="25" max="25" width="19.26953125" style="260" customWidth="1"/>
    <col min="26" max="26" width="9.1796875" style="260" customWidth="1"/>
    <col min="27" max="27" width="18.54296875" style="260" customWidth="1"/>
    <col min="28" max="28" width="25.81640625" style="260" customWidth="1"/>
    <col min="29" max="29" width="18" style="260" customWidth="1"/>
    <col min="30" max="30" width="13" style="260" customWidth="1"/>
    <col min="31" max="31" width="11.7265625" style="260" customWidth="1"/>
    <col min="32" max="32" width="13.1796875" style="260" customWidth="1"/>
    <col min="33" max="34" width="11.7265625" style="260" customWidth="1"/>
    <col min="35" max="35" width="14" style="260" customWidth="1"/>
    <col min="36" max="36" width="15" style="260" customWidth="1"/>
    <col min="37" max="39" width="14.54296875" style="260" customWidth="1"/>
    <col min="40" max="40" width="11.54296875" style="260" customWidth="1"/>
    <col min="41" max="55" width="9.1796875" style="260" customWidth="1"/>
    <col min="56" max="16384" width="9.1796875" style="260"/>
  </cols>
  <sheetData>
    <row r="1" spans="1:44" ht="20" x14ac:dyDescent="0.35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9"/>
      <c r="P1" s="259"/>
      <c r="S1" s="258"/>
      <c r="T1" s="258"/>
    </row>
    <row r="3" spans="1:44" ht="42" x14ac:dyDescent="0.35">
      <c r="A3" s="261" t="s">
        <v>2541</v>
      </c>
      <c r="B3" s="109" t="s">
        <v>69</v>
      </c>
      <c r="C3" s="110" t="s">
        <v>4</v>
      </c>
      <c r="D3" s="111" t="s">
        <v>2542</v>
      </c>
      <c r="E3" s="261" t="s">
        <v>71</v>
      </c>
      <c r="F3" s="261" t="s">
        <v>72</v>
      </c>
      <c r="G3" s="261" t="s">
        <v>73</v>
      </c>
      <c r="H3" s="261" t="s">
        <v>74</v>
      </c>
      <c r="I3" s="262" t="s">
        <v>2543</v>
      </c>
      <c r="J3" s="262" t="s">
        <v>76</v>
      </c>
      <c r="K3" s="263" t="s">
        <v>2544</v>
      </c>
      <c r="L3" s="263" t="s">
        <v>2545</v>
      </c>
      <c r="M3" s="264" t="s">
        <v>79</v>
      </c>
      <c r="N3" s="265" t="s">
        <v>80</v>
      </c>
      <c r="O3" s="262" t="s">
        <v>2546</v>
      </c>
      <c r="P3" s="262" t="s">
        <v>2547</v>
      </c>
      <c r="Q3" s="262" t="s">
        <v>83</v>
      </c>
      <c r="R3" s="262"/>
      <c r="S3" s="262"/>
      <c r="T3" s="266" t="s">
        <v>2548</v>
      </c>
      <c r="U3" s="267" t="s">
        <v>2549</v>
      </c>
      <c r="V3" s="268" t="s">
        <v>2550</v>
      </c>
      <c r="W3" s="269" t="s">
        <v>2551</v>
      </c>
      <c r="X3" s="270" t="s">
        <v>2552</v>
      </c>
      <c r="Y3" s="262" t="s">
        <v>86</v>
      </c>
      <c r="Z3" s="262" t="s">
        <v>87</v>
      </c>
      <c r="AA3" s="261" t="s">
        <v>88</v>
      </c>
      <c r="AB3" s="261" t="s">
        <v>89</v>
      </c>
      <c r="AC3" s="271" t="s">
        <v>90</v>
      </c>
      <c r="AD3" s="271" t="s">
        <v>91</v>
      </c>
      <c r="AE3" s="271" t="s">
        <v>2553</v>
      </c>
      <c r="AF3" s="271" t="s">
        <v>2554</v>
      </c>
      <c r="AG3" s="271" t="s">
        <v>2555</v>
      </c>
      <c r="AH3" s="271" t="s">
        <v>93</v>
      </c>
      <c r="AI3" s="271" t="s">
        <v>95</v>
      </c>
      <c r="AJ3" s="261" t="s">
        <v>96</v>
      </c>
      <c r="AK3" s="272" t="s">
        <v>2556</v>
      </c>
      <c r="AL3" s="272" t="s">
        <v>2557</v>
      </c>
      <c r="AM3" s="272" t="s">
        <v>2558</v>
      </c>
      <c r="AN3" s="272" t="s">
        <v>2559</v>
      </c>
    </row>
    <row r="4" spans="1:44" s="99" customFormat="1" ht="21" customHeight="1" x14ac:dyDescent="0.35">
      <c r="A4" s="99">
        <v>421</v>
      </c>
      <c r="B4" s="126" t="str">
        <f t="shared" ref="B4:B67" si="0">IF(C4="HOLD RM","HOLD RM",IF(C4="BAL","WIP",IF(C4="HOLD SLT","HOLD SLT",IF(C4="MILL","RM",IF(C4="RE SLT","WIP",IF(C4="RM","RM",IF(C4="RM BAL","RM",IF(C4="RM SLT","RM",IF(C4="RR","WIP",IF(C4="SKP","WIP",IF(C4="SLT","WIP",IF(C4="CTL","WIP",IF(C4="RM SLT RUST","RM SLT RUST",0)))))))))))))&amp;"-"&amp;G4&amp;"/"&amp;IF(H4="2B","2B",IF(H4="NO.1","1D",IF(H4="FH","FH",0)))&amp;"-"&amp;IF(J4="",(TEXT(I4,"0.00")),TEXT(J4,"0.00"))&amp;"X"&amp;M4</f>
        <v>0-304/FH-001X770</v>
      </c>
      <c r="C4" s="126" t="s">
        <v>2560</v>
      </c>
      <c r="D4" s="126" t="s">
        <v>13</v>
      </c>
      <c r="E4" s="143" t="s">
        <v>2561</v>
      </c>
      <c r="F4" s="143" t="s">
        <v>2562</v>
      </c>
      <c r="G4" s="126">
        <v>304</v>
      </c>
      <c r="H4" s="126" t="s">
        <v>65</v>
      </c>
      <c r="I4" s="127">
        <v>3.19</v>
      </c>
      <c r="J4" s="127">
        <v>1.2</v>
      </c>
      <c r="K4" s="127"/>
      <c r="L4" s="127"/>
      <c r="M4" s="144">
        <v>770</v>
      </c>
      <c r="N4" s="129">
        <v>10.435</v>
      </c>
      <c r="O4" s="129">
        <v>10.43</v>
      </c>
      <c r="P4" s="129"/>
      <c r="Q4" s="130"/>
      <c r="R4" s="131"/>
      <c r="S4" s="131"/>
      <c r="T4" s="132">
        <v>44579</v>
      </c>
      <c r="U4" s="132"/>
      <c r="V4" s="132"/>
      <c r="W4" s="132"/>
      <c r="X4" s="132"/>
      <c r="Y4" s="133"/>
      <c r="Z4" s="126" t="s">
        <v>64</v>
      </c>
      <c r="AA4" s="134" t="s">
        <v>154</v>
      </c>
      <c r="AB4" s="134" t="s">
        <v>1246</v>
      </c>
      <c r="AC4" s="134"/>
      <c r="AD4" s="134">
        <v>44496</v>
      </c>
      <c r="AE4" s="134"/>
      <c r="AF4" s="134">
        <f t="shared" ref="AF4:AF67" ca="1" si="1">TODAY()</f>
        <v>44963</v>
      </c>
      <c r="AG4" s="126">
        <f t="shared" ref="AG4:AG67" ca="1" si="2">IF(AD4&lt;&gt;0,AF4-AD4,0)</f>
        <v>467</v>
      </c>
      <c r="AH4" s="126" t="str">
        <f t="shared" ref="AH4:AH67" si="3">IF(ISNUMBER(V4)=TRUE,AF4-V4,IF(V4="","",(AF4)-(MID(RIGHT(V4,10),4,2)&amp;"/"&amp;LEFT((RIGHT(V4,10)),2)&amp;"/"&amp;RIGHT(V4,4))))</f>
        <v/>
      </c>
      <c r="AI4" s="134"/>
      <c r="AJ4" s="143" t="s">
        <v>2563</v>
      </c>
      <c r="AK4" s="129">
        <v>10.435</v>
      </c>
      <c r="AL4" s="129">
        <v>10.445</v>
      </c>
      <c r="AM4" s="129">
        <v>10.469999999999999</v>
      </c>
      <c r="AN4" s="129">
        <v>10.475</v>
      </c>
      <c r="AO4" s="126" t="str">
        <f t="shared" ref="AO4:AO67" si="4">IF(ISNUMBER(U4)=TRUE,AF4-U4,IF(U4="","",(AF4)-(MID(RIGHT(U4,10),4,2)&amp;"/"&amp;LEFT((RIGHT(U4,10)),2)&amp;"/"&amp;RIGHT(U4,4))))</f>
        <v/>
      </c>
      <c r="AR4" s="99" t="s">
        <v>136</v>
      </c>
    </row>
    <row r="5" spans="1:44" s="99" customFormat="1" ht="21" customHeight="1" x14ac:dyDescent="0.35">
      <c r="A5" s="99">
        <v>422</v>
      </c>
      <c r="B5" s="126" t="str">
        <f t="shared" si="0"/>
        <v>0-304L/1D-003X768</v>
      </c>
      <c r="C5" s="126" t="s">
        <v>2564</v>
      </c>
      <c r="D5" s="126" t="s">
        <v>11</v>
      </c>
      <c r="E5" s="143" t="s">
        <v>2565</v>
      </c>
      <c r="F5" s="143" t="s">
        <v>2566</v>
      </c>
      <c r="G5" s="126" t="s">
        <v>230</v>
      </c>
      <c r="H5" s="126" t="s">
        <v>139</v>
      </c>
      <c r="I5" s="127">
        <v>3</v>
      </c>
      <c r="J5" s="127"/>
      <c r="K5" s="127"/>
      <c r="L5" s="127"/>
      <c r="M5" s="144">
        <v>768</v>
      </c>
      <c r="N5" s="129">
        <v>9.9550000000000001</v>
      </c>
      <c r="O5" s="129">
        <v>9.9550000000000001</v>
      </c>
      <c r="P5" s="129"/>
      <c r="Q5" s="130"/>
      <c r="R5" s="131"/>
      <c r="S5" s="131"/>
      <c r="T5" s="132">
        <v>44599</v>
      </c>
      <c r="U5" s="132"/>
      <c r="V5" s="132"/>
      <c r="W5" s="132"/>
      <c r="X5" s="132"/>
      <c r="Y5" s="133"/>
      <c r="Z5" s="126" t="s">
        <v>64</v>
      </c>
      <c r="AA5" s="134" t="s">
        <v>154</v>
      </c>
      <c r="AB5" s="134" t="s">
        <v>1330</v>
      </c>
      <c r="AC5" s="134"/>
      <c r="AD5" s="134">
        <v>44516</v>
      </c>
      <c r="AE5" s="134"/>
      <c r="AF5" s="134">
        <f t="shared" ca="1" si="1"/>
        <v>44963</v>
      </c>
      <c r="AG5" s="126">
        <f t="shared" ca="1" si="2"/>
        <v>447</v>
      </c>
      <c r="AH5" s="126" t="str">
        <f t="shared" si="3"/>
        <v/>
      </c>
      <c r="AI5" s="134"/>
      <c r="AJ5" s="143" t="s">
        <v>1341</v>
      </c>
      <c r="AK5" s="129">
        <v>9.9550000000000001</v>
      </c>
      <c r="AL5" s="129">
        <v>9.9649999999999999</v>
      </c>
      <c r="AM5" s="129">
        <v>9.9899999999999984</v>
      </c>
      <c r="AN5" s="129">
        <v>9.9949999999999992</v>
      </c>
      <c r="AO5" s="126" t="str">
        <f t="shared" si="4"/>
        <v/>
      </c>
      <c r="AR5" s="99" t="s">
        <v>136</v>
      </c>
    </row>
    <row r="6" spans="1:44" s="99" customFormat="1" ht="21" customHeight="1" x14ac:dyDescent="0.35">
      <c r="A6" s="99">
        <v>422</v>
      </c>
      <c r="B6" s="126" t="str">
        <f t="shared" si="0"/>
        <v>0-304L/FH-001X769</v>
      </c>
      <c r="C6" s="126" t="s">
        <v>2567</v>
      </c>
      <c r="D6" s="126" t="s">
        <v>13</v>
      </c>
      <c r="E6" s="143" t="s">
        <v>2568</v>
      </c>
      <c r="F6" s="143" t="s">
        <v>2569</v>
      </c>
      <c r="G6" s="126" t="s">
        <v>230</v>
      </c>
      <c r="H6" s="126" t="s">
        <v>65</v>
      </c>
      <c r="I6" s="127">
        <v>2.91</v>
      </c>
      <c r="J6" s="127">
        <v>0.95</v>
      </c>
      <c r="K6" s="127"/>
      <c r="L6" s="127"/>
      <c r="M6" s="144">
        <v>769</v>
      </c>
      <c r="N6" s="129">
        <v>7.84</v>
      </c>
      <c r="O6" s="129">
        <v>7.835</v>
      </c>
      <c r="P6" s="129"/>
      <c r="Q6" s="130"/>
      <c r="R6" s="131"/>
      <c r="S6" s="131"/>
      <c r="T6" s="132">
        <v>44577</v>
      </c>
      <c r="U6" s="132"/>
      <c r="V6" s="132"/>
      <c r="W6" s="132"/>
      <c r="X6" s="132"/>
      <c r="Y6" s="133"/>
      <c r="Z6" s="126" t="s">
        <v>64</v>
      </c>
      <c r="AA6" s="134" t="s">
        <v>154</v>
      </c>
      <c r="AB6" s="134" t="s">
        <v>1296</v>
      </c>
      <c r="AC6" s="134"/>
      <c r="AD6" s="134">
        <v>44516</v>
      </c>
      <c r="AE6" s="134"/>
      <c r="AF6" s="134">
        <f t="shared" ca="1" si="1"/>
        <v>44963</v>
      </c>
      <c r="AG6" s="126">
        <f t="shared" ca="1" si="2"/>
        <v>447</v>
      </c>
      <c r="AH6" s="126" t="str">
        <f t="shared" si="3"/>
        <v/>
      </c>
      <c r="AI6" s="134"/>
      <c r="AJ6" s="143" t="s">
        <v>2570</v>
      </c>
      <c r="AK6" s="129">
        <v>7.84</v>
      </c>
      <c r="AL6" s="129">
        <v>7.85</v>
      </c>
      <c r="AM6" s="129">
        <v>7.875</v>
      </c>
      <c r="AN6" s="129">
        <v>7.88</v>
      </c>
      <c r="AO6" s="126" t="str">
        <f t="shared" si="4"/>
        <v/>
      </c>
      <c r="AR6" s="99" t="s">
        <v>136</v>
      </c>
    </row>
    <row r="7" spans="1:44" s="99" customFormat="1" ht="21" customHeight="1" x14ac:dyDescent="0.35">
      <c r="A7" s="99">
        <v>421</v>
      </c>
      <c r="B7" s="126" t="str">
        <f t="shared" si="0"/>
        <v>0-304/1D-003X770</v>
      </c>
      <c r="C7" s="126" t="s">
        <v>2564</v>
      </c>
      <c r="D7" s="126" t="s">
        <v>11</v>
      </c>
      <c r="E7" s="143" t="s">
        <v>2571</v>
      </c>
      <c r="F7" s="143" t="s">
        <v>2572</v>
      </c>
      <c r="G7" s="126">
        <v>304</v>
      </c>
      <c r="H7" s="126" t="s">
        <v>139</v>
      </c>
      <c r="I7" s="127">
        <v>3.49</v>
      </c>
      <c r="J7" s="127"/>
      <c r="K7" s="127"/>
      <c r="L7" s="127"/>
      <c r="M7" s="144">
        <v>770</v>
      </c>
      <c r="N7" s="129">
        <v>10.46</v>
      </c>
      <c r="O7" s="129">
        <v>10.46</v>
      </c>
      <c r="P7" s="129"/>
      <c r="Q7" s="130"/>
      <c r="R7" s="131"/>
      <c r="S7" s="131"/>
      <c r="T7" s="132">
        <v>44599</v>
      </c>
      <c r="U7" s="132"/>
      <c r="V7" s="132"/>
      <c r="W7" s="132"/>
      <c r="X7" s="132"/>
      <c r="Y7" s="133"/>
      <c r="Z7" s="126" t="s">
        <v>64</v>
      </c>
      <c r="AA7" s="134" t="s">
        <v>154</v>
      </c>
      <c r="AB7" s="134" t="s">
        <v>1239</v>
      </c>
      <c r="AC7" s="134"/>
      <c r="AD7" s="134">
        <v>44496</v>
      </c>
      <c r="AE7" s="134"/>
      <c r="AF7" s="134">
        <f t="shared" ca="1" si="1"/>
        <v>44963</v>
      </c>
      <c r="AG7" s="126">
        <f t="shared" ca="1" si="2"/>
        <v>467</v>
      </c>
      <c r="AH7" s="126" t="str">
        <f t="shared" si="3"/>
        <v/>
      </c>
      <c r="AI7" s="134"/>
      <c r="AJ7" s="143" t="s">
        <v>2573</v>
      </c>
      <c r="AK7" s="129">
        <v>10.46</v>
      </c>
      <c r="AL7" s="129">
        <v>10.47</v>
      </c>
      <c r="AM7" s="129">
        <v>10.494999999999999</v>
      </c>
      <c r="AN7" s="129">
        <v>10.5</v>
      </c>
      <c r="AO7" s="126" t="str">
        <f t="shared" si="4"/>
        <v/>
      </c>
      <c r="AR7" s="99" t="s">
        <v>136</v>
      </c>
    </row>
    <row r="8" spans="1:44" s="99" customFormat="1" ht="21" customHeight="1" x14ac:dyDescent="0.35">
      <c r="A8" s="99">
        <v>422</v>
      </c>
      <c r="B8" s="126" t="str">
        <f t="shared" si="0"/>
        <v>0-304L/FH-001X768</v>
      </c>
      <c r="C8" s="126" t="s">
        <v>2567</v>
      </c>
      <c r="D8" s="126" t="s">
        <v>13</v>
      </c>
      <c r="E8" s="143" t="s">
        <v>2565</v>
      </c>
      <c r="F8" s="143" t="s">
        <v>2566</v>
      </c>
      <c r="G8" s="126" t="s">
        <v>230</v>
      </c>
      <c r="H8" s="126" t="s">
        <v>65</v>
      </c>
      <c r="I8" s="127">
        <v>3</v>
      </c>
      <c r="J8" s="127">
        <v>1.0900000000000001</v>
      </c>
      <c r="K8" s="127"/>
      <c r="L8" s="127"/>
      <c r="M8" s="144">
        <v>768</v>
      </c>
      <c r="N8" s="129">
        <v>9.9550000000000001</v>
      </c>
      <c r="O8" s="129">
        <v>9.9649999999999999</v>
      </c>
      <c r="P8" s="129"/>
      <c r="Q8" s="130"/>
      <c r="R8" s="131"/>
      <c r="S8" s="131"/>
      <c r="T8" s="132">
        <v>44599</v>
      </c>
      <c r="U8" s="132"/>
      <c r="V8" s="132"/>
      <c r="W8" s="132"/>
      <c r="X8" s="132"/>
      <c r="Y8" s="133"/>
      <c r="Z8" s="126" t="s">
        <v>64</v>
      </c>
      <c r="AA8" s="134" t="s">
        <v>154</v>
      </c>
      <c r="AB8" s="134" t="s">
        <v>1330</v>
      </c>
      <c r="AC8" s="134"/>
      <c r="AD8" s="134">
        <v>44516</v>
      </c>
      <c r="AE8" s="134"/>
      <c r="AF8" s="134">
        <f t="shared" ca="1" si="1"/>
        <v>44963</v>
      </c>
      <c r="AG8" s="126">
        <f t="shared" ca="1" si="2"/>
        <v>447</v>
      </c>
      <c r="AH8" s="126" t="str">
        <f t="shared" si="3"/>
        <v/>
      </c>
      <c r="AI8" s="134"/>
      <c r="AJ8" s="143" t="s">
        <v>1341</v>
      </c>
      <c r="AK8" s="129">
        <v>9.9550000000000001</v>
      </c>
      <c r="AL8" s="129">
        <v>9.9649999999999999</v>
      </c>
      <c r="AM8" s="129">
        <v>9.9899999999999984</v>
      </c>
      <c r="AN8" s="129">
        <v>9.9949999999999992</v>
      </c>
      <c r="AO8" s="126" t="str">
        <f t="shared" si="4"/>
        <v/>
      </c>
      <c r="AR8" s="99" t="s">
        <v>136</v>
      </c>
    </row>
    <row r="9" spans="1:44" s="99" customFormat="1" ht="21" customHeight="1" x14ac:dyDescent="0.35">
      <c r="A9" s="99">
        <v>422</v>
      </c>
      <c r="B9" s="126" t="str">
        <f t="shared" si="0"/>
        <v>0-304L/1D-004X766</v>
      </c>
      <c r="C9" s="126" t="s">
        <v>2564</v>
      </c>
      <c r="D9" s="126" t="s">
        <v>11</v>
      </c>
      <c r="E9" s="143" t="s">
        <v>2574</v>
      </c>
      <c r="F9" s="143" t="s">
        <v>2575</v>
      </c>
      <c r="G9" s="126" t="s">
        <v>230</v>
      </c>
      <c r="H9" s="126" t="s">
        <v>139</v>
      </c>
      <c r="I9" s="127">
        <v>3.81</v>
      </c>
      <c r="J9" s="127"/>
      <c r="K9" s="127"/>
      <c r="L9" s="127"/>
      <c r="M9" s="144">
        <v>766</v>
      </c>
      <c r="N9" s="129">
        <v>10.24</v>
      </c>
      <c r="O9" s="129">
        <v>10.24</v>
      </c>
      <c r="P9" s="129"/>
      <c r="Q9" s="130"/>
      <c r="R9" s="131"/>
      <c r="S9" s="131"/>
      <c r="T9" s="132">
        <v>44599</v>
      </c>
      <c r="U9" s="132"/>
      <c r="V9" s="132"/>
      <c r="W9" s="132"/>
      <c r="X9" s="132"/>
      <c r="Y9" s="133"/>
      <c r="Z9" s="126" t="s">
        <v>64</v>
      </c>
      <c r="AA9" s="134" t="s">
        <v>154</v>
      </c>
      <c r="AB9" s="134" t="s">
        <v>1330</v>
      </c>
      <c r="AC9" s="134"/>
      <c r="AD9" s="134">
        <v>44516</v>
      </c>
      <c r="AE9" s="134"/>
      <c r="AF9" s="134">
        <f t="shared" ca="1" si="1"/>
        <v>44963</v>
      </c>
      <c r="AG9" s="126">
        <f t="shared" ca="1" si="2"/>
        <v>447</v>
      </c>
      <c r="AH9" s="126" t="str">
        <f t="shared" si="3"/>
        <v/>
      </c>
      <c r="AI9" s="134"/>
      <c r="AJ9" s="143" t="s">
        <v>2576</v>
      </c>
      <c r="AK9" s="129">
        <v>10.24</v>
      </c>
      <c r="AL9" s="129">
        <v>10.25</v>
      </c>
      <c r="AM9" s="129">
        <v>10.274999999999999</v>
      </c>
      <c r="AN9" s="129">
        <v>10.28</v>
      </c>
      <c r="AO9" s="126" t="str">
        <f t="shared" si="4"/>
        <v/>
      </c>
      <c r="AR9" s="99" t="s">
        <v>136</v>
      </c>
    </row>
    <row r="10" spans="1:44" s="99" customFormat="1" ht="21" customHeight="1" x14ac:dyDescent="0.35">
      <c r="A10" s="99">
        <v>421</v>
      </c>
      <c r="B10" s="126" t="str">
        <f t="shared" si="0"/>
        <v>0-304/FH-001X770</v>
      </c>
      <c r="C10" s="126" t="s">
        <v>2567</v>
      </c>
      <c r="D10" s="126" t="s">
        <v>13</v>
      </c>
      <c r="E10" s="143" t="s">
        <v>2571</v>
      </c>
      <c r="F10" s="143" t="s">
        <v>2572</v>
      </c>
      <c r="G10" s="126">
        <v>304</v>
      </c>
      <c r="H10" s="126" t="s">
        <v>65</v>
      </c>
      <c r="I10" s="127">
        <v>3.49</v>
      </c>
      <c r="J10" s="127">
        <v>1.2</v>
      </c>
      <c r="K10" s="127"/>
      <c r="L10" s="127"/>
      <c r="M10" s="144">
        <v>770</v>
      </c>
      <c r="N10" s="129">
        <v>10.46</v>
      </c>
      <c r="O10" s="129">
        <v>10.484999999999999</v>
      </c>
      <c r="P10" s="129"/>
      <c r="Q10" s="130"/>
      <c r="R10" s="131"/>
      <c r="S10" s="131"/>
      <c r="T10" s="132">
        <v>44599</v>
      </c>
      <c r="U10" s="132"/>
      <c r="V10" s="132"/>
      <c r="W10" s="132"/>
      <c r="X10" s="132"/>
      <c r="Y10" s="133"/>
      <c r="Z10" s="126" t="s">
        <v>64</v>
      </c>
      <c r="AA10" s="134" t="s">
        <v>154</v>
      </c>
      <c r="AB10" s="134" t="s">
        <v>1239</v>
      </c>
      <c r="AC10" s="134"/>
      <c r="AD10" s="134">
        <v>44496</v>
      </c>
      <c r="AE10" s="134"/>
      <c r="AF10" s="134">
        <f t="shared" ca="1" si="1"/>
        <v>44963</v>
      </c>
      <c r="AG10" s="126">
        <f t="shared" ca="1" si="2"/>
        <v>467</v>
      </c>
      <c r="AH10" s="126" t="str">
        <f t="shared" si="3"/>
        <v/>
      </c>
      <c r="AI10" s="134"/>
      <c r="AJ10" s="143" t="s">
        <v>2573</v>
      </c>
      <c r="AK10" s="129">
        <v>10.46</v>
      </c>
      <c r="AL10" s="129">
        <v>10.47</v>
      </c>
      <c r="AM10" s="129">
        <v>10.494999999999999</v>
      </c>
      <c r="AN10" s="129">
        <v>10.5</v>
      </c>
      <c r="AO10" s="126" t="str">
        <f t="shared" si="4"/>
        <v/>
      </c>
      <c r="AR10" s="99" t="s">
        <v>136</v>
      </c>
    </row>
    <row r="11" spans="1:44" s="99" customFormat="1" ht="21" customHeight="1" x14ac:dyDescent="0.35">
      <c r="A11" s="99">
        <v>421</v>
      </c>
      <c r="B11" s="126" t="str">
        <f t="shared" si="0"/>
        <v>0-304L/1D-003X770</v>
      </c>
      <c r="C11" s="126" t="s">
        <v>2564</v>
      </c>
      <c r="D11" s="126" t="s">
        <v>11</v>
      </c>
      <c r="E11" s="143" t="s">
        <v>2577</v>
      </c>
      <c r="F11" s="143" t="s">
        <v>2578</v>
      </c>
      <c r="G11" s="126" t="s">
        <v>230</v>
      </c>
      <c r="H11" s="126" t="s">
        <v>139</v>
      </c>
      <c r="I11" s="127">
        <v>2.76</v>
      </c>
      <c r="J11" s="127"/>
      <c r="K11" s="127"/>
      <c r="L11" s="127"/>
      <c r="M11" s="144">
        <v>770</v>
      </c>
      <c r="N11" s="129">
        <v>10.58</v>
      </c>
      <c r="O11" s="129">
        <v>10.58</v>
      </c>
      <c r="P11" s="129"/>
      <c r="Q11" s="130"/>
      <c r="R11" s="131"/>
      <c r="S11" s="131"/>
      <c r="T11" s="132">
        <v>44599</v>
      </c>
      <c r="U11" s="132"/>
      <c r="V11" s="132"/>
      <c r="W11" s="132"/>
      <c r="X11" s="132"/>
      <c r="Y11" s="133"/>
      <c r="Z11" s="126" t="s">
        <v>64</v>
      </c>
      <c r="AA11" s="134" t="s">
        <v>154</v>
      </c>
      <c r="AB11" s="134" t="s">
        <v>1190</v>
      </c>
      <c r="AC11" s="134"/>
      <c r="AD11" s="134">
        <v>44496</v>
      </c>
      <c r="AE11" s="134"/>
      <c r="AF11" s="134">
        <f t="shared" ca="1" si="1"/>
        <v>44963</v>
      </c>
      <c r="AG11" s="126">
        <f t="shared" ca="1" si="2"/>
        <v>467</v>
      </c>
      <c r="AH11" s="126" t="str">
        <f t="shared" si="3"/>
        <v/>
      </c>
      <c r="AI11" s="134"/>
      <c r="AJ11" s="143" t="s">
        <v>2579</v>
      </c>
      <c r="AK11" s="129">
        <v>10.58</v>
      </c>
      <c r="AL11" s="129">
        <v>10.59</v>
      </c>
      <c r="AM11" s="129">
        <v>10.614999999999998</v>
      </c>
      <c r="AN11" s="129">
        <v>10.62</v>
      </c>
      <c r="AO11" s="126" t="str">
        <f t="shared" si="4"/>
        <v/>
      </c>
      <c r="AR11" s="99" t="s">
        <v>136</v>
      </c>
    </row>
    <row r="12" spans="1:44" s="99" customFormat="1" ht="21" customHeight="1" x14ac:dyDescent="0.35">
      <c r="A12" s="99">
        <v>422</v>
      </c>
      <c r="B12" s="126" t="str">
        <f t="shared" si="0"/>
        <v>0-304L/FH-002X766</v>
      </c>
      <c r="C12" s="126" t="s">
        <v>2567</v>
      </c>
      <c r="D12" s="126" t="s">
        <v>13</v>
      </c>
      <c r="E12" s="143" t="s">
        <v>2574</v>
      </c>
      <c r="F12" s="143" t="s">
        <v>2575</v>
      </c>
      <c r="G12" s="126" t="s">
        <v>230</v>
      </c>
      <c r="H12" s="126" t="s">
        <v>65</v>
      </c>
      <c r="I12" s="127">
        <v>3.81</v>
      </c>
      <c r="J12" s="127">
        <v>1.89</v>
      </c>
      <c r="K12" s="127"/>
      <c r="L12" s="127"/>
      <c r="M12" s="144">
        <v>766</v>
      </c>
      <c r="N12" s="129">
        <v>10.24</v>
      </c>
      <c r="O12" s="129">
        <v>10.255000000000001</v>
      </c>
      <c r="P12" s="129"/>
      <c r="Q12" s="130"/>
      <c r="R12" s="131"/>
      <c r="S12" s="131"/>
      <c r="T12" s="132">
        <v>44599</v>
      </c>
      <c r="U12" s="132"/>
      <c r="V12" s="132"/>
      <c r="W12" s="132"/>
      <c r="X12" s="132"/>
      <c r="Y12" s="133"/>
      <c r="Z12" s="126" t="s">
        <v>64</v>
      </c>
      <c r="AA12" s="134" t="s">
        <v>154</v>
      </c>
      <c r="AB12" s="134" t="s">
        <v>1330</v>
      </c>
      <c r="AC12" s="134"/>
      <c r="AD12" s="134">
        <v>44516</v>
      </c>
      <c r="AE12" s="134"/>
      <c r="AF12" s="134">
        <f t="shared" ca="1" si="1"/>
        <v>44963</v>
      </c>
      <c r="AG12" s="126">
        <f t="shared" ca="1" si="2"/>
        <v>447</v>
      </c>
      <c r="AH12" s="126" t="str">
        <f t="shared" si="3"/>
        <v/>
      </c>
      <c r="AI12" s="134"/>
      <c r="AJ12" s="143" t="s">
        <v>2576</v>
      </c>
      <c r="AK12" s="129">
        <v>10.24</v>
      </c>
      <c r="AL12" s="129">
        <v>10.25</v>
      </c>
      <c r="AM12" s="129">
        <v>10.274999999999999</v>
      </c>
      <c r="AN12" s="129">
        <v>10.28</v>
      </c>
      <c r="AO12" s="126" t="str">
        <f t="shared" si="4"/>
        <v/>
      </c>
      <c r="AR12" s="99" t="s">
        <v>136</v>
      </c>
    </row>
    <row r="13" spans="1:44" s="99" customFormat="1" ht="21" customHeight="1" x14ac:dyDescent="0.35">
      <c r="A13" s="99">
        <v>421</v>
      </c>
      <c r="B13" s="126" t="str">
        <f t="shared" si="0"/>
        <v>0-304L/1D-003X770</v>
      </c>
      <c r="C13" s="126" t="s">
        <v>2564</v>
      </c>
      <c r="D13" s="126" t="s">
        <v>11</v>
      </c>
      <c r="E13" s="143" t="s">
        <v>2580</v>
      </c>
      <c r="F13" s="143" t="s">
        <v>2581</v>
      </c>
      <c r="G13" s="126" t="s">
        <v>230</v>
      </c>
      <c r="H13" s="126" t="s">
        <v>139</v>
      </c>
      <c r="I13" s="127">
        <v>3.01</v>
      </c>
      <c r="J13" s="127"/>
      <c r="K13" s="127"/>
      <c r="L13" s="127"/>
      <c r="M13" s="144">
        <v>770</v>
      </c>
      <c r="N13" s="129">
        <v>12.17</v>
      </c>
      <c r="O13" s="129">
        <v>12.17</v>
      </c>
      <c r="P13" s="129"/>
      <c r="Q13" s="130"/>
      <c r="R13" s="131"/>
      <c r="S13" s="131"/>
      <c r="T13" s="132">
        <v>44599</v>
      </c>
      <c r="U13" s="132"/>
      <c r="V13" s="132"/>
      <c r="W13" s="132"/>
      <c r="X13" s="132"/>
      <c r="Y13" s="133"/>
      <c r="Z13" s="126" t="s">
        <v>64</v>
      </c>
      <c r="AA13" s="134" t="s">
        <v>154</v>
      </c>
      <c r="AB13" s="134" t="s">
        <v>1190</v>
      </c>
      <c r="AC13" s="134"/>
      <c r="AD13" s="134">
        <v>44496</v>
      </c>
      <c r="AE13" s="134"/>
      <c r="AF13" s="134">
        <f t="shared" ca="1" si="1"/>
        <v>44963</v>
      </c>
      <c r="AG13" s="126">
        <f t="shared" ca="1" si="2"/>
        <v>467</v>
      </c>
      <c r="AH13" s="126" t="str">
        <f t="shared" si="3"/>
        <v/>
      </c>
      <c r="AI13" s="134"/>
      <c r="AJ13" s="143" t="s">
        <v>2582</v>
      </c>
      <c r="AK13" s="129">
        <v>12.17</v>
      </c>
      <c r="AL13" s="129">
        <v>12.18</v>
      </c>
      <c r="AM13" s="129">
        <v>12.204999999999998</v>
      </c>
      <c r="AN13" s="129">
        <v>12.209999999999999</v>
      </c>
      <c r="AO13" s="126" t="str">
        <f t="shared" si="4"/>
        <v/>
      </c>
      <c r="AR13" s="99" t="s">
        <v>136</v>
      </c>
    </row>
    <row r="14" spans="1:44" s="99" customFormat="1" ht="21" customHeight="1" x14ac:dyDescent="0.35">
      <c r="A14" s="99">
        <v>421</v>
      </c>
      <c r="B14" s="126" t="str">
        <f t="shared" si="0"/>
        <v>0-304L/FH-001X770</v>
      </c>
      <c r="C14" s="126" t="s">
        <v>2567</v>
      </c>
      <c r="D14" s="126" t="s">
        <v>13</v>
      </c>
      <c r="E14" s="143" t="s">
        <v>2577</v>
      </c>
      <c r="F14" s="143" t="s">
        <v>2578</v>
      </c>
      <c r="G14" s="126" t="s">
        <v>230</v>
      </c>
      <c r="H14" s="126" t="s">
        <v>65</v>
      </c>
      <c r="I14" s="127">
        <v>2.76</v>
      </c>
      <c r="J14" s="127">
        <v>0.79</v>
      </c>
      <c r="K14" s="127"/>
      <c r="L14" s="127"/>
      <c r="M14" s="144">
        <v>770</v>
      </c>
      <c r="N14" s="129">
        <v>10.58</v>
      </c>
      <c r="O14" s="129">
        <v>10.58</v>
      </c>
      <c r="P14" s="129"/>
      <c r="Q14" s="130"/>
      <c r="R14" s="131"/>
      <c r="S14" s="131"/>
      <c r="T14" s="132">
        <v>44599</v>
      </c>
      <c r="U14" s="132"/>
      <c r="V14" s="132"/>
      <c r="W14" s="132"/>
      <c r="X14" s="132"/>
      <c r="Y14" s="133"/>
      <c r="Z14" s="126" t="s">
        <v>64</v>
      </c>
      <c r="AA14" s="134" t="s">
        <v>154</v>
      </c>
      <c r="AB14" s="134" t="s">
        <v>1190</v>
      </c>
      <c r="AC14" s="134"/>
      <c r="AD14" s="134">
        <v>44496</v>
      </c>
      <c r="AE14" s="134"/>
      <c r="AF14" s="134">
        <f t="shared" ca="1" si="1"/>
        <v>44963</v>
      </c>
      <c r="AG14" s="126">
        <f t="shared" ca="1" si="2"/>
        <v>467</v>
      </c>
      <c r="AH14" s="126" t="str">
        <f t="shared" si="3"/>
        <v/>
      </c>
      <c r="AI14" s="134"/>
      <c r="AJ14" s="143" t="s">
        <v>2579</v>
      </c>
      <c r="AK14" s="129">
        <v>10.58</v>
      </c>
      <c r="AL14" s="129">
        <v>10.59</v>
      </c>
      <c r="AM14" s="129">
        <v>10.614999999999998</v>
      </c>
      <c r="AN14" s="129">
        <v>10.62</v>
      </c>
      <c r="AO14" s="126" t="str">
        <f t="shared" si="4"/>
        <v/>
      </c>
      <c r="AR14" s="99" t="s">
        <v>136</v>
      </c>
    </row>
    <row r="15" spans="1:44" s="99" customFormat="1" ht="21" customHeight="1" x14ac:dyDescent="0.35">
      <c r="A15" s="99">
        <v>422</v>
      </c>
      <c r="B15" s="126" t="str">
        <f t="shared" si="0"/>
        <v>0-304L/1D-004X770</v>
      </c>
      <c r="C15" s="126" t="s">
        <v>2564</v>
      </c>
      <c r="D15" s="126" t="s">
        <v>11</v>
      </c>
      <c r="E15" s="143" t="s">
        <v>2583</v>
      </c>
      <c r="F15" s="143" t="s">
        <v>2584</v>
      </c>
      <c r="G15" s="126" t="s">
        <v>230</v>
      </c>
      <c r="H15" s="126" t="s">
        <v>139</v>
      </c>
      <c r="I15" s="127">
        <v>3.79</v>
      </c>
      <c r="J15" s="127"/>
      <c r="K15" s="127"/>
      <c r="L15" s="127"/>
      <c r="M15" s="144">
        <v>770</v>
      </c>
      <c r="N15" s="129">
        <v>11.845000000000001</v>
      </c>
      <c r="O15" s="129">
        <v>11.845000000000001</v>
      </c>
      <c r="P15" s="129"/>
      <c r="Q15" s="130"/>
      <c r="R15" s="131"/>
      <c r="S15" s="131"/>
      <c r="T15" s="132">
        <v>44599</v>
      </c>
      <c r="U15" s="132"/>
      <c r="V15" s="132"/>
      <c r="W15" s="132"/>
      <c r="X15" s="132"/>
      <c r="Y15" s="133"/>
      <c r="Z15" s="126" t="s">
        <v>64</v>
      </c>
      <c r="AA15" s="134" t="s">
        <v>154</v>
      </c>
      <c r="AB15" s="134" t="s">
        <v>1330</v>
      </c>
      <c r="AC15" s="134"/>
      <c r="AD15" s="134">
        <v>44516</v>
      </c>
      <c r="AE15" s="134"/>
      <c r="AF15" s="134">
        <f t="shared" ca="1" si="1"/>
        <v>44963</v>
      </c>
      <c r="AG15" s="126">
        <f t="shared" ca="1" si="2"/>
        <v>447</v>
      </c>
      <c r="AH15" s="126" t="str">
        <f t="shared" si="3"/>
        <v/>
      </c>
      <c r="AI15" s="134"/>
      <c r="AJ15" s="143" t="s">
        <v>2585</v>
      </c>
      <c r="AK15" s="129">
        <v>11.845000000000001</v>
      </c>
      <c r="AL15" s="129">
        <v>11.855</v>
      </c>
      <c r="AM15" s="129">
        <v>11.879999999999999</v>
      </c>
      <c r="AN15" s="129">
        <v>11.885</v>
      </c>
      <c r="AO15" s="126" t="str">
        <f t="shared" si="4"/>
        <v/>
      </c>
      <c r="AR15" s="99" t="s">
        <v>136</v>
      </c>
    </row>
    <row r="16" spans="1:44" s="99" customFormat="1" ht="21" customHeight="1" x14ac:dyDescent="0.35">
      <c r="A16" s="99">
        <v>421</v>
      </c>
      <c r="B16" s="126" t="str">
        <f t="shared" si="0"/>
        <v>0-304L/FH-001X770</v>
      </c>
      <c r="C16" s="126" t="s">
        <v>2567</v>
      </c>
      <c r="D16" s="126" t="s">
        <v>13</v>
      </c>
      <c r="E16" s="143" t="s">
        <v>2580</v>
      </c>
      <c r="F16" s="143" t="s">
        <v>2581</v>
      </c>
      <c r="G16" s="126" t="s">
        <v>230</v>
      </c>
      <c r="H16" s="126" t="s">
        <v>65</v>
      </c>
      <c r="I16" s="127">
        <v>3.01</v>
      </c>
      <c r="J16" s="127">
        <v>1.0900000000000001</v>
      </c>
      <c r="K16" s="127"/>
      <c r="L16" s="127"/>
      <c r="M16" s="144">
        <v>770</v>
      </c>
      <c r="N16" s="129">
        <v>12.17</v>
      </c>
      <c r="O16" s="129">
        <v>12.2</v>
      </c>
      <c r="P16" s="129"/>
      <c r="Q16" s="130"/>
      <c r="R16" s="131"/>
      <c r="S16" s="131"/>
      <c r="T16" s="132">
        <v>44599</v>
      </c>
      <c r="U16" s="132"/>
      <c r="V16" s="132"/>
      <c r="W16" s="132"/>
      <c r="X16" s="132"/>
      <c r="Y16" s="133"/>
      <c r="Z16" s="126" t="s">
        <v>64</v>
      </c>
      <c r="AA16" s="134" t="s">
        <v>154</v>
      </c>
      <c r="AB16" s="134" t="s">
        <v>1190</v>
      </c>
      <c r="AC16" s="134"/>
      <c r="AD16" s="134">
        <v>44496</v>
      </c>
      <c r="AE16" s="134"/>
      <c r="AF16" s="134">
        <f t="shared" ca="1" si="1"/>
        <v>44963</v>
      </c>
      <c r="AG16" s="126">
        <f t="shared" ca="1" si="2"/>
        <v>467</v>
      </c>
      <c r="AH16" s="126" t="str">
        <f t="shared" si="3"/>
        <v/>
      </c>
      <c r="AI16" s="134"/>
      <c r="AJ16" s="143" t="s">
        <v>2582</v>
      </c>
      <c r="AK16" s="129">
        <v>12.17</v>
      </c>
      <c r="AL16" s="129">
        <v>12.18</v>
      </c>
      <c r="AM16" s="129">
        <v>12.204999999999998</v>
      </c>
      <c r="AN16" s="129">
        <v>12.209999999999999</v>
      </c>
      <c r="AO16" s="126" t="str">
        <f t="shared" si="4"/>
        <v/>
      </c>
      <c r="AR16" s="99" t="s">
        <v>136</v>
      </c>
    </row>
    <row r="17" spans="1:59" s="99" customFormat="1" ht="21" customHeight="1" x14ac:dyDescent="0.35">
      <c r="A17" s="99">
        <v>422</v>
      </c>
      <c r="B17" s="126" t="str">
        <f t="shared" si="0"/>
        <v>0-304L/1D-004X767</v>
      </c>
      <c r="C17" s="126" t="s">
        <v>2564</v>
      </c>
      <c r="D17" s="126" t="s">
        <v>11</v>
      </c>
      <c r="E17" s="143" t="s">
        <v>1311</v>
      </c>
      <c r="F17" s="143" t="s">
        <v>2586</v>
      </c>
      <c r="G17" s="126" t="s">
        <v>230</v>
      </c>
      <c r="H17" s="126" t="s">
        <v>139</v>
      </c>
      <c r="I17" s="127">
        <v>3.81</v>
      </c>
      <c r="J17" s="127"/>
      <c r="K17" s="127"/>
      <c r="L17" s="127"/>
      <c r="M17" s="144">
        <v>767</v>
      </c>
      <c r="N17" s="129">
        <v>10.43</v>
      </c>
      <c r="O17" s="129">
        <v>10.43</v>
      </c>
      <c r="P17" s="129"/>
      <c r="Q17" s="130"/>
      <c r="R17" s="131"/>
      <c r="S17" s="131"/>
      <c r="T17" s="132">
        <v>44599</v>
      </c>
      <c r="U17" s="132"/>
      <c r="V17" s="132"/>
      <c r="W17" s="132"/>
      <c r="X17" s="132"/>
      <c r="Y17" s="133"/>
      <c r="Z17" s="126" t="s">
        <v>64</v>
      </c>
      <c r="AA17" s="134" t="s">
        <v>154</v>
      </c>
      <c r="AB17" s="134" t="s">
        <v>1296</v>
      </c>
      <c r="AC17" s="134"/>
      <c r="AD17" s="134">
        <v>44516</v>
      </c>
      <c r="AE17" s="134"/>
      <c r="AF17" s="134">
        <f t="shared" ca="1" si="1"/>
        <v>44963</v>
      </c>
      <c r="AG17" s="126">
        <f t="shared" ca="1" si="2"/>
        <v>447</v>
      </c>
      <c r="AH17" s="126" t="str">
        <f t="shared" si="3"/>
        <v/>
      </c>
      <c r="AI17" s="134"/>
      <c r="AJ17" s="143" t="s">
        <v>1314</v>
      </c>
      <c r="AK17" s="129">
        <v>10.43</v>
      </c>
      <c r="AL17" s="129">
        <v>10.44</v>
      </c>
      <c r="AM17" s="129">
        <v>10.464999999999998</v>
      </c>
      <c r="AN17" s="129">
        <v>10.469999999999999</v>
      </c>
      <c r="AO17" s="126" t="str">
        <f t="shared" si="4"/>
        <v/>
      </c>
      <c r="AR17" s="99" t="s">
        <v>136</v>
      </c>
    </row>
    <row r="18" spans="1:59" s="99" customFormat="1" ht="21" customHeight="1" x14ac:dyDescent="0.35">
      <c r="A18" s="99">
        <v>422</v>
      </c>
      <c r="B18" s="126" t="str">
        <f t="shared" si="0"/>
        <v>0-304L/FH-001X770</v>
      </c>
      <c r="C18" s="126" t="s">
        <v>2567</v>
      </c>
      <c r="D18" s="126" t="s">
        <v>13</v>
      </c>
      <c r="E18" s="143" t="s">
        <v>2583</v>
      </c>
      <c r="F18" s="143" t="s">
        <v>2584</v>
      </c>
      <c r="G18" s="126" t="s">
        <v>230</v>
      </c>
      <c r="H18" s="126" t="s">
        <v>65</v>
      </c>
      <c r="I18" s="127">
        <v>3.79</v>
      </c>
      <c r="J18" s="127">
        <v>1.39</v>
      </c>
      <c r="K18" s="127"/>
      <c r="L18" s="127"/>
      <c r="M18" s="144">
        <v>770</v>
      </c>
      <c r="N18" s="129">
        <v>11.845000000000001</v>
      </c>
      <c r="O18" s="129">
        <v>11.87</v>
      </c>
      <c r="P18" s="129"/>
      <c r="Q18" s="130"/>
      <c r="R18" s="131"/>
      <c r="S18" s="131"/>
      <c r="T18" s="132">
        <v>44599</v>
      </c>
      <c r="U18" s="132"/>
      <c r="V18" s="132"/>
      <c r="W18" s="132"/>
      <c r="X18" s="132"/>
      <c r="Y18" s="133"/>
      <c r="Z18" s="126" t="s">
        <v>64</v>
      </c>
      <c r="AA18" s="134" t="s">
        <v>154</v>
      </c>
      <c r="AB18" s="134" t="s">
        <v>1330</v>
      </c>
      <c r="AC18" s="134"/>
      <c r="AD18" s="134">
        <v>44516</v>
      </c>
      <c r="AE18" s="134"/>
      <c r="AF18" s="134">
        <f t="shared" ca="1" si="1"/>
        <v>44963</v>
      </c>
      <c r="AG18" s="126">
        <f t="shared" ca="1" si="2"/>
        <v>447</v>
      </c>
      <c r="AH18" s="126" t="str">
        <f t="shared" si="3"/>
        <v/>
      </c>
      <c r="AI18" s="134"/>
      <c r="AJ18" s="143" t="s">
        <v>2585</v>
      </c>
      <c r="AK18" s="129">
        <v>11.845000000000001</v>
      </c>
      <c r="AL18" s="129">
        <v>11.855</v>
      </c>
      <c r="AM18" s="129">
        <v>11.879999999999999</v>
      </c>
      <c r="AN18" s="129">
        <v>11.885</v>
      </c>
      <c r="AO18" s="126" t="str">
        <f t="shared" si="4"/>
        <v/>
      </c>
      <c r="AR18" s="99" t="s">
        <v>136</v>
      </c>
    </row>
    <row r="19" spans="1:59" s="99" customFormat="1" ht="21" customHeight="1" x14ac:dyDescent="0.35">
      <c r="A19" s="99">
        <v>421</v>
      </c>
      <c r="B19" s="126" t="str">
        <f t="shared" si="0"/>
        <v>0-304L/1D-003X770</v>
      </c>
      <c r="C19" s="126" t="s">
        <v>2564</v>
      </c>
      <c r="D19" s="126" t="s">
        <v>11</v>
      </c>
      <c r="E19" s="143" t="s">
        <v>2587</v>
      </c>
      <c r="F19" s="143" t="s">
        <v>2588</v>
      </c>
      <c r="G19" s="126" t="s">
        <v>230</v>
      </c>
      <c r="H19" s="126" t="s">
        <v>139</v>
      </c>
      <c r="I19" s="127">
        <v>3.48</v>
      </c>
      <c r="J19" s="127"/>
      <c r="K19" s="127"/>
      <c r="L19" s="127"/>
      <c r="M19" s="144">
        <v>770</v>
      </c>
      <c r="N19" s="129">
        <v>10.42</v>
      </c>
      <c r="O19" s="129">
        <v>10.42</v>
      </c>
      <c r="P19" s="129"/>
      <c r="Q19" s="130"/>
      <c r="R19" s="131"/>
      <c r="S19" s="131"/>
      <c r="T19" s="132">
        <v>44599</v>
      </c>
      <c r="U19" s="132"/>
      <c r="V19" s="132"/>
      <c r="W19" s="132"/>
      <c r="X19" s="132"/>
      <c r="Y19" s="133"/>
      <c r="Z19" s="126" t="s">
        <v>64</v>
      </c>
      <c r="AA19" s="134" t="s">
        <v>154</v>
      </c>
      <c r="AB19" s="134" t="s">
        <v>1256</v>
      </c>
      <c r="AC19" s="134"/>
      <c r="AD19" s="134">
        <v>44496</v>
      </c>
      <c r="AE19" s="134"/>
      <c r="AF19" s="134">
        <f t="shared" ca="1" si="1"/>
        <v>44963</v>
      </c>
      <c r="AG19" s="126">
        <f t="shared" ca="1" si="2"/>
        <v>467</v>
      </c>
      <c r="AH19" s="126" t="str">
        <f t="shared" si="3"/>
        <v/>
      </c>
      <c r="AI19" s="134"/>
      <c r="AJ19" s="143" t="s">
        <v>2589</v>
      </c>
      <c r="AK19" s="129">
        <v>10.42</v>
      </c>
      <c r="AL19" s="129">
        <v>10.43</v>
      </c>
      <c r="AM19" s="129">
        <v>10.454999999999998</v>
      </c>
      <c r="AN19" s="129">
        <v>10.459999999999999</v>
      </c>
      <c r="AO19" s="126" t="str">
        <f t="shared" si="4"/>
        <v/>
      </c>
      <c r="AR19" s="99" t="s">
        <v>136</v>
      </c>
    </row>
    <row r="20" spans="1:59" s="99" customFormat="1" ht="21" customHeight="1" x14ac:dyDescent="0.35">
      <c r="A20" s="99">
        <v>422</v>
      </c>
      <c r="B20" s="126" t="str">
        <f t="shared" si="0"/>
        <v>0-304L/FH-002X767</v>
      </c>
      <c r="C20" s="126" t="s">
        <v>2567</v>
      </c>
      <c r="D20" s="126" t="s">
        <v>13</v>
      </c>
      <c r="E20" s="143" t="s">
        <v>1311</v>
      </c>
      <c r="F20" s="143" t="s">
        <v>2586</v>
      </c>
      <c r="G20" s="126" t="s">
        <v>230</v>
      </c>
      <c r="H20" s="126" t="s">
        <v>65</v>
      </c>
      <c r="I20" s="127">
        <v>3.81</v>
      </c>
      <c r="J20" s="127">
        <v>1.89</v>
      </c>
      <c r="K20" s="127"/>
      <c r="L20" s="127"/>
      <c r="M20" s="144">
        <v>767</v>
      </c>
      <c r="N20" s="129">
        <v>10.43</v>
      </c>
      <c r="O20" s="129">
        <v>10.445</v>
      </c>
      <c r="P20" s="129"/>
      <c r="Q20" s="130"/>
      <c r="R20" s="131"/>
      <c r="S20" s="131"/>
      <c r="T20" s="132">
        <v>44599</v>
      </c>
      <c r="U20" s="132"/>
      <c r="V20" s="132"/>
      <c r="W20" s="132"/>
      <c r="X20" s="132"/>
      <c r="Y20" s="133"/>
      <c r="Z20" s="126" t="s">
        <v>64</v>
      </c>
      <c r="AA20" s="134" t="s">
        <v>154</v>
      </c>
      <c r="AB20" s="134" t="s">
        <v>1296</v>
      </c>
      <c r="AC20" s="134"/>
      <c r="AD20" s="134">
        <v>44516</v>
      </c>
      <c r="AE20" s="134"/>
      <c r="AF20" s="134">
        <f t="shared" ca="1" si="1"/>
        <v>44963</v>
      </c>
      <c r="AG20" s="126">
        <f t="shared" ca="1" si="2"/>
        <v>447</v>
      </c>
      <c r="AH20" s="126" t="str">
        <f t="shared" si="3"/>
        <v/>
      </c>
      <c r="AI20" s="134"/>
      <c r="AJ20" s="143" t="s">
        <v>1314</v>
      </c>
      <c r="AK20" s="129">
        <v>10.43</v>
      </c>
      <c r="AL20" s="129">
        <v>10.44</v>
      </c>
      <c r="AM20" s="129">
        <v>10.464999999999998</v>
      </c>
      <c r="AN20" s="129">
        <v>10.469999999999999</v>
      </c>
      <c r="AO20" s="126" t="str">
        <f t="shared" si="4"/>
        <v/>
      </c>
      <c r="AR20" s="99" t="s">
        <v>136</v>
      </c>
    </row>
    <row r="21" spans="1:59" s="99" customFormat="1" ht="21" customHeight="1" x14ac:dyDescent="0.35">
      <c r="A21" s="99">
        <v>422</v>
      </c>
      <c r="B21" s="126" t="str">
        <f t="shared" si="0"/>
        <v>0-304L/1D-004X771</v>
      </c>
      <c r="C21" s="126" t="s">
        <v>2564</v>
      </c>
      <c r="D21" s="126" t="s">
        <v>11</v>
      </c>
      <c r="E21" s="143" t="s">
        <v>2590</v>
      </c>
      <c r="F21" s="143" t="s">
        <v>2591</v>
      </c>
      <c r="G21" s="126" t="s">
        <v>230</v>
      </c>
      <c r="H21" s="126" t="s">
        <v>139</v>
      </c>
      <c r="I21" s="127">
        <v>3.82</v>
      </c>
      <c r="J21" s="127"/>
      <c r="K21" s="127"/>
      <c r="L21" s="127"/>
      <c r="M21" s="144">
        <v>771</v>
      </c>
      <c r="N21" s="129">
        <v>12.164999999999999</v>
      </c>
      <c r="O21" s="129">
        <v>12.164999999999999</v>
      </c>
      <c r="P21" s="129"/>
      <c r="Q21" s="130"/>
      <c r="R21" s="131"/>
      <c r="S21" s="131"/>
      <c r="T21" s="132">
        <v>44599</v>
      </c>
      <c r="U21" s="132"/>
      <c r="V21" s="132"/>
      <c r="W21" s="132"/>
      <c r="X21" s="132"/>
      <c r="Y21" s="133"/>
      <c r="Z21" s="126" t="s">
        <v>64</v>
      </c>
      <c r="AA21" s="134" t="s">
        <v>154</v>
      </c>
      <c r="AB21" s="134" t="s">
        <v>1296</v>
      </c>
      <c r="AC21" s="134"/>
      <c r="AD21" s="134">
        <v>44516</v>
      </c>
      <c r="AE21" s="134"/>
      <c r="AF21" s="134">
        <f t="shared" ca="1" si="1"/>
        <v>44963</v>
      </c>
      <c r="AG21" s="126">
        <f t="shared" ca="1" si="2"/>
        <v>447</v>
      </c>
      <c r="AH21" s="126" t="str">
        <f t="shared" si="3"/>
        <v/>
      </c>
      <c r="AI21" s="134"/>
      <c r="AJ21" s="143" t="s">
        <v>2592</v>
      </c>
      <c r="AK21" s="129">
        <v>12.164999999999999</v>
      </c>
      <c r="AL21" s="129">
        <v>12.175000000000001</v>
      </c>
      <c r="AM21" s="129">
        <v>12.2</v>
      </c>
      <c r="AN21" s="129">
        <v>12.205</v>
      </c>
      <c r="AO21" s="126" t="str">
        <f t="shared" si="4"/>
        <v/>
      </c>
      <c r="AR21" s="99" t="s">
        <v>136</v>
      </c>
    </row>
    <row r="22" spans="1:59" s="99" customFormat="1" ht="21" customHeight="1" x14ac:dyDescent="0.35">
      <c r="A22" s="99">
        <v>421</v>
      </c>
      <c r="B22" s="126" t="str">
        <f t="shared" si="0"/>
        <v>0-304L/FH-001X770</v>
      </c>
      <c r="C22" s="126" t="s">
        <v>2567</v>
      </c>
      <c r="D22" s="126" t="s">
        <v>13</v>
      </c>
      <c r="E22" s="143" t="s">
        <v>2587</v>
      </c>
      <c r="F22" s="143" t="s">
        <v>2588</v>
      </c>
      <c r="G22" s="126" t="s">
        <v>230</v>
      </c>
      <c r="H22" s="126" t="s">
        <v>65</v>
      </c>
      <c r="I22" s="127">
        <v>3.48</v>
      </c>
      <c r="J22" s="127">
        <v>1.29</v>
      </c>
      <c r="K22" s="127"/>
      <c r="L22" s="127"/>
      <c r="M22" s="144">
        <v>770</v>
      </c>
      <c r="N22" s="129">
        <v>10.42</v>
      </c>
      <c r="O22" s="129">
        <v>10.42</v>
      </c>
      <c r="P22" s="129"/>
      <c r="Q22" s="130"/>
      <c r="R22" s="131"/>
      <c r="S22" s="131"/>
      <c r="T22" s="132">
        <v>44599</v>
      </c>
      <c r="U22" s="132"/>
      <c r="V22" s="132"/>
      <c r="W22" s="132"/>
      <c r="X22" s="132"/>
      <c r="Y22" s="133"/>
      <c r="Z22" s="126" t="s">
        <v>64</v>
      </c>
      <c r="AA22" s="134" t="s">
        <v>154</v>
      </c>
      <c r="AB22" s="134" t="s">
        <v>1256</v>
      </c>
      <c r="AC22" s="134"/>
      <c r="AD22" s="134">
        <v>44496</v>
      </c>
      <c r="AE22" s="134"/>
      <c r="AF22" s="134">
        <f t="shared" ca="1" si="1"/>
        <v>44963</v>
      </c>
      <c r="AG22" s="126">
        <f t="shared" ca="1" si="2"/>
        <v>467</v>
      </c>
      <c r="AH22" s="126" t="str">
        <f t="shared" si="3"/>
        <v/>
      </c>
      <c r="AI22" s="134"/>
      <c r="AJ22" s="143" t="s">
        <v>2589</v>
      </c>
      <c r="AK22" s="129">
        <v>10.42</v>
      </c>
      <c r="AL22" s="129">
        <v>10.43</v>
      </c>
      <c r="AM22" s="129">
        <v>10.454999999999998</v>
      </c>
      <c r="AN22" s="129">
        <v>10.459999999999999</v>
      </c>
      <c r="AO22" s="126" t="str">
        <f t="shared" si="4"/>
        <v/>
      </c>
      <c r="AR22" s="99" t="s">
        <v>136</v>
      </c>
    </row>
    <row r="23" spans="1:59" s="99" customFormat="1" ht="21" customHeight="1" x14ac:dyDescent="0.35">
      <c r="A23" s="99">
        <v>421</v>
      </c>
      <c r="B23" s="126" t="str">
        <f t="shared" si="0"/>
        <v>0-304L/1D-003X770</v>
      </c>
      <c r="C23" s="126" t="s">
        <v>2564</v>
      </c>
      <c r="D23" s="126" t="s">
        <v>11</v>
      </c>
      <c r="E23" s="143" t="s">
        <v>2593</v>
      </c>
      <c r="F23" s="143" t="s">
        <v>2594</v>
      </c>
      <c r="G23" s="126" t="s">
        <v>230</v>
      </c>
      <c r="H23" s="126" t="s">
        <v>139</v>
      </c>
      <c r="I23" s="127">
        <v>3.49</v>
      </c>
      <c r="J23" s="127"/>
      <c r="K23" s="127"/>
      <c r="L23" s="127"/>
      <c r="M23" s="144">
        <v>770</v>
      </c>
      <c r="N23" s="129">
        <v>8.1150000000000002</v>
      </c>
      <c r="O23" s="129">
        <v>8.1150000000000002</v>
      </c>
      <c r="P23" s="129"/>
      <c r="Q23" s="130"/>
      <c r="R23" s="131"/>
      <c r="S23" s="131"/>
      <c r="T23" s="132">
        <v>44599</v>
      </c>
      <c r="U23" s="132"/>
      <c r="V23" s="132"/>
      <c r="W23" s="132"/>
      <c r="X23" s="132"/>
      <c r="Y23" s="133"/>
      <c r="Z23" s="126" t="s">
        <v>64</v>
      </c>
      <c r="AA23" s="134" t="s">
        <v>154</v>
      </c>
      <c r="AB23" s="134" t="s">
        <v>1256</v>
      </c>
      <c r="AC23" s="134"/>
      <c r="AD23" s="134">
        <v>44496</v>
      </c>
      <c r="AE23" s="134"/>
      <c r="AF23" s="134">
        <f t="shared" ca="1" si="1"/>
        <v>44963</v>
      </c>
      <c r="AG23" s="126">
        <f t="shared" ca="1" si="2"/>
        <v>467</v>
      </c>
      <c r="AH23" s="126" t="str">
        <f t="shared" si="3"/>
        <v/>
      </c>
      <c r="AI23" s="134"/>
      <c r="AJ23" s="143" t="s">
        <v>2595</v>
      </c>
      <c r="AK23" s="129">
        <v>8.1150000000000002</v>
      </c>
      <c r="AL23" s="129">
        <v>8.125</v>
      </c>
      <c r="AM23" s="129">
        <v>8.1499999999999986</v>
      </c>
      <c r="AN23" s="129">
        <v>8.1549999999999994</v>
      </c>
      <c r="AO23" s="126" t="str">
        <f t="shared" si="4"/>
        <v/>
      </c>
      <c r="AR23" s="99" t="s">
        <v>136</v>
      </c>
    </row>
    <row r="24" spans="1:59" s="99" customFormat="1" ht="21" customHeight="1" x14ac:dyDescent="0.35">
      <c r="A24" s="99">
        <v>422</v>
      </c>
      <c r="B24" s="126" t="str">
        <f t="shared" si="0"/>
        <v>0-304L/FH-001X771</v>
      </c>
      <c r="C24" s="126" t="s">
        <v>2567</v>
      </c>
      <c r="D24" s="126" t="s">
        <v>13</v>
      </c>
      <c r="E24" s="143" t="s">
        <v>2590</v>
      </c>
      <c r="F24" s="143" t="s">
        <v>2591</v>
      </c>
      <c r="G24" s="126" t="s">
        <v>230</v>
      </c>
      <c r="H24" s="126" t="s">
        <v>65</v>
      </c>
      <c r="I24" s="127">
        <v>3.82</v>
      </c>
      <c r="J24" s="127">
        <v>1.39</v>
      </c>
      <c r="K24" s="127"/>
      <c r="L24" s="127"/>
      <c r="M24" s="144">
        <v>771</v>
      </c>
      <c r="N24" s="129">
        <v>12.164999999999999</v>
      </c>
      <c r="O24" s="129">
        <v>12.164999999999999</v>
      </c>
      <c r="P24" s="129"/>
      <c r="Q24" s="130"/>
      <c r="R24" s="131"/>
      <c r="S24" s="131"/>
      <c r="T24" s="132">
        <v>44599</v>
      </c>
      <c r="U24" s="132"/>
      <c r="V24" s="132"/>
      <c r="W24" s="132"/>
      <c r="X24" s="132"/>
      <c r="Y24" s="133"/>
      <c r="Z24" s="126" t="s">
        <v>64</v>
      </c>
      <c r="AA24" s="134" t="s">
        <v>154</v>
      </c>
      <c r="AB24" s="134" t="s">
        <v>1296</v>
      </c>
      <c r="AC24" s="134"/>
      <c r="AD24" s="134">
        <v>44516</v>
      </c>
      <c r="AE24" s="134"/>
      <c r="AF24" s="134">
        <f t="shared" ca="1" si="1"/>
        <v>44963</v>
      </c>
      <c r="AG24" s="126">
        <f t="shared" ca="1" si="2"/>
        <v>447</v>
      </c>
      <c r="AH24" s="126" t="str">
        <f t="shared" si="3"/>
        <v/>
      </c>
      <c r="AI24" s="134"/>
      <c r="AJ24" s="143" t="s">
        <v>2592</v>
      </c>
      <c r="AK24" s="129">
        <v>12.164999999999999</v>
      </c>
      <c r="AL24" s="129">
        <v>12.175000000000001</v>
      </c>
      <c r="AM24" s="129">
        <v>12.2</v>
      </c>
      <c r="AN24" s="129">
        <v>12.205</v>
      </c>
      <c r="AO24" s="126" t="str">
        <f t="shared" si="4"/>
        <v/>
      </c>
      <c r="AR24" s="99" t="s">
        <v>136</v>
      </c>
    </row>
    <row r="25" spans="1:59" s="99" customFormat="1" ht="21" customHeight="1" x14ac:dyDescent="0.35">
      <c r="A25" s="99">
        <v>421</v>
      </c>
      <c r="B25" s="126" t="str">
        <f t="shared" si="0"/>
        <v>0-304L/1D-003X770</v>
      </c>
      <c r="C25" s="126" t="s">
        <v>2596</v>
      </c>
      <c r="D25" s="126" t="s">
        <v>11</v>
      </c>
      <c r="E25" s="143" t="s">
        <v>1232</v>
      </c>
      <c r="F25" s="143" t="s">
        <v>1233</v>
      </c>
      <c r="G25" s="126" t="s">
        <v>230</v>
      </c>
      <c r="H25" s="126" t="s">
        <v>139</v>
      </c>
      <c r="I25" s="127">
        <v>2.88</v>
      </c>
      <c r="J25" s="127"/>
      <c r="K25" s="127"/>
      <c r="L25" s="127"/>
      <c r="M25" s="144">
        <v>770</v>
      </c>
      <c r="N25" s="129">
        <v>7.91</v>
      </c>
      <c r="O25" s="129">
        <v>7.91</v>
      </c>
      <c r="P25" s="129"/>
      <c r="Q25" s="130"/>
      <c r="R25" s="131"/>
      <c r="S25" s="131"/>
      <c r="T25" s="132">
        <v>44600</v>
      </c>
      <c r="U25" s="132"/>
      <c r="V25" s="132"/>
      <c r="W25" s="132"/>
      <c r="X25" s="132"/>
      <c r="Y25" s="133"/>
      <c r="Z25" s="126" t="s">
        <v>64</v>
      </c>
      <c r="AA25" s="134" t="s">
        <v>154</v>
      </c>
      <c r="AB25" s="134" t="s">
        <v>1190</v>
      </c>
      <c r="AC25" s="134"/>
      <c r="AD25" s="134">
        <v>44496</v>
      </c>
      <c r="AE25" s="134"/>
      <c r="AF25" s="134">
        <f t="shared" ca="1" si="1"/>
        <v>44963</v>
      </c>
      <c r="AG25" s="126">
        <f t="shared" ca="1" si="2"/>
        <v>467</v>
      </c>
      <c r="AH25" s="126" t="str">
        <f t="shared" si="3"/>
        <v/>
      </c>
      <c r="AI25" s="134"/>
      <c r="AJ25" s="143" t="s">
        <v>1234</v>
      </c>
      <c r="AK25" s="129">
        <v>7.91</v>
      </c>
      <c r="AL25" s="129">
        <v>7.92</v>
      </c>
      <c r="AM25" s="129">
        <v>7.9450000000000003</v>
      </c>
      <c r="AN25" s="129">
        <v>7.95</v>
      </c>
      <c r="AO25" s="126" t="str">
        <f t="shared" si="4"/>
        <v/>
      </c>
      <c r="AR25" s="99" t="s">
        <v>136</v>
      </c>
    </row>
    <row r="26" spans="1:59" s="99" customFormat="1" ht="21" customHeight="1" x14ac:dyDescent="0.35">
      <c r="A26" s="99">
        <v>421</v>
      </c>
      <c r="B26" s="126" t="str">
        <f t="shared" si="0"/>
        <v>0-304L/FH-001X770</v>
      </c>
      <c r="C26" s="126" t="s">
        <v>2597</v>
      </c>
      <c r="D26" s="126" t="s">
        <v>13</v>
      </c>
      <c r="E26" s="143" t="s">
        <v>2593</v>
      </c>
      <c r="F26" s="143" t="s">
        <v>2594</v>
      </c>
      <c r="G26" s="126" t="s">
        <v>230</v>
      </c>
      <c r="H26" s="126" t="s">
        <v>65</v>
      </c>
      <c r="I26" s="127">
        <v>3.49</v>
      </c>
      <c r="J26" s="127">
        <v>1.29</v>
      </c>
      <c r="K26" s="127"/>
      <c r="L26" s="127"/>
      <c r="M26" s="144">
        <v>770</v>
      </c>
      <c r="N26" s="129">
        <v>8.1150000000000002</v>
      </c>
      <c r="O26" s="129">
        <v>8.1050000000000004</v>
      </c>
      <c r="P26" s="129"/>
      <c r="Q26" s="130"/>
      <c r="R26" s="131"/>
      <c r="S26" s="131"/>
      <c r="T26" s="132">
        <v>44599</v>
      </c>
      <c r="U26" s="132"/>
      <c r="V26" s="132"/>
      <c r="W26" s="132"/>
      <c r="X26" s="132"/>
      <c r="Y26" s="133"/>
      <c r="Z26" s="126" t="s">
        <v>64</v>
      </c>
      <c r="AA26" s="134" t="s">
        <v>154</v>
      </c>
      <c r="AB26" s="134" t="s">
        <v>1256</v>
      </c>
      <c r="AC26" s="134"/>
      <c r="AD26" s="134">
        <v>44496</v>
      </c>
      <c r="AE26" s="134"/>
      <c r="AF26" s="134">
        <f t="shared" ca="1" si="1"/>
        <v>44963</v>
      </c>
      <c r="AG26" s="126">
        <f t="shared" ca="1" si="2"/>
        <v>467</v>
      </c>
      <c r="AH26" s="126" t="str">
        <f t="shared" si="3"/>
        <v/>
      </c>
      <c r="AI26" s="134"/>
      <c r="AJ26" s="143" t="s">
        <v>2595</v>
      </c>
      <c r="AK26" s="129">
        <v>8.1150000000000002</v>
      </c>
      <c r="AL26" s="129">
        <v>8.125</v>
      </c>
      <c r="AM26" s="129">
        <v>8.1499999999999986</v>
      </c>
      <c r="AN26" s="129">
        <v>8.1549999999999994</v>
      </c>
      <c r="AO26" s="126" t="str">
        <f t="shared" si="4"/>
        <v/>
      </c>
      <c r="AR26" s="99" t="s">
        <v>136</v>
      </c>
    </row>
    <row r="27" spans="1:59" s="99" customFormat="1" ht="21" customHeight="1" x14ac:dyDescent="0.35">
      <c r="A27" s="99">
        <v>422</v>
      </c>
      <c r="B27" s="126" t="str">
        <f t="shared" si="0"/>
        <v>0-304L/1D-003X769</v>
      </c>
      <c r="C27" s="126" t="s">
        <v>2596</v>
      </c>
      <c r="D27" s="126" t="s">
        <v>11</v>
      </c>
      <c r="E27" s="143" t="s">
        <v>2598</v>
      </c>
      <c r="F27" s="143" t="s">
        <v>2599</v>
      </c>
      <c r="G27" s="126" t="s">
        <v>230</v>
      </c>
      <c r="H27" s="126" t="s">
        <v>139</v>
      </c>
      <c r="I27" s="127">
        <v>2.91</v>
      </c>
      <c r="J27" s="127"/>
      <c r="K27" s="127"/>
      <c r="L27" s="127"/>
      <c r="M27" s="144">
        <v>769</v>
      </c>
      <c r="N27" s="129">
        <v>7.83</v>
      </c>
      <c r="O27" s="129">
        <v>7.83</v>
      </c>
      <c r="P27" s="129"/>
      <c r="Q27" s="130"/>
      <c r="R27" s="131"/>
      <c r="S27" s="131"/>
      <c r="T27" s="132">
        <v>44600</v>
      </c>
      <c r="U27" s="132"/>
      <c r="V27" s="132"/>
      <c r="W27" s="132"/>
      <c r="X27" s="132"/>
      <c r="Y27" s="133"/>
      <c r="Z27" s="126" t="s">
        <v>64</v>
      </c>
      <c r="AA27" s="134" t="s">
        <v>154</v>
      </c>
      <c r="AB27" s="134" t="s">
        <v>1296</v>
      </c>
      <c r="AC27" s="134"/>
      <c r="AD27" s="134">
        <v>44516</v>
      </c>
      <c r="AE27" s="134"/>
      <c r="AF27" s="134">
        <f t="shared" ca="1" si="1"/>
        <v>44963</v>
      </c>
      <c r="AG27" s="126">
        <f t="shared" ca="1" si="2"/>
        <v>447</v>
      </c>
      <c r="AH27" s="126" t="str">
        <f t="shared" si="3"/>
        <v/>
      </c>
      <c r="AI27" s="134"/>
      <c r="AJ27" s="143" t="s">
        <v>2570</v>
      </c>
      <c r="AK27" s="129">
        <v>7.83</v>
      </c>
      <c r="AL27" s="129">
        <v>7.84</v>
      </c>
      <c r="AM27" s="129">
        <v>7.8650000000000002</v>
      </c>
      <c r="AN27" s="129">
        <v>7.87</v>
      </c>
      <c r="AO27" s="126" t="str">
        <f t="shared" si="4"/>
        <v/>
      </c>
      <c r="AR27" s="99" t="s">
        <v>136</v>
      </c>
    </row>
    <row r="28" spans="1:59" s="99" customFormat="1" ht="21" customHeight="1" x14ac:dyDescent="0.35">
      <c r="A28" s="99">
        <v>421</v>
      </c>
      <c r="B28" s="126" t="str">
        <f t="shared" si="0"/>
        <v>0-304L/FH-001X770</v>
      </c>
      <c r="C28" s="126" t="s">
        <v>2597</v>
      </c>
      <c r="D28" s="126" t="s">
        <v>13</v>
      </c>
      <c r="E28" s="143" t="s">
        <v>1232</v>
      </c>
      <c r="F28" s="143" t="s">
        <v>1233</v>
      </c>
      <c r="G28" s="126" t="s">
        <v>230</v>
      </c>
      <c r="H28" s="126" t="s">
        <v>65</v>
      </c>
      <c r="I28" s="127">
        <v>2.88</v>
      </c>
      <c r="J28" s="127">
        <v>0.8</v>
      </c>
      <c r="K28" s="127"/>
      <c r="L28" s="127"/>
      <c r="M28" s="144">
        <v>770</v>
      </c>
      <c r="N28" s="129">
        <v>7.91</v>
      </c>
      <c r="O28" s="129">
        <v>7.91</v>
      </c>
      <c r="P28" s="129"/>
      <c r="Q28" s="130"/>
      <c r="R28" s="131"/>
      <c r="S28" s="131"/>
      <c r="T28" s="132">
        <v>44600</v>
      </c>
      <c r="U28" s="132"/>
      <c r="V28" s="132"/>
      <c r="W28" s="132"/>
      <c r="X28" s="132"/>
      <c r="Y28" s="133"/>
      <c r="Z28" s="126" t="s">
        <v>64</v>
      </c>
      <c r="AA28" s="134" t="s">
        <v>154</v>
      </c>
      <c r="AB28" s="134" t="s">
        <v>1190</v>
      </c>
      <c r="AC28" s="134"/>
      <c r="AD28" s="134">
        <v>44496</v>
      </c>
      <c r="AE28" s="134"/>
      <c r="AF28" s="134">
        <f t="shared" ca="1" si="1"/>
        <v>44963</v>
      </c>
      <c r="AG28" s="126">
        <f t="shared" ca="1" si="2"/>
        <v>467</v>
      </c>
      <c r="AH28" s="126" t="str">
        <f t="shared" si="3"/>
        <v/>
      </c>
      <c r="AI28" s="134"/>
      <c r="AJ28" s="143" t="s">
        <v>1234</v>
      </c>
      <c r="AK28" s="129">
        <v>7.91</v>
      </c>
      <c r="AL28" s="129">
        <v>7.92</v>
      </c>
      <c r="AM28" s="129">
        <v>7.9450000000000003</v>
      </c>
      <c r="AN28" s="129">
        <v>7.95</v>
      </c>
      <c r="AO28" s="126" t="str">
        <f t="shared" si="4"/>
        <v/>
      </c>
      <c r="AR28" s="99" t="s">
        <v>136</v>
      </c>
    </row>
    <row r="29" spans="1:59" s="99" customFormat="1" ht="21" customHeight="1" x14ac:dyDescent="0.35">
      <c r="A29" s="99">
        <v>422</v>
      </c>
      <c r="B29" s="126" t="str">
        <f t="shared" si="0"/>
        <v>0-304L/1D-003X768</v>
      </c>
      <c r="C29" s="126" t="s">
        <v>2596</v>
      </c>
      <c r="D29" s="126" t="s">
        <v>11</v>
      </c>
      <c r="E29" s="143" t="s">
        <v>2600</v>
      </c>
      <c r="F29" s="143" t="s">
        <v>2601</v>
      </c>
      <c r="G29" s="126" t="s">
        <v>230</v>
      </c>
      <c r="H29" s="126" t="s">
        <v>139</v>
      </c>
      <c r="I29" s="127">
        <v>2.91</v>
      </c>
      <c r="J29" s="127"/>
      <c r="K29" s="127"/>
      <c r="L29" s="127"/>
      <c r="M29" s="144">
        <v>768</v>
      </c>
      <c r="N29" s="129">
        <v>10.5</v>
      </c>
      <c r="O29" s="129">
        <v>10.5</v>
      </c>
      <c r="P29" s="129"/>
      <c r="Q29" s="130"/>
      <c r="R29" s="131"/>
      <c r="S29" s="131"/>
      <c r="T29" s="132">
        <v>44600</v>
      </c>
      <c r="U29" s="132"/>
      <c r="V29" s="132"/>
      <c r="W29" s="132"/>
      <c r="X29" s="132"/>
      <c r="Y29" s="133"/>
      <c r="Z29" s="126" t="s">
        <v>64</v>
      </c>
      <c r="AA29" s="134" t="s">
        <v>154</v>
      </c>
      <c r="AB29" s="134" t="s">
        <v>1296</v>
      </c>
      <c r="AC29" s="134"/>
      <c r="AD29" s="134">
        <v>44516</v>
      </c>
      <c r="AE29" s="134"/>
      <c r="AF29" s="134">
        <f t="shared" ca="1" si="1"/>
        <v>44963</v>
      </c>
      <c r="AG29" s="126">
        <f t="shared" ca="1" si="2"/>
        <v>447</v>
      </c>
      <c r="AH29" s="126" t="str">
        <f t="shared" si="3"/>
        <v/>
      </c>
      <c r="AI29" s="134"/>
      <c r="AJ29" s="143" t="s">
        <v>2602</v>
      </c>
      <c r="AK29" s="129">
        <v>10.5</v>
      </c>
      <c r="AL29" s="129">
        <v>10.51</v>
      </c>
      <c r="AM29" s="129">
        <v>10.534999999999998</v>
      </c>
      <c r="AN29" s="129">
        <v>10.54</v>
      </c>
      <c r="AO29" s="126" t="str">
        <f t="shared" si="4"/>
        <v/>
      </c>
      <c r="AR29" s="99" t="s">
        <v>136</v>
      </c>
    </row>
    <row r="30" spans="1:59" s="99" customFormat="1" ht="21" customHeight="1" x14ac:dyDescent="0.35">
      <c r="A30" s="99">
        <v>422</v>
      </c>
      <c r="B30" s="126" t="str">
        <f t="shared" si="0"/>
        <v>0-304L/FH-001X769</v>
      </c>
      <c r="C30" s="126" t="s">
        <v>2597</v>
      </c>
      <c r="D30" s="126" t="s">
        <v>13</v>
      </c>
      <c r="E30" s="143" t="s">
        <v>2598</v>
      </c>
      <c r="F30" s="143" t="s">
        <v>2599</v>
      </c>
      <c r="G30" s="126" t="s">
        <v>230</v>
      </c>
      <c r="H30" s="126" t="s">
        <v>65</v>
      </c>
      <c r="I30" s="127">
        <v>2.91</v>
      </c>
      <c r="J30" s="127">
        <v>0.95</v>
      </c>
      <c r="K30" s="127"/>
      <c r="L30" s="127"/>
      <c r="M30" s="144">
        <v>769</v>
      </c>
      <c r="N30" s="129">
        <v>7.83</v>
      </c>
      <c r="O30" s="129">
        <v>7.835</v>
      </c>
      <c r="P30" s="129"/>
      <c r="Q30" s="130"/>
      <c r="R30" s="131"/>
      <c r="S30" s="131"/>
      <c r="T30" s="132">
        <v>44600</v>
      </c>
      <c r="U30" s="132"/>
      <c r="V30" s="132"/>
      <c r="W30" s="132"/>
      <c r="X30" s="132"/>
      <c r="Y30" s="133"/>
      <c r="Z30" s="126" t="s">
        <v>64</v>
      </c>
      <c r="AA30" s="134" t="s">
        <v>154</v>
      </c>
      <c r="AB30" s="134" t="s">
        <v>1296</v>
      </c>
      <c r="AC30" s="134"/>
      <c r="AD30" s="134">
        <v>44516</v>
      </c>
      <c r="AE30" s="134"/>
      <c r="AF30" s="134">
        <f t="shared" ca="1" si="1"/>
        <v>44963</v>
      </c>
      <c r="AG30" s="126">
        <f t="shared" ca="1" si="2"/>
        <v>447</v>
      </c>
      <c r="AH30" s="126" t="str">
        <f t="shared" si="3"/>
        <v/>
      </c>
      <c r="AI30" s="134"/>
      <c r="AJ30" s="143" t="s">
        <v>2570</v>
      </c>
      <c r="AK30" s="129">
        <v>7.83</v>
      </c>
      <c r="AL30" s="129">
        <v>7.84</v>
      </c>
      <c r="AM30" s="129">
        <v>7.8650000000000002</v>
      </c>
      <c r="AN30" s="129">
        <v>7.87</v>
      </c>
      <c r="AO30" s="126" t="str">
        <f t="shared" si="4"/>
        <v/>
      </c>
      <c r="AR30" s="99" t="s">
        <v>136</v>
      </c>
    </row>
    <row r="31" spans="1:59" s="99" customFormat="1" ht="21" customHeight="1" x14ac:dyDescent="0.35">
      <c r="A31" s="99">
        <v>421</v>
      </c>
      <c r="B31" s="126" t="str">
        <f t="shared" si="0"/>
        <v>0-304L/2B-002X770</v>
      </c>
      <c r="C31" s="126" t="s">
        <v>2603</v>
      </c>
      <c r="D31" s="126" t="s">
        <v>403</v>
      </c>
      <c r="E31" s="143" t="s">
        <v>1258</v>
      </c>
      <c r="F31" s="143" t="s">
        <v>1259</v>
      </c>
      <c r="G31" s="126" t="s">
        <v>230</v>
      </c>
      <c r="H31" s="126" t="s">
        <v>116</v>
      </c>
      <c r="I31" s="127">
        <v>3.92</v>
      </c>
      <c r="J31" s="127">
        <v>1.88</v>
      </c>
      <c r="K31" s="127">
        <v>1.85</v>
      </c>
      <c r="L31" s="127">
        <v>1.87</v>
      </c>
      <c r="M31" s="144">
        <v>770</v>
      </c>
      <c r="N31" s="129">
        <v>5.3</v>
      </c>
      <c r="O31" s="129">
        <v>5.3</v>
      </c>
      <c r="P31" s="129"/>
      <c r="Q31" s="130" t="s">
        <v>993</v>
      </c>
      <c r="R31" s="131" t="s">
        <v>1143</v>
      </c>
      <c r="S31" s="131" t="s">
        <v>1260</v>
      </c>
      <c r="T31" s="132" t="s">
        <v>1261</v>
      </c>
      <c r="U31" s="132">
        <v>44496</v>
      </c>
      <c r="V31" s="132">
        <v>44497</v>
      </c>
      <c r="W31" s="132"/>
      <c r="X31" s="132"/>
      <c r="Y31" s="133"/>
      <c r="Z31" s="126" t="s">
        <v>64</v>
      </c>
      <c r="AA31" s="134" t="s">
        <v>154</v>
      </c>
      <c r="AB31" s="134" t="s">
        <v>1256</v>
      </c>
      <c r="AC31" s="134"/>
      <c r="AD31" s="134">
        <v>44496</v>
      </c>
      <c r="AE31" s="134"/>
      <c r="AF31" s="134">
        <f t="shared" ca="1" si="1"/>
        <v>44963</v>
      </c>
      <c r="AG31" s="126">
        <f t="shared" ca="1" si="2"/>
        <v>467</v>
      </c>
      <c r="AH31" s="126">
        <f t="shared" ca="1" si="3"/>
        <v>466</v>
      </c>
      <c r="AI31" s="134"/>
      <c r="AJ31" s="143" t="s">
        <v>1263</v>
      </c>
      <c r="AK31" s="129">
        <v>10.425000000000001</v>
      </c>
      <c r="AL31" s="129">
        <v>10.435</v>
      </c>
      <c r="AM31" s="129">
        <v>10.459999999999999</v>
      </c>
      <c r="AN31" s="129">
        <v>10.465</v>
      </c>
      <c r="AO31" s="126">
        <f t="shared" ca="1" si="4"/>
        <v>467</v>
      </c>
      <c r="AR31" s="99" t="s">
        <v>136</v>
      </c>
      <c r="BG31" s="135" t="s">
        <v>1264</v>
      </c>
    </row>
    <row r="32" spans="1:59" s="99" customFormat="1" ht="21" customHeight="1" x14ac:dyDescent="0.35">
      <c r="A32" s="99">
        <v>422</v>
      </c>
      <c r="B32" s="126" t="str">
        <f t="shared" si="0"/>
        <v>0-304L/FH-001X768</v>
      </c>
      <c r="C32" s="126" t="s">
        <v>2597</v>
      </c>
      <c r="D32" s="126" t="s">
        <v>13</v>
      </c>
      <c r="E32" s="143" t="s">
        <v>2600</v>
      </c>
      <c r="F32" s="143" t="s">
        <v>2601</v>
      </c>
      <c r="G32" s="126" t="s">
        <v>230</v>
      </c>
      <c r="H32" s="126" t="s">
        <v>65</v>
      </c>
      <c r="I32" s="127">
        <v>2.91</v>
      </c>
      <c r="J32" s="127">
        <v>0.99</v>
      </c>
      <c r="K32" s="127"/>
      <c r="L32" s="127"/>
      <c r="M32" s="144">
        <v>768</v>
      </c>
      <c r="N32" s="129">
        <v>10.5</v>
      </c>
      <c r="O32" s="129">
        <v>10.54</v>
      </c>
      <c r="P32" s="129"/>
      <c r="Q32" s="130"/>
      <c r="R32" s="131"/>
      <c r="S32" s="131"/>
      <c r="T32" s="132">
        <v>44600</v>
      </c>
      <c r="U32" s="132"/>
      <c r="V32" s="132"/>
      <c r="W32" s="132"/>
      <c r="X32" s="132"/>
      <c r="Y32" s="133"/>
      <c r="Z32" s="126" t="s">
        <v>64</v>
      </c>
      <c r="AA32" s="134" t="s">
        <v>154</v>
      </c>
      <c r="AB32" s="134" t="s">
        <v>1296</v>
      </c>
      <c r="AC32" s="134"/>
      <c r="AD32" s="134">
        <v>44516</v>
      </c>
      <c r="AE32" s="134"/>
      <c r="AF32" s="134">
        <f t="shared" ca="1" si="1"/>
        <v>44963</v>
      </c>
      <c r="AG32" s="126">
        <f t="shared" ca="1" si="2"/>
        <v>447</v>
      </c>
      <c r="AH32" s="126" t="str">
        <f t="shared" si="3"/>
        <v/>
      </c>
      <c r="AI32" s="134"/>
      <c r="AJ32" s="143" t="s">
        <v>2602</v>
      </c>
      <c r="AK32" s="129">
        <v>10.5</v>
      </c>
      <c r="AL32" s="129">
        <v>10.51</v>
      </c>
      <c r="AM32" s="129">
        <v>10.534999999999998</v>
      </c>
      <c r="AN32" s="129">
        <v>10.54</v>
      </c>
      <c r="AO32" s="126" t="str">
        <f t="shared" si="4"/>
        <v/>
      </c>
      <c r="AR32" s="99" t="s">
        <v>136</v>
      </c>
    </row>
    <row r="33" spans="1:59" s="99" customFormat="1" ht="21" customHeight="1" x14ac:dyDescent="0.35">
      <c r="A33" s="99">
        <v>422</v>
      </c>
      <c r="B33" s="126" t="str">
        <f t="shared" si="0"/>
        <v>0-304/2B-002X768</v>
      </c>
      <c r="C33" s="126" t="s">
        <v>2603</v>
      </c>
      <c r="D33" s="126" t="s">
        <v>403</v>
      </c>
      <c r="E33" s="143" t="s">
        <v>1290</v>
      </c>
      <c r="F33" s="143" t="s">
        <v>1291</v>
      </c>
      <c r="G33" s="126">
        <v>304</v>
      </c>
      <c r="H33" s="126" t="s">
        <v>116</v>
      </c>
      <c r="I33" s="127">
        <v>3.99</v>
      </c>
      <c r="J33" s="127">
        <v>1.98</v>
      </c>
      <c r="K33" s="127"/>
      <c r="L33" s="127"/>
      <c r="M33" s="144">
        <v>768</v>
      </c>
      <c r="N33" s="129">
        <v>10.404999999999999</v>
      </c>
      <c r="O33" s="129">
        <v>10.404999999999999</v>
      </c>
      <c r="P33" s="129"/>
      <c r="Q33" s="130" t="s">
        <v>993</v>
      </c>
      <c r="R33" s="130" t="s">
        <v>267</v>
      </c>
      <c r="S33" s="131" t="s">
        <v>1293</v>
      </c>
      <c r="T33" s="132" t="s">
        <v>1294</v>
      </c>
      <c r="U33" s="132">
        <v>44566</v>
      </c>
      <c r="V33" s="132">
        <v>44582</v>
      </c>
      <c r="W33" s="132"/>
      <c r="X33" s="132"/>
      <c r="Y33" s="133"/>
      <c r="Z33" s="126" t="s">
        <v>64</v>
      </c>
      <c r="AA33" s="134" t="s">
        <v>154</v>
      </c>
      <c r="AB33" s="134" t="s">
        <v>1296</v>
      </c>
      <c r="AC33" s="134"/>
      <c r="AD33" s="134">
        <v>44516</v>
      </c>
      <c r="AE33" s="134"/>
      <c r="AF33" s="134">
        <f t="shared" ca="1" si="1"/>
        <v>44963</v>
      </c>
      <c r="AG33" s="126">
        <f t="shared" ca="1" si="2"/>
        <v>447</v>
      </c>
      <c r="AH33" s="126">
        <f t="shared" ca="1" si="3"/>
        <v>381</v>
      </c>
      <c r="AI33" s="134"/>
      <c r="AJ33" s="143" t="s">
        <v>1297</v>
      </c>
      <c r="AK33" s="129">
        <v>10.425000000000001</v>
      </c>
      <c r="AL33" s="129">
        <v>10.435</v>
      </c>
      <c r="AM33" s="129">
        <v>10.459999999999999</v>
      </c>
      <c r="AN33" s="129">
        <v>10.465</v>
      </c>
      <c r="AO33" s="126">
        <f t="shared" ca="1" si="4"/>
        <v>397</v>
      </c>
      <c r="AR33" s="99" t="s">
        <v>136</v>
      </c>
    </row>
    <row r="34" spans="1:59" s="99" customFormat="1" ht="21" customHeight="1" x14ac:dyDescent="0.35">
      <c r="A34" s="99">
        <v>421</v>
      </c>
      <c r="B34" s="126" t="str">
        <f t="shared" si="0"/>
        <v>0-304L/FH-001X770</v>
      </c>
      <c r="C34" s="126" t="s">
        <v>2597</v>
      </c>
      <c r="D34" s="126" t="s">
        <v>13</v>
      </c>
      <c r="E34" s="143" t="s">
        <v>1258</v>
      </c>
      <c r="F34" s="143" t="s">
        <v>1259</v>
      </c>
      <c r="G34" s="126" t="s">
        <v>230</v>
      </c>
      <c r="H34" s="126" t="s">
        <v>65</v>
      </c>
      <c r="I34" s="127">
        <v>1.88</v>
      </c>
      <c r="J34" s="127">
        <v>0.95</v>
      </c>
      <c r="K34" s="127"/>
      <c r="L34" s="127"/>
      <c r="M34" s="144">
        <v>770</v>
      </c>
      <c r="N34" s="129">
        <v>5.3</v>
      </c>
      <c r="O34" s="129">
        <v>5.3</v>
      </c>
      <c r="P34" s="129"/>
      <c r="Q34" s="130" t="s">
        <v>993</v>
      </c>
      <c r="R34" s="131" t="s">
        <v>1143</v>
      </c>
      <c r="S34" s="131" t="s">
        <v>1260</v>
      </c>
      <c r="T34" s="132" t="s">
        <v>1261</v>
      </c>
      <c r="U34" s="132">
        <v>44496</v>
      </c>
      <c r="V34" s="132">
        <v>44497</v>
      </c>
      <c r="W34" s="132"/>
      <c r="X34" s="132"/>
      <c r="Y34" s="133"/>
      <c r="Z34" s="126" t="s">
        <v>64</v>
      </c>
      <c r="AA34" s="134" t="s">
        <v>154</v>
      </c>
      <c r="AB34" s="134" t="s">
        <v>1256</v>
      </c>
      <c r="AC34" s="134"/>
      <c r="AD34" s="134">
        <v>44496</v>
      </c>
      <c r="AE34" s="134"/>
      <c r="AF34" s="134">
        <f t="shared" ca="1" si="1"/>
        <v>44963</v>
      </c>
      <c r="AG34" s="126">
        <f t="shared" ca="1" si="2"/>
        <v>467</v>
      </c>
      <c r="AH34" s="126">
        <f t="shared" ca="1" si="3"/>
        <v>466</v>
      </c>
      <c r="AI34" s="134"/>
      <c r="AJ34" s="143" t="s">
        <v>1263</v>
      </c>
      <c r="AK34" s="129">
        <v>10.425000000000001</v>
      </c>
      <c r="AL34" s="129">
        <v>10.435</v>
      </c>
      <c r="AM34" s="129">
        <v>10.459999999999999</v>
      </c>
      <c r="AN34" s="129">
        <v>10.465</v>
      </c>
      <c r="AO34" s="126">
        <f t="shared" ca="1" si="4"/>
        <v>467</v>
      </c>
      <c r="AR34" s="99" t="s">
        <v>136</v>
      </c>
      <c r="BG34" s="135" t="s">
        <v>1264</v>
      </c>
    </row>
    <row r="35" spans="1:59" s="99" customFormat="1" ht="21" customHeight="1" x14ac:dyDescent="0.35">
      <c r="A35" s="99">
        <v>422</v>
      </c>
      <c r="B35" s="126" t="str">
        <f t="shared" si="0"/>
        <v>0-304L/1D-003X766</v>
      </c>
      <c r="C35" s="126" t="s">
        <v>2596</v>
      </c>
      <c r="D35" s="126" t="s">
        <v>11</v>
      </c>
      <c r="E35" s="143" t="s">
        <v>2604</v>
      </c>
      <c r="F35" s="143" t="s">
        <v>2605</v>
      </c>
      <c r="G35" s="126" t="s">
        <v>230</v>
      </c>
      <c r="H35" s="126" t="s">
        <v>139</v>
      </c>
      <c r="I35" s="127">
        <v>2.91</v>
      </c>
      <c r="J35" s="127"/>
      <c r="K35" s="127"/>
      <c r="L35" s="127"/>
      <c r="M35" s="144">
        <v>766</v>
      </c>
      <c r="N35" s="129">
        <v>8.5549999999999997</v>
      </c>
      <c r="O35" s="129">
        <v>8.5549999999999997</v>
      </c>
      <c r="P35" s="129"/>
      <c r="Q35" s="130"/>
      <c r="R35" s="131"/>
      <c r="S35" s="131"/>
      <c r="T35" s="132">
        <v>44600</v>
      </c>
      <c r="U35" s="132"/>
      <c r="V35" s="132"/>
      <c r="W35" s="132"/>
      <c r="X35" s="132"/>
      <c r="Y35" s="133"/>
      <c r="Z35" s="126" t="s">
        <v>64</v>
      </c>
      <c r="AA35" s="134" t="s">
        <v>154</v>
      </c>
      <c r="AB35" s="134" t="s">
        <v>1296</v>
      </c>
      <c r="AC35" s="134"/>
      <c r="AD35" s="134">
        <v>44516</v>
      </c>
      <c r="AE35" s="134"/>
      <c r="AF35" s="134">
        <f t="shared" ca="1" si="1"/>
        <v>44963</v>
      </c>
      <c r="AG35" s="126">
        <f t="shared" ca="1" si="2"/>
        <v>447</v>
      </c>
      <c r="AH35" s="126" t="str">
        <f t="shared" si="3"/>
        <v/>
      </c>
      <c r="AI35" s="134"/>
      <c r="AJ35" s="143" t="s">
        <v>1304</v>
      </c>
      <c r="AK35" s="129">
        <v>8.5549999999999997</v>
      </c>
      <c r="AL35" s="129">
        <v>8.5649999999999995</v>
      </c>
      <c r="AM35" s="129">
        <v>8.5899999999999981</v>
      </c>
      <c r="AN35" s="129">
        <v>8.5949999999999989</v>
      </c>
      <c r="AO35" s="126" t="str">
        <f t="shared" si="4"/>
        <v/>
      </c>
      <c r="AR35" s="99" t="s">
        <v>136</v>
      </c>
    </row>
    <row r="36" spans="1:59" s="99" customFormat="1" ht="21" customHeight="1" x14ac:dyDescent="0.35">
      <c r="A36" s="99">
        <v>422</v>
      </c>
      <c r="B36" s="126" t="str">
        <f t="shared" si="0"/>
        <v>0-304/FH-001X768</v>
      </c>
      <c r="C36" s="126" t="s">
        <v>2597</v>
      </c>
      <c r="D36" s="126" t="s">
        <v>13</v>
      </c>
      <c r="E36" s="143" t="s">
        <v>1290</v>
      </c>
      <c r="F36" s="143" t="s">
        <v>1291</v>
      </c>
      <c r="G36" s="126">
        <v>304</v>
      </c>
      <c r="H36" s="126" t="s">
        <v>65</v>
      </c>
      <c r="I36" s="127">
        <v>1.98</v>
      </c>
      <c r="J36" s="127">
        <v>0.95</v>
      </c>
      <c r="K36" s="127"/>
      <c r="L36" s="127"/>
      <c r="M36" s="144">
        <v>768</v>
      </c>
      <c r="N36" s="129">
        <v>10.404999999999999</v>
      </c>
      <c r="O36" s="129">
        <v>10.42</v>
      </c>
      <c r="P36" s="129"/>
      <c r="Q36" s="130" t="s">
        <v>993</v>
      </c>
      <c r="R36" s="130" t="s">
        <v>267</v>
      </c>
      <c r="S36" s="131" t="s">
        <v>1293</v>
      </c>
      <c r="T36" s="132" t="s">
        <v>1294</v>
      </c>
      <c r="U36" s="132">
        <v>44566</v>
      </c>
      <c r="V36" s="132">
        <v>44582</v>
      </c>
      <c r="W36" s="132"/>
      <c r="X36" s="132"/>
      <c r="Y36" s="133"/>
      <c r="Z36" s="126" t="s">
        <v>64</v>
      </c>
      <c r="AA36" s="134" t="s">
        <v>154</v>
      </c>
      <c r="AB36" s="134" t="s">
        <v>1296</v>
      </c>
      <c r="AC36" s="134"/>
      <c r="AD36" s="134">
        <v>44516</v>
      </c>
      <c r="AE36" s="134"/>
      <c r="AF36" s="134">
        <f t="shared" ca="1" si="1"/>
        <v>44963</v>
      </c>
      <c r="AG36" s="126">
        <f t="shared" ca="1" si="2"/>
        <v>447</v>
      </c>
      <c r="AH36" s="126">
        <f t="shared" ca="1" si="3"/>
        <v>381</v>
      </c>
      <c r="AI36" s="134"/>
      <c r="AJ36" s="143" t="s">
        <v>1297</v>
      </c>
      <c r="AK36" s="129">
        <v>10.425000000000001</v>
      </c>
      <c r="AL36" s="129">
        <v>10.435</v>
      </c>
      <c r="AM36" s="129">
        <v>10.459999999999999</v>
      </c>
      <c r="AN36" s="129">
        <v>10.465</v>
      </c>
      <c r="AO36" s="126">
        <f t="shared" ca="1" si="4"/>
        <v>397</v>
      </c>
      <c r="AR36" s="99" t="s">
        <v>136</v>
      </c>
    </row>
    <row r="37" spans="1:59" s="99" customFormat="1" ht="21" customHeight="1" x14ac:dyDescent="0.35">
      <c r="A37" s="99">
        <v>422</v>
      </c>
      <c r="B37" s="126" t="str">
        <f t="shared" si="0"/>
        <v>0-304L/1D-003X765</v>
      </c>
      <c r="C37" s="126" t="s">
        <v>2596</v>
      </c>
      <c r="D37" s="126" t="s">
        <v>11</v>
      </c>
      <c r="E37" s="143" t="s">
        <v>1302</v>
      </c>
      <c r="F37" s="143" t="s">
        <v>1303</v>
      </c>
      <c r="G37" s="126" t="s">
        <v>230</v>
      </c>
      <c r="H37" s="126" t="s">
        <v>139</v>
      </c>
      <c r="I37" s="127">
        <v>2.9</v>
      </c>
      <c r="J37" s="127"/>
      <c r="K37" s="127"/>
      <c r="L37" s="127"/>
      <c r="M37" s="144">
        <v>765</v>
      </c>
      <c r="N37" s="129">
        <v>8.5350000000000001</v>
      </c>
      <c r="O37" s="129">
        <v>8.5350000000000001</v>
      </c>
      <c r="P37" s="129"/>
      <c r="Q37" s="130"/>
      <c r="R37" s="131"/>
      <c r="S37" s="131"/>
      <c r="T37" s="132">
        <v>44600</v>
      </c>
      <c r="U37" s="132"/>
      <c r="V37" s="132"/>
      <c r="W37" s="132"/>
      <c r="X37" s="132"/>
      <c r="Y37" s="133"/>
      <c r="Z37" s="126" t="s">
        <v>64</v>
      </c>
      <c r="AA37" s="134" t="s">
        <v>154</v>
      </c>
      <c r="AB37" s="134" t="s">
        <v>1296</v>
      </c>
      <c r="AC37" s="134"/>
      <c r="AD37" s="134">
        <v>44516</v>
      </c>
      <c r="AE37" s="134"/>
      <c r="AF37" s="134">
        <f t="shared" ca="1" si="1"/>
        <v>44963</v>
      </c>
      <c r="AG37" s="126">
        <f t="shared" ca="1" si="2"/>
        <v>447</v>
      </c>
      <c r="AH37" s="126" t="str">
        <f t="shared" si="3"/>
        <v/>
      </c>
      <c r="AI37" s="134"/>
      <c r="AJ37" s="143" t="s">
        <v>1304</v>
      </c>
      <c r="AK37" s="129">
        <v>8.5350000000000001</v>
      </c>
      <c r="AL37" s="129">
        <v>8.5449999999999999</v>
      </c>
      <c r="AM37" s="129">
        <v>8.5699999999999985</v>
      </c>
      <c r="AN37" s="129">
        <v>8.5749999999999993</v>
      </c>
      <c r="AO37" s="126" t="str">
        <f t="shared" si="4"/>
        <v/>
      </c>
      <c r="AR37" s="99" t="s">
        <v>136</v>
      </c>
    </row>
    <row r="38" spans="1:59" s="99" customFormat="1" ht="21" customHeight="1" x14ac:dyDescent="0.35">
      <c r="A38" s="99">
        <v>422</v>
      </c>
      <c r="B38" s="126" t="str">
        <f t="shared" si="0"/>
        <v>0-304L/FH-001X766</v>
      </c>
      <c r="C38" s="126" t="s">
        <v>2597</v>
      </c>
      <c r="D38" s="126" t="s">
        <v>13</v>
      </c>
      <c r="E38" s="143" t="s">
        <v>2604</v>
      </c>
      <c r="F38" s="143" t="s">
        <v>2605</v>
      </c>
      <c r="G38" s="126" t="s">
        <v>230</v>
      </c>
      <c r="H38" s="126" t="s">
        <v>65</v>
      </c>
      <c r="I38" s="127">
        <v>2.91</v>
      </c>
      <c r="J38" s="127">
        <v>0.95</v>
      </c>
      <c r="K38" s="127"/>
      <c r="L38" s="127"/>
      <c r="M38" s="144">
        <v>766</v>
      </c>
      <c r="N38" s="129">
        <v>8.5549999999999997</v>
      </c>
      <c r="O38" s="129">
        <v>8.5449999999999999</v>
      </c>
      <c r="P38" s="129"/>
      <c r="Q38" s="130"/>
      <c r="R38" s="131"/>
      <c r="S38" s="131"/>
      <c r="T38" s="132">
        <v>44600</v>
      </c>
      <c r="U38" s="132"/>
      <c r="V38" s="132"/>
      <c r="W38" s="132"/>
      <c r="X38" s="132"/>
      <c r="Y38" s="133"/>
      <c r="Z38" s="126" t="s">
        <v>64</v>
      </c>
      <c r="AA38" s="134" t="s">
        <v>154</v>
      </c>
      <c r="AB38" s="134" t="s">
        <v>1296</v>
      </c>
      <c r="AC38" s="134"/>
      <c r="AD38" s="134">
        <v>44516</v>
      </c>
      <c r="AE38" s="134"/>
      <c r="AF38" s="134">
        <f t="shared" ca="1" si="1"/>
        <v>44963</v>
      </c>
      <c r="AG38" s="126">
        <f t="shared" ca="1" si="2"/>
        <v>447</v>
      </c>
      <c r="AH38" s="126" t="str">
        <f t="shared" si="3"/>
        <v/>
      </c>
      <c r="AI38" s="134"/>
      <c r="AJ38" s="143" t="s">
        <v>1304</v>
      </c>
      <c r="AK38" s="129">
        <v>8.5549999999999997</v>
      </c>
      <c r="AL38" s="129">
        <v>8.5649999999999995</v>
      </c>
      <c r="AM38" s="129">
        <v>8.5899999999999981</v>
      </c>
      <c r="AN38" s="129">
        <v>8.5949999999999989</v>
      </c>
      <c r="AO38" s="126" t="str">
        <f t="shared" si="4"/>
        <v/>
      </c>
      <c r="AR38" s="99" t="s">
        <v>136</v>
      </c>
    </row>
    <row r="39" spans="1:59" s="99" customFormat="1" ht="21" customHeight="1" x14ac:dyDescent="0.35">
      <c r="A39" s="99">
        <v>422</v>
      </c>
      <c r="B39" s="126" t="str">
        <f t="shared" si="0"/>
        <v>0-304L/1D-003X766</v>
      </c>
      <c r="C39" s="126" t="s">
        <v>2596</v>
      </c>
      <c r="D39" s="126" t="s">
        <v>11</v>
      </c>
      <c r="E39" s="143" t="s">
        <v>1348</v>
      </c>
      <c r="F39" s="143" t="s">
        <v>1349</v>
      </c>
      <c r="G39" s="126" t="s">
        <v>230</v>
      </c>
      <c r="H39" s="126" t="s">
        <v>139</v>
      </c>
      <c r="I39" s="127">
        <v>2.91</v>
      </c>
      <c r="J39" s="127"/>
      <c r="K39" s="127"/>
      <c r="L39" s="127"/>
      <c r="M39" s="144">
        <v>766</v>
      </c>
      <c r="N39" s="129">
        <v>8.7200000000000006</v>
      </c>
      <c r="O39" s="129">
        <v>8.7200000000000006</v>
      </c>
      <c r="P39" s="129"/>
      <c r="Q39" s="130"/>
      <c r="R39" s="131"/>
      <c r="S39" s="131"/>
      <c r="T39" s="132">
        <v>44600</v>
      </c>
      <c r="U39" s="132"/>
      <c r="V39" s="132"/>
      <c r="W39" s="132"/>
      <c r="X39" s="132"/>
      <c r="Y39" s="133"/>
      <c r="Z39" s="126" t="s">
        <v>64</v>
      </c>
      <c r="AA39" s="134" t="s">
        <v>154</v>
      </c>
      <c r="AB39" s="134" t="s">
        <v>1330</v>
      </c>
      <c r="AC39" s="134"/>
      <c r="AD39" s="134">
        <v>44516</v>
      </c>
      <c r="AE39" s="134"/>
      <c r="AF39" s="134">
        <f t="shared" ca="1" si="1"/>
        <v>44963</v>
      </c>
      <c r="AG39" s="126">
        <f t="shared" ca="1" si="2"/>
        <v>447</v>
      </c>
      <c r="AH39" s="126" t="str">
        <f t="shared" si="3"/>
        <v/>
      </c>
      <c r="AI39" s="134"/>
      <c r="AJ39" s="143" t="s">
        <v>1350</v>
      </c>
      <c r="AK39" s="129">
        <v>8.7200000000000006</v>
      </c>
      <c r="AL39" s="129">
        <v>8.73</v>
      </c>
      <c r="AM39" s="129">
        <v>8.754999999999999</v>
      </c>
      <c r="AN39" s="129">
        <v>8.76</v>
      </c>
      <c r="AO39" s="126" t="str">
        <f t="shared" si="4"/>
        <v/>
      </c>
      <c r="AR39" s="99" t="s">
        <v>136</v>
      </c>
    </row>
    <row r="40" spans="1:59" s="99" customFormat="1" ht="21" customHeight="1" x14ac:dyDescent="0.35">
      <c r="A40" s="99">
        <v>422</v>
      </c>
      <c r="B40" s="126" t="str">
        <f t="shared" si="0"/>
        <v>0-304L/FH-001X765</v>
      </c>
      <c r="C40" s="126" t="s">
        <v>2597</v>
      </c>
      <c r="D40" s="126" t="s">
        <v>13</v>
      </c>
      <c r="E40" s="143" t="s">
        <v>1302</v>
      </c>
      <c r="F40" s="143" t="s">
        <v>1303</v>
      </c>
      <c r="G40" s="126" t="s">
        <v>230</v>
      </c>
      <c r="H40" s="126" t="s">
        <v>65</v>
      </c>
      <c r="I40" s="127">
        <v>2.9</v>
      </c>
      <c r="J40" s="127">
        <v>0.95</v>
      </c>
      <c r="K40" s="127"/>
      <c r="L40" s="127"/>
      <c r="M40" s="144">
        <v>765</v>
      </c>
      <c r="N40" s="129">
        <v>8.5350000000000001</v>
      </c>
      <c r="O40" s="129">
        <v>8.5350000000000001</v>
      </c>
      <c r="P40" s="129"/>
      <c r="Q40" s="130"/>
      <c r="R40" s="131"/>
      <c r="S40" s="131"/>
      <c r="T40" s="132">
        <v>44600</v>
      </c>
      <c r="U40" s="132"/>
      <c r="V40" s="132"/>
      <c r="W40" s="132"/>
      <c r="X40" s="132"/>
      <c r="Y40" s="133"/>
      <c r="Z40" s="126" t="s">
        <v>64</v>
      </c>
      <c r="AA40" s="134" t="s">
        <v>154</v>
      </c>
      <c r="AB40" s="134" t="s">
        <v>1296</v>
      </c>
      <c r="AC40" s="134"/>
      <c r="AD40" s="134">
        <v>44516</v>
      </c>
      <c r="AE40" s="134"/>
      <c r="AF40" s="134">
        <f t="shared" ca="1" si="1"/>
        <v>44963</v>
      </c>
      <c r="AG40" s="126">
        <f t="shared" ca="1" si="2"/>
        <v>447</v>
      </c>
      <c r="AH40" s="126" t="str">
        <f t="shared" si="3"/>
        <v/>
      </c>
      <c r="AI40" s="134"/>
      <c r="AJ40" s="143" t="s">
        <v>1304</v>
      </c>
      <c r="AK40" s="129">
        <v>8.5350000000000001</v>
      </c>
      <c r="AL40" s="129">
        <v>8.5449999999999999</v>
      </c>
      <c r="AM40" s="129">
        <v>8.5699999999999985</v>
      </c>
      <c r="AN40" s="129">
        <v>8.5749999999999993</v>
      </c>
      <c r="AO40" s="126" t="str">
        <f t="shared" si="4"/>
        <v/>
      </c>
      <c r="AR40" s="99" t="s">
        <v>136</v>
      </c>
    </row>
    <row r="41" spans="1:59" s="99" customFormat="1" ht="21" customHeight="1" x14ac:dyDescent="0.35">
      <c r="A41" s="99">
        <v>424</v>
      </c>
      <c r="B41" s="126" t="str">
        <f t="shared" si="0"/>
        <v>0-304L/1D-003X770</v>
      </c>
      <c r="C41" s="126" t="s">
        <v>2596</v>
      </c>
      <c r="D41" s="126" t="s">
        <v>11</v>
      </c>
      <c r="E41" s="143" t="s">
        <v>2606</v>
      </c>
      <c r="F41" s="143" t="s">
        <v>2607</v>
      </c>
      <c r="G41" s="126" t="s">
        <v>230</v>
      </c>
      <c r="H41" s="126" t="s">
        <v>139</v>
      </c>
      <c r="I41" s="127">
        <v>3.37</v>
      </c>
      <c r="J41" s="127"/>
      <c r="K41" s="127"/>
      <c r="L41" s="127"/>
      <c r="M41" s="144">
        <v>770</v>
      </c>
      <c r="N41" s="129">
        <v>10.414999999999999</v>
      </c>
      <c r="O41" s="129">
        <v>10.414999999999999</v>
      </c>
      <c r="P41" s="129"/>
      <c r="Q41" s="130"/>
      <c r="R41" s="131"/>
      <c r="S41" s="131"/>
      <c r="T41" s="132">
        <v>44600</v>
      </c>
      <c r="U41" s="132"/>
      <c r="V41" s="132"/>
      <c r="W41" s="132"/>
      <c r="X41" s="132"/>
      <c r="Y41" s="133" t="s">
        <v>1395</v>
      </c>
      <c r="Z41" s="126" t="s">
        <v>64</v>
      </c>
      <c r="AA41" s="134" t="s">
        <v>154</v>
      </c>
      <c r="AB41" s="134" t="s">
        <v>1516</v>
      </c>
      <c r="AC41" s="134"/>
      <c r="AD41" s="134">
        <v>44554</v>
      </c>
      <c r="AE41" s="134"/>
      <c r="AF41" s="134">
        <f t="shared" ca="1" si="1"/>
        <v>44963</v>
      </c>
      <c r="AG41" s="126">
        <f t="shared" ca="1" si="2"/>
        <v>409</v>
      </c>
      <c r="AH41" s="126" t="str">
        <f t="shared" si="3"/>
        <v/>
      </c>
      <c r="AI41" s="134"/>
      <c r="AJ41" s="143" t="s">
        <v>2608</v>
      </c>
      <c r="AK41" s="129">
        <v>10.414999999999999</v>
      </c>
      <c r="AL41" s="129">
        <v>10.425000000000001</v>
      </c>
      <c r="AM41" s="129">
        <v>10.45</v>
      </c>
      <c r="AN41" s="129">
        <v>10.455</v>
      </c>
      <c r="AO41" s="126" t="str">
        <f t="shared" si="4"/>
        <v/>
      </c>
      <c r="AR41" s="99" t="s">
        <v>136</v>
      </c>
    </row>
    <row r="42" spans="1:59" s="99" customFormat="1" ht="21" customHeight="1" x14ac:dyDescent="0.35">
      <c r="A42" s="99">
        <v>424</v>
      </c>
      <c r="B42" s="126" t="str">
        <f t="shared" si="0"/>
        <v>0-304L/1D-003X769</v>
      </c>
      <c r="C42" s="126" t="s">
        <v>2596</v>
      </c>
      <c r="D42" s="126" t="s">
        <v>11</v>
      </c>
      <c r="E42" s="143" t="s">
        <v>2609</v>
      </c>
      <c r="F42" s="143" t="s">
        <v>2610</v>
      </c>
      <c r="G42" s="126" t="s">
        <v>230</v>
      </c>
      <c r="H42" s="126" t="s">
        <v>139</v>
      </c>
      <c r="I42" s="127">
        <v>3.37</v>
      </c>
      <c r="J42" s="127"/>
      <c r="K42" s="127"/>
      <c r="L42" s="127"/>
      <c r="M42" s="144">
        <v>769</v>
      </c>
      <c r="N42" s="129">
        <v>10.385</v>
      </c>
      <c r="O42" s="129">
        <v>10.385</v>
      </c>
      <c r="P42" s="129"/>
      <c r="Q42" s="130"/>
      <c r="R42" s="131"/>
      <c r="S42" s="131"/>
      <c r="T42" s="132">
        <v>44600</v>
      </c>
      <c r="U42" s="132"/>
      <c r="V42" s="132"/>
      <c r="W42" s="132"/>
      <c r="X42" s="132"/>
      <c r="Y42" s="133" t="s">
        <v>1395</v>
      </c>
      <c r="Z42" s="126" t="s">
        <v>64</v>
      </c>
      <c r="AA42" s="134" t="s">
        <v>154</v>
      </c>
      <c r="AB42" s="134" t="s">
        <v>1516</v>
      </c>
      <c r="AC42" s="134"/>
      <c r="AD42" s="134">
        <v>44554</v>
      </c>
      <c r="AE42" s="134"/>
      <c r="AF42" s="134">
        <f t="shared" ca="1" si="1"/>
        <v>44963</v>
      </c>
      <c r="AG42" s="126">
        <f t="shared" ca="1" si="2"/>
        <v>409</v>
      </c>
      <c r="AH42" s="126" t="str">
        <f t="shared" si="3"/>
        <v/>
      </c>
      <c r="AI42" s="134"/>
      <c r="AJ42" s="143" t="s">
        <v>2611</v>
      </c>
      <c r="AK42" s="129">
        <v>10.385</v>
      </c>
      <c r="AL42" s="129">
        <v>10.395</v>
      </c>
      <c r="AM42" s="129">
        <v>10.419999999999998</v>
      </c>
      <c r="AN42" s="129">
        <v>10.424999999999999</v>
      </c>
      <c r="AO42" s="126" t="str">
        <f t="shared" si="4"/>
        <v/>
      </c>
      <c r="AR42" s="99" t="s">
        <v>136</v>
      </c>
    </row>
    <row r="43" spans="1:59" s="99" customFormat="1" ht="21" customHeight="1" x14ac:dyDescent="0.35">
      <c r="A43" s="99">
        <v>422</v>
      </c>
      <c r="B43" s="126" t="str">
        <f t="shared" si="0"/>
        <v>0-304L/FH-001X766</v>
      </c>
      <c r="C43" s="126" t="s">
        <v>2597</v>
      </c>
      <c r="D43" s="126" t="s">
        <v>13</v>
      </c>
      <c r="E43" s="143" t="s">
        <v>1348</v>
      </c>
      <c r="F43" s="143" t="s">
        <v>1349</v>
      </c>
      <c r="G43" s="126" t="s">
        <v>230</v>
      </c>
      <c r="H43" s="126" t="s">
        <v>65</v>
      </c>
      <c r="I43" s="127">
        <v>2.91</v>
      </c>
      <c r="J43" s="127">
        <v>0.95</v>
      </c>
      <c r="K43" s="127"/>
      <c r="L43" s="127"/>
      <c r="M43" s="144">
        <v>766</v>
      </c>
      <c r="N43" s="129">
        <v>8.7200000000000006</v>
      </c>
      <c r="O43" s="129">
        <v>8.7149999999999999</v>
      </c>
      <c r="P43" s="129"/>
      <c r="Q43" s="130"/>
      <c r="R43" s="131"/>
      <c r="S43" s="131"/>
      <c r="T43" s="132">
        <v>44600</v>
      </c>
      <c r="U43" s="132"/>
      <c r="V43" s="132"/>
      <c r="W43" s="132"/>
      <c r="X43" s="132"/>
      <c r="Y43" s="133"/>
      <c r="Z43" s="126" t="s">
        <v>64</v>
      </c>
      <c r="AA43" s="134" t="s">
        <v>154</v>
      </c>
      <c r="AB43" s="134" t="s">
        <v>1330</v>
      </c>
      <c r="AC43" s="134"/>
      <c r="AD43" s="134">
        <v>44516</v>
      </c>
      <c r="AE43" s="134"/>
      <c r="AF43" s="134">
        <f t="shared" ca="1" si="1"/>
        <v>44963</v>
      </c>
      <c r="AG43" s="126">
        <f t="shared" ca="1" si="2"/>
        <v>447</v>
      </c>
      <c r="AH43" s="126" t="str">
        <f t="shared" si="3"/>
        <v/>
      </c>
      <c r="AI43" s="134"/>
      <c r="AJ43" s="143" t="s">
        <v>1350</v>
      </c>
      <c r="AK43" s="129">
        <v>8.7200000000000006</v>
      </c>
      <c r="AL43" s="129">
        <v>8.73</v>
      </c>
      <c r="AM43" s="129">
        <v>8.754999999999999</v>
      </c>
      <c r="AN43" s="129">
        <v>8.76</v>
      </c>
      <c r="AO43" s="126" t="str">
        <f t="shared" si="4"/>
        <v/>
      </c>
      <c r="AR43" s="99" t="s">
        <v>136</v>
      </c>
    </row>
    <row r="44" spans="1:59" s="99" customFormat="1" ht="21" customHeight="1" x14ac:dyDescent="0.35">
      <c r="A44" s="99">
        <v>421</v>
      </c>
      <c r="B44" s="126" t="str">
        <f t="shared" si="0"/>
        <v>0-304L/1D-004X770</v>
      </c>
      <c r="C44" s="126" t="s">
        <v>2596</v>
      </c>
      <c r="D44" s="126" t="s">
        <v>11</v>
      </c>
      <c r="E44" s="143" t="s">
        <v>2612</v>
      </c>
      <c r="F44" s="143" t="s">
        <v>2613</v>
      </c>
      <c r="G44" s="126" t="s">
        <v>230</v>
      </c>
      <c r="H44" s="126" t="s">
        <v>139</v>
      </c>
      <c r="I44" s="127">
        <v>3.5</v>
      </c>
      <c r="J44" s="127"/>
      <c r="K44" s="127"/>
      <c r="L44" s="127"/>
      <c r="M44" s="144">
        <v>770</v>
      </c>
      <c r="N44" s="129">
        <v>10.34</v>
      </c>
      <c r="O44" s="129">
        <v>10.34</v>
      </c>
      <c r="P44" s="129"/>
      <c r="Q44" s="130"/>
      <c r="R44" s="131"/>
      <c r="S44" s="131"/>
      <c r="T44" s="132">
        <v>44600</v>
      </c>
      <c r="U44" s="132"/>
      <c r="V44" s="132"/>
      <c r="W44" s="132"/>
      <c r="X44" s="132"/>
      <c r="Y44" s="133"/>
      <c r="Z44" s="126" t="s">
        <v>64</v>
      </c>
      <c r="AA44" s="134" t="s">
        <v>154</v>
      </c>
      <c r="AB44" s="134" t="s">
        <v>1256</v>
      </c>
      <c r="AC44" s="134"/>
      <c r="AD44" s="134">
        <v>44496</v>
      </c>
      <c r="AE44" s="134"/>
      <c r="AF44" s="134">
        <f t="shared" ca="1" si="1"/>
        <v>44963</v>
      </c>
      <c r="AG44" s="126">
        <f t="shared" ca="1" si="2"/>
        <v>467</v>
      </c>
      <c r="AH44" s="126" t="str">
        <f t="shared" si="3"/>
        <v/>
      </c>
      <c r="AI44" s="134"/>
      <c r="AJ44" s="143" t="s">
        <v>2614</v>
      </c>
      <c r="AK44" s="129">
        <v>10.34</v>
      </c>
      <c r="AL44" s="129">
        <v>10.35</v>
      </c>
      <c r="AM44" s="129">
        <v>10.374999999999998</v>
      </c>
      <c r="AN44" s="129">
        <v>10.379999999999999</v>
      </c>
      <c r="AO44" s="126" t="str">
        <f t="shared" si="4"/>
        <v/>
      </c>
      <c r="AR44" s="99" t="s">
        <v>136</v>
      </c>
    </row>
    <row r="45" spans="1:59" s="99" customFormat="1" ht="21" customHeight="1" x14ac:dyDescent="0.35">
      <c r="A45" s="99">
        <v>424</v>
      </c>
      <c r="B45" s="126" t="str">
        <f t="shared" si="0"/>
        <v>0-304L/FH-001X770</v>
      </c>
      <c r="C45" s="126" t="s">
        <v>2597</v>
      </c>
      <c r="D45" s="126" t="s">
        <v>13</v>
      </c>
      <c r="E45" s="143" t="s">
        <v>2606</v>
      </c>
      <c r="F45" s="143" t="s">
        <v>2607</v>
      </c>
      <c r="G45" s="126" t="s">
        <v>230</v>
      </c>
      <c r="H45" s="126" t="s">
        <v>65</v>
      </c>
      <c r="I45" s="127">
        <v>3.37</v>
      </c>
      <c r="J45" s="127">
        <v>1.2</v>
      </c>
      <c r="K45" s="127"/>
      <c r="L45" s="127"/>
      <c r="M45" s="144">
        <v>770</v>
      </c>
      <c r="N45" s="129">
        <v>10.414999999999999</v>
      </c>
      <c r="O45" s="129">
        <v>10.425000000000001</v>
      </c>
      <c r="P45" s="129"/>
      <c r="Q45" s="130"/>
      <c r="R45" s="131"/>
      <c r="S45" s="131"/>
      <c r="T45" s="132">
        <v>44600</v>
      </c>
      <c r="U45" s="132"/>
      <c r="V45" s="132"/>
      <c r="W45" s="132"/>
      <c r="X45" s="132"/>
      <c r="Y45" s="133" t="s">
        <v>1395</v>
      </c>
      <c r="Z45" s="126" t="s">
        <v>64</v>
      </c>
      <c r="AA45" s="134" t="s">
        <v>154</v>
      </c>
      <c r="AB45" s="134" t="s">
        <v>1516</v>
      </c>
      <c r="AC45" s="134"/>
      <c r="AD45" s="134">
        <v>44554</v>
      </c>
      <c r="AE45" s="134"/>
      <c r="AF45" s="134">
        <f t="shared" ca="1" si="1"/>
        <v>44963</v>
      </c>
      <c r="AG45" s="126">
        <f t="shared" ca="1" si="2"/>
        <v>409</v>
      </c>
      <c r="AH45" s="126" t="str">
        <f t="shared" si="3"/>
        <v/>
      </c>
      <c r="AI45" s="134"/>
      <c r="AJ45" s="143" t="s">
        <v>2608</v>
      </c>
      <c r="AK45" s="129">
        <v>10.414999999999999</v>
      </c>
      <c r="AL45" s="129">
        <v>10.425000000000001</v>
      </c>
      <c r="AM45" s="129">
        <v>10.45</v>
      </c>
      <c r="AN45" s="129">
        <v>10.455</v>
      </c>
      <c r="AO45" s="126" t="str">
        <f t="shared" si="4"/>
        <v/>
      </c>
      <c r="AR45" s="99" t="s">
        <v>136</v>
      </c>
    </row>
    <row r="46" spans="1:59" s="99" customFormat="1" ht="21" customHeight="1" x14ac:dyDescent="0.35">
      <c r="A46" s="99">
        <v>422</v>
      </c>
      <c r="B46" s="126" t="str">
        <f t="shared" si="0"/>
        <v>0-304L/1D-004X770</v>
      </c>
      <c r="C46" s="126" t="s">
        <v>2615</v>
      </c>
      <c r="D46" s="126" t="s">
        <v>11</v>
      </c>
      <c r="E46" s="143" t="s">
        <v>2616</v>
      </c>
      <c r="F46" s="143" t="s">
        <v>2617</v>
      </c>
      <c r="G46" s="126" t="s">
        <v>230</v>
      </c>
      <c r="H46" s="126" t="s">
        <v>139</v>
      </c>
      <c r="I46" s="127">
        <v>3.81</v>
      </c>
      <c r="J46" s="127"/>
      <c r="K46" s="127"/>
      <c r="L46" s="127"/>
      <c r="M46" s="144">
        <v>770</v>
      </c>
      <c r="N46" s="129">
        <v>11.95</v>
      </c>
      <c r="O46" s="129">
        <v>11.95</v>
      </c>
      <c r="P46" s="129"/>
      <c r="Q46" s="130"/>
      <c r="R46" s="131"/>
      <c r="S46" s="131"/>
      <c r="T46" s="132">
        <v>44601</v>
      </c>
      <c r="U46" s="132"/>
      <c r="V46" s="132"/>
      <c r="W46" s="132"/>
      <c r="X46" s="132"/>
      <c r="Y46" s="133"/>
      <c r="Z46" s="126" t="s">
        <v>64</v>
      </c>
      <c r="AA46" s="134" t="s">
        <v>154</v>
      </c>
      <c r="AB46" s="134" t="s">
        <v>1296</v>
      </c>
      <c r="AC46" s="134"/>
      <c r="AD46" s="134">
        <v>44516</v>
      </c>
      <c r="AE46" s="134"/>
      <c r="AF46" s="134">
        <f t="shared" ca="1" si="1"/>
        <v>44963</v>
      </c>
      <c r="AG46" s="126">
        <f t="shared" ca="1" si="2"/>
        <v>447</v>
      </c>
      <c r="AH46" s="126" t="str">
        <f t="shared" si="3"/>
        <v/>
      </c>
      <c r="AI46" s="134"/>
      <c r="AJ46" s="143" t="s">
        <v>2618</v>
      </c>
      <c r="AK46" s="129">
        <v>11.95</v>
      </c>
      <c r="AL46" s="129">
        <v>11.96</v>
      </c>
      <c r="AM46" s="129">
        <v>11.984999999999999</v>
      </c>
      <c r="AN46" s="129">
        <v>11.99</v>
      </c>
      <c r="AO46" s="126" t="str">
        <f t="shared" si="4"/>
        <v/>
      </c>
      <c r="AR46" s="99" t="s">
        <v>136</v>
      </c>
    </row>
    <row r="47" spans="1:59" s="99" customFormat="1" ht="21" customHeight="1" x14ac:dyDescent="0.35">
      <c r="A47" s="99">
        <v>421</v>
      </c>
      <c r="B47" s="126" t="str">
        <f t="shared" si="0"/>
        <v>0-304L/FH-001X770</v>
      </c>
      <c r="C47" s="126" t="s">
        <v>2619</v>
      </c>
      <c r="D47" s="126" t="s">
        <v>13</v>
      </c>
      <c r="E47" s="143" t="s">
        <v>2612</v>
      </c>
      <c r="F47" s="143" t="s">
        <v>2613</v>
      </c>
      <c r="G47" s="126" t="s">
        <v>230</v>
      </c>
      <c r="H47" s="126" t="s">
        <v>65</v>
      </c>
      <c r="I47" s="127">
        <v>3.5</v>
      </c>
      <c r="J47" s="127">
        <v>1.2</v>
      </c>
      <c r="K47" s="127"/>
      <c r="L47" s="127"/>
      <c r="M47" s="144">
        <v>770</v>
      </c>
      <c r="N47" s="129">
        <v>10.34</v>
      </c>
      <c r="O47" s="129">
        <v>10.365</v>
      </c>
      <c r="P47" s="129"/>
      <c r="Q47" s="130"/>
      <c r="R47" s="131"/>
      <c r="S47" s="131"/>
      <c r="T47" s="132">
        <v>44600</v>
      </c>
      <c r="U47" s="132"/>
      <c r="V47" s="132"/>
      <c r="W47" s="132"/>
      <c r="X47" s="132"/>
      <c r="Y47" s="133"/>
      <c r="Z47" s="126" t="s">
        <v>64</v>
      </c>
      <c r="AA47" s="134" t="s">
        <v>154</v>
      </c>
      <c r="AB47" s="134" t="s">
        <v>1256</v>
      </c>
      <c r="AC47" s="134"/>
      <c r="AD47" s="134">
        <v>44496</v>
      </c>
      <c r="AE47" s="134"/>
      <c r="AF47" s="134">
        <f t="shared" ca="1" si="1"/>
        <v>44963</v>
      </c>
      <c r="AG47" s="126">
        <f t="shared" ca="1" si="2"/>
        <v>467</v>
      </c>
      <c r="AH47" s="126" t="str">
        <f t="shared" si="3"/>
        <v/>
      </c>
      <c r="AI47" s="134"/>
      <c r="AJ47" s="143" t="s">
        <v>2614</v>
      </c>
      <c r="AK47" s="129">
        <v>10.34</v>
      </c>
      <c r="AL47" s="129">
        <v>10.35</v>
      </c>
      <c r="AM47" s="129">
        <v>10.374999999999998</v>
      </c>
      <c r="AN47" s="129">
        <v>10.379999999999999</v>
      </c>
      <c r="AO47" s="126" t="str">
        <f t="shared" si="4"/>
        <v/>
      </c>
      <c r="AR47" s="99" t="s">
        <v>136</v>
      </c>
    </row>
    <row r="48" spans="1:59" s="99" customFormat="1" ht="21" customHeight="1" x14ac:dyDescent="0.35">
      <c r="A48" s="99">
        <v>422</v>
      </c>
      <c r="B48" s="126" t="str">
        <f t="shared" si="0"/>
        <v>0-304/1D-003X770</v>
      </c>
      <c r="C48" s="126" t="s">
        <v>2615</v>
      </c>
      <c r="D48" s="126" t="s">
        <v>11</v>
      </c>
      <c r="E48" s="143" t="s">
        <v>2620</v>
      </c>
      <c r="F48" s="143" t="s">
        <v>2621</v>
      </c>
      <c r="G48" s="126">
        <v>304</v>
      </c>
      <c r="H48" s="126" t="s">
        <v>139</v>
      </c>
      <c r="I48" s="127">
        <v>3.48</v>
      </c>
      <c r="J48" s="127"/>
      <c r="K48" s="127"/>
      <c r="L48" s="127"/>
      <c r="M48" s="144">
        <v>770</v>
      </c>
      <c r="N48" s="129">
        <v>10.43</v>
      </c>
      <c r="O48" s="129">
        <v>10.43</v>
      </c>
      <c r="P48" s="129"/>
      <c r="Q48" s="130"/>
      <c r="R48" s="131"/>
      <c r="S48" s="131"/>
      <c r="T48" s="132">
        <v>44601</v>
      </c>
      <c r="U48" s="132"/>
      <c r="V48" s="132"/>
      <c r="W48" s="132"/>
      <c r="X48" s="132"/>
      <c r="Y48" s="133"/>
      <c r="Z48" s="126" t="s">
        <v>64</v>
      </c>
      <c r="AA48" s="134" t="s">
        <v>154</v>
      </c>
      <c r="AB48" s="134" t="s">
        <v>1256</v>
      </c>
      <c r="AC48" s="134"/>
      <c r="AD48" s="134">
        <v>44516</v>
      </c>
      <c r="AE48" s="134"/>
      <c r="AF48" s="134">
        <f t="shared" ca="1" si="1"/>
        <v>44963</v>
      </c>
      <c r="AG48" s="126">
        <f t="shared" ca="1" si="2"/>
        <v>447</v>
      </c>
      <c r="AH48" s="126" t="str">
        <f t="shared" si="3"/>
        <v/>
      </c>
      <c r="AI48" s="134"/>
      <c r="AJ48" s="143" t="s">
        <v>2622</v>
      </c>
      <c r="AK48" s="129">
        <v>10.43</v>
      </c>
      <c r="AL48" s="129">
        <v>10.44</v>
      </c>
      <c r="AM48" s="129">
        <v>10.464999999999998</v>
      </c>
      <c r="AN48" s="129">
        <v>10.469999999999999</v>
      </c>
      <c r="AO48" s="126" t="str">
        <f t="shared" si="4"/>
        <v/>
      </c>
      <c r="AR48" s="99" t="s">
        <v>136</v>
      </c>
    </row>
    <row r="49" spans="1:44" s="99" customFormat="1" ht="21" customHeight="1" x14ac:dyDescent="0.35">
      <c r="A49" s="99">
        <v>422</v>
      </c>
      <c r="B49" s="126" t="str">
        <f t="shared" si="0"/>
        <v>0-304L/FH-002X770</v>
      </c>
      <c r="C49" s="126" t="s">
        <v>2619</v>
      </c>
      <c r="D49" s="126" t="s">
        <v>13</v>
      </c>
      <c r="E49" s="143" t="s">
        <v>2616</v>
      </c>
      <c r="F49" s="143" t="s">
        <v>2617</v>
      </c>
      <c r="G49" s="126" t="s">
        <v>230</v>
      </c>
      <c r="H49" s="126" t="s">
        <v>65</v>
      </c>
      <c r="I49" s="127">
        <v>3.81</v>
      </c>
      <c r="J49" s="127">
        <v>1.5</v>
      </c>
      <c r="K49" s="127"/>
      <c r="L49" s="127"/>
      <c r="M49" s="144">
        <v>770</v>
      </c>
      <c r="N49" s="129">
        <v>11.95</v>
      </c>
      <c r="O49" s="129">
        <v>11.975</v>
      </c>
      <c r="P49" s="129"/>
      <c r="Q49" s="130"/>
      <c r="R49" s="131"/>
      <c r="S49" s="131"/>
      <c r="T49" s="132">
        <v>44601</v>
      </c>
      <c r="U49" s="132"/>
      <c r="V49" s="132"/>
      <c r="W49" s="132"/>
      <c r="X49" s="132"/>
      <c r="Y49" s="133"/>
      <c r="Z49" s="126" t="s">
        <v>64</v>
      </c>
      <c r="AA49" s="134" t="s">
        <v>154</v>
      </c>
      <c r="AB49" s="134" t="s">
        <v>1296</v>
      </c>
      <c r="AC49" s="134"/>
      <c r="AD49" s="134">
        <v>44516</v>
      </c>
      <c r="AE49" s="134"/>
      <c r="AF49" s="134">
        <f t="shared" ca="1" si="1"/>
        <v>44963</v>
      </c>
      <c r="AG49" s="126">
        <f t="shared" ca="1" si="2"/>
        <v>447</v>
      </c>
      <c r="AH49" s="126" t="str">
        <f t="shared" si="3"/>
        <v/>
      </c>
      <c r="AI49" s="134"/>
      <c r="AJ49" s="143" t="s">
        <v>2618</v>
      </c>
      <c r="AK49" s="129">
        <v>11.95</v>
      </c>
      <c r="AL49" s="129">
        <v>11.96</v>
      </c>
      <c r="AM49" s="129">
        <v>11.984999999999999</v>
      </c>
      <c r="AN49" s="129">
        <v>11.99</v>
      </c>
      <c r="AO49" s="126" t="str">
        <f t="shared" si="4"/>
        <v/>
      </c>
      <c r="AR49" s="99" t="s">
        <v>136</v>
      </c>
    </row>
    <row r="50" spans="1:44" s="99" customFormat="1" ht="21" customHeight="1" x14ac:dyDescent="0.35">
      <c r="A50" s="99">
        <v>424</v>
      </c>
      <c r="B50" s="126" t="str">
        <f t="shared" si="0"/>
        <v>0-304/1D-004X770</v>
      </c>
      <c r="C50" s="126" t="s">
        <v>2615</v>
      </c>
      <c r="D50" s="126" t="s">
        <v>11</v>
      </c>
      <c r="E50" s="143" t="s">
        <v>2623</v>
      </c>
      <c r="F50" s="143" t="s">
        <v>2624</v>
      </c>
      <c r="G50" s="126">
        <v>304</v>
      </c>
      <c r="H50" s="126" t="s">
        <v>139</v>
      </c>
      <c r="I50" s="127">
        <v>3.64</v>
      </c>
      <c r="J50" s="127"/>
      <c r="K50" s="127"/>
      <c r="L50" s="127"/>
      <c r="M50" s="144">
        <v>770</v>
      </c>
      <c r="N50" s="129">
        <v>11.99</v>
      </c>
      <c r="O50" s="129">
        <v>11.99</v>
      </c>
      <c r="P50" s="129"/>
      <c r="Q50" s="130"/>
      <c r="R50" s="131"/>
      <c r="S50" s="131"/>
      <c r="T50" s="132">
        <v>44601</v>
      </c>
      <c r="U50" s="132"/>
      <c r="V50" s="132"/>
      <c r="W50" s="132"/>
      <c r="X50" s="132"/>
      <c r="Y50" s="133" t="s">
        <v>1395</v>
      </c>
      <c r="Z50" s="126" t="s">
        <v>64</v>
      </c>
      <c r="AA50" s="134" t="s">
        <v>154</v>
      </c>
      <c r="AB50" s="134" t="s">
        <v>1330</v>
      </c>
      <c r="AC50" s="134"/>
      <c r="AD50" s="134">
        <v>44554</v>
      </c>
      <c r="AE50" s="134"/>
      <c r="AF50" s="134">
        <f t="shared" ca="1" si="1"/>
        <v>44963</v>
      </c>
      <c r="AG50" s="126">
        <f t="shared" ca="1" si="2"/>
        <v>409</v>
      </c>
      <c r="AH50" s="126" t="str">
        <f t="shared" si="3"/>
        <v/>
      </c>
      <c r="AI50" s="134"/>
      <c r="AJ50" s="143" t="s">
        <v>2625</v>
      </c>
      <c r="AK50" s="129">
        <v>11.99</v>
      </c>
      <c r="AL50" s="129">
        <v>12</v>
      </c>
      <c r="AM50" s="129">
        <v>12.024999999999999</v>
      </c>
      <c r="AN50" s="129">
        <v>12.03</v>
      </c>
      <c r="AO50" s="126" t="str">
        <f t="shared" si="4"/>
        <v/>
      </c>
      <c r="AR50" s="99" t="s">
        <v>136</v>
      </c>
    </row>
    <row r="51" spans="1:44" s="99" customFormat="1" ht="21" customHeight="1" x14ac:dyDescent="0.35">
      <c r="A51" s="99">
        <v>422</v>
      </c>
      <c r="B51" s="126" t="str">
        <f t="shared" si="0"/>
        <v>0-304/FH-001X770</v>
      </c>
      <c r="C51" s="126" t="s">
        <v>2619</v>
      </c>
      <c r="D51" s="126" t="s">
        <v>13</v>
      </c>
      <c r="E51" s="143" t="s">
        <v>2620</v>
      </c>
      <c r="F51" s="143" t="s">
        <v>2621</v>
      </c>
      <c r="G51" s="126">
        <v>304</v>
      </c>
      <c r="H51" s="126" t="s">
        <v>65</v>
      </c>
      <c r="I51" s="127">
        <v>3.48</v>
      </c>
      <c r="J51" s="127">
        <v>1.2</v>
      </c>
      <c r="K51" s="127"/>
      <c r="L51" s="127"/>
      <c r="M51" s="144">
        <v>770</v>
      </c>
      <c r="N51" s="129">
        <v>10.43</v>
      </c>
      <c r="O51" s="129">
        <v>10.44</v>
      </c>
      <c r="P51" s="129"/>
      <c r="Q51" s="130"/>
      <c r="R51" s="131"/>
      <c r="S51" s="131"/>
      <c r="T51" s="132">
        <v>44601</v>
      </c>
      <c r="U51" s="132"/>
      <c r="V51" s="132"/>
      <c r="W51" s="132"/>
      <c r="X51" s="132"/>
      <c r="Y51" s="133"/>
      <c r="Z51" s="126" t="s">
        <v>64</v>
      </c>
      <c r="AA51" s="134" t="s">
        <v>154</v>
      </c>
      <c r="AB51" s="134" t="s">
        <v>1256</v>
      </c>
      <c r="AC51" s="134"/>
      <c r="AD51" s="134">
        <v>44516</v>
      </c>
      <c r="AE51" s="134"/>
      <c r="AF51" s="134">
        <f t="shared" ca="1" si="1"/>
        <v>44963</v>
      </c>
      <c r="AG51" s="126">
        <f t="shared" ca="1" si="2"/>
        <v>447</v>
      </c>
      <c r="AH51" s="126" t="str">
        <f t="shared" si="3"/>
        <v/>
      </c>
      <c r="AI51" s="134"/>
      <c r="AJ51" s="143" t="s">
        <v>2622</v>
      </c>
      <c r="AK51" s="129">
        <v>10.43</v>
      </c>
      <c r="AL51" s="129">
        <v>10.44</v>
      </c>
      <c r="AM51" s="129">
        <v>10.464999999999998</v>
      </c>
      <c r="AN51" s="129">
        <v>10.469999999999999</v>
      </c>
      <c r="AO51" s="126" t="str">
        <f t="shared" si="4"/>
        <v/>
      </c>
      <c r="AR51" s="99" t="s">
        <v>136</v>
      </c>
    </row>
    <row r="52" spans="1:44" s="99" customFormat="1" ht="21" customHeight="1" x14ac:dyDescent="0.35">
      <c r="A52" s="99">
        <v>424</v>
      </c>
      <c r="B52" s="126" t="str">
        <f t="shared" si="0"/>
        <v>0-304L/1D-004X767</v>
      </c>
      <c r="C52" s="126" t="s">
        <v>2615</v>
      </c>
      <c r="D52" s="126" t="s">
        <v>11</v>
      </c>
      <c r="E52" s="143" t="s">
        <v>2626</v>
      </c>
      <c r="F52" s="143" t="s">
        <v>2627</v>
      </c>
      <c r="G52" s="126" t="s">
        <v>230</v>
      </c>
      <c r="H52" s="126" t="s">
        <v>139</v>
      </c>
      <c r="I52" s="127">
        <v>3.77</v>
      </c>
      <c r="J52" s="127"/>
      <c r="K52" s="127"/>
      <c r="L52" s="127"/>
      <c r="M52" s="144">
        <v>767</v>
      </c>
      <c r="N52" s="129">
        <v>11.945</v>
      </c>
      <c r="O52" s="129">
        <v>11.945</v>
      </c>
      <c r="P52" s="129"/>
      <c r="Q52" s="130"/>
      <c r="R52" s="131"/>
      <c r="S52" s="131"/>
      <c r="T52" s="132">
        <v>44601</v>
      </c>
      <c r="U52" s="132"/>
      <c r="V52" s="132"/>
      <c r="W52" s="132"/>
      <c r="X52" s="132"/>
      <c r="Y52" s="133" t="s">
        <v>1395</v>
      </c>
      <c r="Z52" s="126" t="s">
        <v>64</v>
      </c>
      <c r="AA52" s="134" t="s">
        <v>154</v>
      </c>
      <c r="AB52" s="134" t="s">
        <v>1330</v>
      </c>
      <c r="AC52" s="134"/>
      <c r="AD52" s="134">
        <v>44554</v>
      </c>
      <c r="AE52" s="134"/>
      <c r="AF52" s="134">
        <f t="shared" ca="1" si="1"/>
        <v>44963</v>
      </c>
      <c r="AG52" s="126">
        <f t="shared" ca="1" si="2"/>
        <v>409</v>
      </c>
      <c r="AH52" s="126" t="str">
        <f t="shared" si="3"/>
        <v/>
      </c>
      <c r="AI52" s="134"/>
      <c r="AJ52" s="143" t="s">
        <v>1513</v>
      </c>
      <c r="AK52" s="129">
        <v>11.945</v>
      </c>
      <c r="AL52" s="129">
        <v>11.955</v>
      </c>
      <c r="AM52" s="129">
        <v>11.979999999999999</v>
      </c>
      <c r="AN52" s="129">
        <v>11.984999999999999</v>
      </c>
      <c r="AO52" s="126" t="str">
        <f t="shared" si="4"/>
        <v/>
      </c>
      <c r="AR52" s="99" t="s">
        <v>136</v>
      </c>
    </row>
    <row r="53" spans="1:44" s="99" customFormat="1" ht="21" customHeight="1" x14ac:dyDescent="0.35">
      <c r="A53" s="99">
        <v>424</v>
      </c>
      <c r="B53" s="126" t="str">
        <f t="shared" si="0"/>
        <v>0-304/FH-002X770</v>
      </c>
      <c r="C53" s="126" t="s">
        <v>2619</v>
      </c>
      <c r="D53" s="126" t="s">
        <v>13</v>
      </c>
      <c r="E53" s="143" t="s">
        <v>2623</v>
      </c>
      <c r="F53" s="143" t="s">
        <v>2624</v>
      </c>
      <c r="G53" s="126">
        <v>304</v>
      </c>
      <c r="H53" s="126" t="s">
        <v>65</v>
      </c>
      <c r="I53" s="127">
        <v>3.64</v>
      </c>
      <c r="J53" s="127">
        <v>1.5</v>
      </c>
      <c r="K53" s="127"/>
      <c r="L53" s="127"/>
      <c r="M53" s="144">
        <v>770</v>
      </c>
      <c r="N53" s="129">
        <v>11.99</v>
      </c>
      <c r="O53" s="129">
        <v>12.015000000000001</v>
      </c>
      <c r="P53" s="129"/>
      <c r="Q53" s="130"/>
      <c r="R53" s="131"/>
      <c r="S53" s="131"/>
      <c r="T53" s="132">
        <v>44601</v>
      </c>
      <c r="U53" s="132"/>
      <c r="V53" s="132"/>
      <c r="W53" s="132"/>
      <c r="X53" s="132"/>
      <c r="Y53" s="133" t="s">
        <v>1395</v>
      </c>
      <c r="Z53" s="126" t="s">
        <v>64</v>
      </c>
      <c r="AA53" s="134" t="s">
        <v>154</v>
      </c>
      <c r="AB53" s="134" t="s">
        <v>1330</v>
      </c>
      <c r="AC53" s="134"/>
      <c r="AD53" s="134">
        <v>44554</v>
      </c>
      <c r="AE53" s="134"/>
      <c r="AF53" s="134">
        <f t="shared" ca="1" si="1"/>
        <v>44963</v>
      </c>
      <c r="AG53" s="126">
        <f t="shared" ca="1" si="2"/>
        <v>409</v>
      </c>
      <c r="AH53" s="126" t="str">
        <f t="shared" si="3"/>
        <v/>
      </c>
      <c r="AI53" s="134"/>
      <c r="AJ53" s="143" t="s">
        <v>2625</v>
      </c>
      <c r="AK53" s="129">
        <v>11.99</v>
      </c>
      <c r="AL53" s="129">
        <v>12</v>
      </c>
      <c r="AM53" s="129">
        <v>12.024999999999999</v>
      </c>
      <c r="AN53" s="129">
        <v>12.03</v>
      </c>
      <c r="AO53" s="126" t="str">
        <f t="shared" si="4"/>
        <v/>
      </c>
      <c r="AR53" s="99" t="s">
        <v>136</v>
      </c>
    </row>
    <row r="54" spans="1:44" s="99" customFormat="1" ht="21" customHeight="1" x14ac:dyDescent="0.35">
      <c r="A54" s="99">
        <v>421</v>
      </c>
      <c r="B54" s="126" t="str">
        <f t="shared" si="0"/>
        <v>0-304L/1D-003X770</v>
      </c>
      <c r="C54" s="126" t="s">
        <v>2615</v>
      </c>
      <c r="D54" s="126" t="s">
        <v>11</v>
      </c>
      <c r="E54" s="143" t="s">
        <v>2628</v>
      </c>
      <c r="F54" s="143" t="s">
        <v>2629</v>
      </c>
      <c r="G54" s="126" t="s">
        <v>230</v>
      </c>
      <c r="H54" s="126" t="s">
        <v>139</v>
      </c>
      <c r="I54" s="127">
        <v>3.18</v>
      </c>
      <c r="J54" s="127"/>
      <c r="K54" s="127"/>
      <c r="L54" s="127"/>
      <c r="M54" s="144">
        <v>770</v>
      </c>
      <c r="N54" s="129">
        <v>10.51</v>
      </c>
      <c r="O54" s="129">
        <v>10.51</v>
      </c>
      <c r="P54" s="129"/>
      <c r="Q54" s="130"/>
      <c r="R54" s="131"/>
      <c r="S54" s="131"/>
      <c r="T54" s="132">
        <v>44601</v>
      </c>
      <c r="U54" s="132"/>
      <c r="V54" s="132"/>
      <c r="W54" s="132"/>
      <c r="X54" s="132"/>
      <c r="Y54" s="133"/>
      <c r="Z54" s="126" t="s">
        <v>64</v>
      </c>
      <c r="AA54" s="134" t="s">
        <v>154</v>
      </c>
      <c r="AB54" s="134" t="s">
        <v>1246</v>
      </c>
      <c r="AC54" s="134"/>
      <c r="AD54" s="134">
        <v>44496</v>
      </c>
      <c r="AE54" s="134"/>
      <c r="AF54" s="134">
        <f t="shared" ca="1" si="1"/>
        <v>44963</v>
      </c>
      <c r="AG54" s="126">
        <f t="shared" ca="1" si="2"/>
        <v>467</v>
      </c>
      <c r="AH54" s="126" t="str">
        <f t="shared" si="3"/>
        <v/>
      </c>
      <c r="AI54" s="134"/>
      <c r="AJ54" s="143" t="s">
        <v>2630</v>
      </c>
      <c r="AK54" s="129">
        <v>10.51</v>
      </c>
      <c r="AL54" s="129">
        <v>10.52</v>
      </c>
      <c r="AM54" s="129">
        <v>10.544999999999998</v>
      </c>
      <c r="AN54" s="129">
        <v>10.549999999999999</v>
      </c>
      <c r="AO54" s="126" t="str">
        <f t="shared" si="4"/>
        <v/>
      </c>
      <c r="AR54" s="99" t="s">
        <v>136</v>
      </c>
    </row>
    <row r="55" spans="1:44" s="99" customFormat="1" ht="21" customHeight="1" x14ac:dyDescent="0.35">
      <c r="A55" s="99">
        <v>424</v>
      </c>
      <c r="B55" s="126" t="str">
        <f t="shared" si="0"/>
        <v>0-304L/FH-001X769</v>
      </c>
      <c r="C55" s="126" t="s">
        <v>2619</v>
      </c>
      <c r="D55" s="126" t="s">
        <v>13</v>
      </c>
      <c r="E55" s="143" t="s">
        <v>2609</v>
      </c>
      <c r="F55" s="143" t="s">
        <v>2610</v>
      </c>
      <c r="G55" s="126" t="s">
        <v>230</v>
      </c>
      <c r="H55" s="126" t="s">
        <v>65</v>
      </c>
      <c r="I55" s="127">
        <v>3.37</v>
      </c>
      <c r="J55" s="127">
        <v>1.2</v>
      </c>
      <c r="K55" s="127"/>
      <c r="L55" s="127"/>
      <c r="M55" s="144">
        <v>769</v>
      </c>
      <c r="N55" s="129">
        <v>10.385</v>
      </c>
      <c r="O55" s="129">
        <v>10.404999999999999</v>
      </c>
      <c r="P55" s="129"/>
      <c r="Q55" s="130"/>
      <c r="R55" s="131"/>
      <c r="S55" s="131"/>
      <c r="T55" s="132">
        <v>44600</v>
      </c>
      <c r="U55" s="132"/>
      <c r="V55" s="132"/>
      <c r="W55" s="132"/>
      <c r="X55" s="132"/>
      <c r="Y55" s="133" t="s">
        <v>1395</v>
      </c>
      <c r="Z55" s="126" t="s">
        <v>64</v>
      </c>
      <c r="AA55" s="134" t="s">
        <v>154</v>
      </c>
      <c r="AB55" s="134" t="s">
        <v>1516</v>
      </c>
      <c r="AC55" s="134"/>
      <c r="AD55" s="134">
        <v>44554</v>
      </c>
      <c r="AE55" s="134"/>
      <c r="AF55" s="134">
        <f t="shared" ca="1" si="1"/>
        <v>44963</v>
      </c>
      <c r="AG55" s="126">
        <f t="shared" ca="1" si="2"/>
        <v>409</v>
      </c>
      <c r="AH55" s="126" t="str">
        <f t="shared" si="3"/>
        <v/>
      </c>
      <c r="AI55" s="134"/>
      <c r="AJ55" s="143" t="s">
        <v>2611</v>
      </c>
      <c r="AK55" s="129">
        <v>10.385</v>
      </c>
      <c r="AL55" s="129">
        <v>10.395</v>
      </c>
      <c r="AM55" s="129">
        <v>10.419999999999998</v>
      </c>
      <c r="AN55" s="129">
        <v>10.424999999999999</v>
      </c>
      <c r="AO55" s="126" t="str">
        <f t="shared" si="4"/>
        <v/>
      </c>
      <c r="AR55" s="99" t="s">
        <v>136</v>
      </c>
    </row>
    <row r="56" spans="1:44" s="99" customFormat="1" ht="21" customHeight="1" x14ac:dyDescent="0.35">
      <c r="A56" s="99">
        <v>421</v>
      </c>
      <c r="B56" s="126" t="str">
        <f t="shared" si="0"/>
        <v>0-304/1D-003X770</v>
      </c>
      <c r="C56" s="126" t="s">
        <v>2615</v>
      </c>
      <c r="D56" s="126" t="s">
        <v>11</v>
      </c>
      <c r="E56" s="143" t="s">
        <v>2631</v>
      </c>
      <c r="F56" s="143" t="s">
        <v>2632</v>
      </c>
      <c r="G56" s="126">
        <v>304</v>
      </c>
      <c r="H56" s="126" t="s">
        <v>139</v>
      </c>
      <c r="I56" s="127">
        <v>3.17</v>
      </c>
      <c r="J56" s="127"/>
      <c r="K56" s="127"/>
      <c r="L56" s="127"/>
      <c r="M56" s="144">
        <v>770</v>
      </c>
      <c r="N56" s="129">
        <v>9.48</v>
      </c>
      <c r="O56" s="129">
        <v>9.48</v>
      </c>
      <c r="P56" s="129"/>
      <c r="Q56" s="130"/>
      <c r="R56" s="131"/>
      <c r="S56" s="131"/>
      <c r="T56" s="132">
        <v>44601</v>
      </c>
      <c r="U56" s="132"/>
      <c r="V56" s="132"/>
      <c r="W56" s="132"/>
      <c r="X56" s="132"/>
      <c r="Y56" s="133"/>
      <c r="Z56" s="126" t="s">
        <v>64</v>
      </c>
      <c r="AA56" s="134" t="s">
        <v>154</v>
      </c>
      <c r="AB56" s="134" t="s">
        <v>1239</v>
      </c>
      <c r="AC56" s="134"/>
      <c r="AD56" s="134">
        <v>44496</v>
      </c>
      <c r="AE56" s="134"/>
      <c r="AF56" s="134">
        <f t="shared" ca="1" si="1"/>
        <v>44963</v>
      </c>
      <c r="AG56" s="126">
        <f t="shared" ca="1" si="2"/>
        <v>467</v>
      </c>
      <c r="AH56" s="126" t="str">
        <f t="shared" si="3"/>
        <v/>
      </c>
      <c r="AI56" s="134"/>
      <c r="AJ56" s="143" t="s">
        <v>2633</v>
      </c>
      <c r="AK56" s="129">
        <v>9.48</v>
      </c>
      <c r="AL56" s="129">
        <v>9.49</v>
      </c>
      <c r="AM56" s="129">
        <v>9.5149999999999988</v>
      </c>
      <c r="AN56" s="129">
        <v>9.52</v>
      </c>
      <c r="AO56" s="126" t="str">
        <f t="shared" si="4"/>
        <v/>
      </c>
      <c r="AR56" s="99" t="s">
        <v>136</v>
      </c>
    </row>
    <row r="57" spans="1:44" s="99" customFormat="1" ht="21" customHeight="1" x14ac:dyDescent="0.35">
      <c r="A57" s="99">
        <v>424</v>
      </c>
      <c r="B57" s="126" t="str">
        <f t="shared" si="0"/>
        <v>0-304L/FH-002X767</v>
      </c>
      <c r="C57" s="126" t="s">
        <v>2619</v>
      </c>
      <c r="D57" s="126" t="s">
        <v>13</v>
      </c>
      <c r="E57" s="143" t="s">
        <v>2626</v>
      </c>
      <c r="F57" s="143" t="s">
        <v>2627</v>
      </c>
      <c r="G57" s="126" t="s">
        <v>230</v>
      </c>
      <c r="H57" s="126" t="s">
        <v>65</v>
      </c>
      <c r="I57" s="127">
        <v>3.77</v>
      </c>
      <c r="J57" s="127">
        <v>1.5</v>
      </c>
      <c r="K57" s="127"/>
      <c r="L57" s="127"/>
      <c r="M57" s="144">
        <v>767</v>
      </c>
      <c r="N57" s="129">
        <v>11.945</v>
      </c>
      <c r="O57" s="129">
        <v>11.96</v>
      </c>
      <c r="P57" s="129"/>
      <c r="Q57" s="130"/>
      <c r="R57" s="131"/>
      <c r="S57" s="131"/>
      <c r="T57" s="132">
        <v>44601</v>
      </c>
      <c r="U57" s="132"/>
      <c r="V57" s="132"/>
      <c r="W57" s="132"/>
      <c r="X57" s="132"/>
      <c r="Y57" s="133" t="s">
        <v>1395</v>
      </c>
      <c r="Z57" s="126" t="s">
        <v>64</v>
      </c>
      <c r="AA57" s="134" t="s">
        <v>154</v>
      </c>
      <c r="AB57" s="134" t="s">
        <v>1330</v>
      </c>
      <c r="AC57" s="134"/>
      <c r="AD57" s="134">
        <v>44554</v>
      </c>
      <c r="AE57" s="134"/>
      <c r="AF57" s="134">
        <f t="shared" ca="1" si="1"/>
        <v>44963</v>
      </c>
      <c r="AG57" s="126">
        <f t="shared" ca="1" si="2"/>
        <v>409</v>
      </c>
      <c r="AH57" s="126" t="str">
        <f t="shared" si="3"/>
        <v/>
      </c>
      <c r="AI57" s="134"/>
      <c r="AJ57" s="143" t="s">
        <v>1513</v>
      </c>
      <c r="AK57" s="129">
        <v>11.945</v>
      </c>
      <c r="AL57" s="129">
        <v>11.955</v>
      </c>
      <c r="AM57" s="129">
        <v>11.979999999999999</v>
      </c>
      <c r="AN57" s="129">
        <v>11.984999999999999</v>
      </c>
      <c r="AO57" s="126" t="str">
        <f t="shared" si="4"/>
        <v/>
      </c>
      <c r="AR57" s="99" t="s">
        <v>136</v>
      </c>
    </row>
    <row r="58" spans="1:44" s="99" customFormat="1" ht="21" customHeight="1" x14ac:dyDescent="0.35">
      <c r="A58" s="99">
        <v>421</v>
      </c>
      <c r="B58" s="126" t="str">
        <f t="shared" si="0"/>
        <v>0-304/1D-004X770</v>
      </c>
      <c r="C58" s="126" t="s">
        <v>2615</v>
      </c>
      <c r="D58" s="126" t="s">
        <v>11</v>
      </c>
      <c r="E58" s="143" t="s">
        <v>2634</v>
      </c>
      <c r="F58" s="143" t="s">
        <v>2635</v>
      </c>
      <c r="G58" s="126">
        <v>304</v>
      </c>
      <c r="H58" s="126" t="s">
        <v>139</v>
      </c>
      <c r="I58" s="127">
        <v>3.96</v>
      </c>
      <c r="J58" s="127"/>
      <c r="K58" s="127"/>
      <c r="L58" s="127"/>
      <c r="M58" s="144">
        <v>770</v>
      </c>
      <c r="N58" s="129">
        <v>10.08</v>
      </c>
      <c r="O58" s="129">
        <v>10.08</v>
      </c>
      <c r="P58" s="129"/>
      <c r="Q58" s="130"/>
      <c r="R58" s="131"/>
      <c r="S58" s="131"/>
      <c r="T58" s="132">
        <v>44601</v>
      </c>
      <c r="U58" s="132"/>
      <c r="V58" s="132"/>
      <c r="W58" s="132"/>
      <c r="X58" s="132"/>
      <c r="Y58" s="133"/>
      <c r="Z58" s="126" t="s">
        <v>64</v>
      </c>
      <c r="AA58" s="134" t="s">
        <v>154</v>
      </c>
      <c r="AB58" s="134" t="s">
        <v>1256</v>
      </c>
      <c r="AC58" s="134"/>
      <c r="AD58" s="134">
        <v>44496</v>
      </c>
      <c r="AE58" s="134"/>
      <c r="AF58" s="134">
        <f t="shared" ca="1" si="1"/>
        <v>44963</v>
      </c>
      <c r="AG58" s="126">
        <f t="shared" ca="1" si="2"/>
        <v>467</v>
      </c>
      <c r="AH58" s="126" t="str">
        <f t="shared" si="3"/>
        <v/>
      </c>
      <c r="AI58" s="134"/>
      <c r="AJ58" s="143" t="s">
        <v>2636</v>
      </c>
      <c r="AK58" s="129">
        <v>10.08</v>
      </c>
      <c r="AL58" s="129">
        <v>10.09</v>
      </c>
      <c r="AM58" s="129">
        <v>10.114999999999998</v>
      </c>
      <c r="AN58" s="129">
        <v>10.119999999999999</v>
      </c>
      <c r="AO58" s="126" t="str">
        <f t="shared" si="4"/>
        <v/>
      </c>
      <c r="AR58" s="99" t="s">
        <v>136</v>
      </c>
    </row>
    <row r="59" spans="1:44" s="99" customFormat="1" ht="21" customHeight="1" x14ac:dyDescent="0.35">
      <c r="A59" s="99">
        <v>421</v>
      </c>
      <c r="B59" s="126" t="str">
        <f t="shared" si="0"/>
        <v>0-304L/FH-001X770</v>
      </c>
      <c r="C59" s="126" t="s">
        <v>2619</v>
      </c>
      <c r="D59" s="126" t="s">
        <v>13</v>
      </c>
      <c r="E59" s="143" t="s">
        <v>2628</v>
      </c>
      <c r="F59" s="143" t="s">
        <v>2629</v>
      </c>
      <c r="G59" s="126" t="s">
        <v>230</v>
      </c>
      <c r="H59" s="126" t="s">
        <v>65</v>
      </c>
      <c r="I59" s="127">
        <v>3.18</v>
      </c>
      <c r="J59" s="127">
        <v>1.2</v>
      </c>
      <c r="K59" s="127"/>
      <c r="L59" s="127"/>
      <c r="M59" s="144">
        <v>770</v>
      </c>
      <c r="N59" s="129">
        <v>10.51</v>
      </c>
      <c r="O59" s="129">
        <v>10.52</v>
      </c>
      <c r="P59" s="129"/>
      <c r="Q59" s="130"/>
      <c r="R59" s="131"/>
      <c r="S59" s="131"/>
      <c r="T59" s="132">
        <v>44601</v>
      </c>
      <c r="U59" s="132"/>
      <c r="V59" s="132"/>
      <c r="W59" s="132"/>
      <c r="X59" s="132"/>
      <c r="Y59" s="133"/>
      <c r="Z59" s="126" t="s">
        <v>64</v>
      </c>
      <c r="AA59" s="134" t="s">
        <v>154</v>
      </c>
      <c r="AB59" s="134" t="s">
        <v>1246</v>
      </c>
      <c r="AC59" s="134"/>
      <c r="AD59" s="134">
        <v>44496</v>
      </c>
      <c r="AE59" s="134"/>
      <c r="AF59" s="134">
        <f t="shared" ca="1" si="1"/>
        <v>44963</v>
      </c>
      <c r="AG59" s="126">
        <f t="shared" ca="1" si="2"/>
        <v>467</v>
      </c>
      <c r="AH59" s="126" t="str">
        <f t="shared" si="3"/>
        <v/>
      </c>
      <c r="AI59" s="134"/>
      <c r="AJ59" s="143" t="s">
        <v>2630</v>
      </c>
      <c r="AK59" s="129">
        <v>10.51</v>
      </c>
      <c r="AL59" s="129">
        <v>10.52</v>
      </c>
      <c r="AM59" s="129">
        <v>10.544999999999998</v>
      </c>
      <c r="AN59" s="129">
        <v>10.549999999999999</v>
      </c>
      <c r="AO59" s="126" t="str">
        <f t="shared" si="4"/>
        <v/>
      </c>
      <c r="AR59" s="99" t="s">
        <v>136</v>
      </c>
    </row>
    <row r="60" spans="1:44" s="99" customFormat="1" ht="21" customHeight="1" x14ac:dyDescent="0.35">
      <c r="A60" s="99">
        <v>421</v>
      </c>
      <c r="B60" s="126" t="str">
        <f t="shared" si="0"/>
        <v>0-304L/1D-004X770</v>
      </c>
      <c r="C60" s="126" t="s">
        <v>2615</v>
      </c>
      <c r="D60" s="126" t="s">
        <v>11</v>
      </c>
      <c r="E60" s="143" t="s">
        <v>2637</v>
      </c>
      <c r="F60" s="143" t="s">
        <v>2638</v>
      </c>
      <c r="G60" s="126" t="s">
        <v>230</v>
      </c>
      <c r="H60" s="126" t="s">
        <v>139</v>
      </c>
      <c r="I60" s="127">
        <v>3.79</v>
      </c>
      <c r="J60" s="127"/>
      <c r="K60" s="127"/>
      <c r="L60" s="127"/>
      <c r="M60" s="144">
        <v>770</v>
      </c>
      <c r="N60" s="129">
        <v>10.365</v>
      </c>
      <c r="O60" s="129">
        <v>10.365</v>
      </c>
      <c r="P60" s="129"/>
      <c r="Q60" s="130"/>
      <c r="R60" s="131"/>
      <c r="S60" s="131"/>
      <c r="T60" s="132">
        <v>44601</v>
      </c>
      <c r="U60" s="132"/>
      <c r="V60" s="132"/>
      <c r="W60" s="132"/>
      <c r="X60" s="132"/>
      <c r="Y60" s="133"/>
      <c r="Z60" s="126" t="s">
        <v>64</v>
      </c>
      <c r="AA60" s="134" t="s">
        <v>154</v>
      </c>
      <c r="AB60" s="134" t="s">
        <v>1256</v>
      </c>
      <c r="AC60" s="134"/>
      <c r="AD60" s="134">
        <v>44496</v>
      </c>
      <c r="AE60" s="134"/>
      <c r="AF60" s="134">
        <f t="shared" ca="1" si="1"/>
        <v>44963</v>
      </c>
      <c r="AG60" s="126">
        <f t="shared" ca="1" si="2"/>
        <v>467</v>
      </c>
      <c r="AH60" s="126" t="str">
        <f t="shared" si="3"/>
        <v/>
      </c>
      <c r="AI60" s="134"/>
      <c r="AJ60" s="143" t="s">
        <v>2639</v>
      </c>
      <c r="AK60" s="129">
        <v>10.365</v>
      </c>
      <c r="AL60" s="129">
        <v>10.375</v>
      </c>
      <c r="AM60" s="129">
        <v>10.399999999999999</v>
      </c>
      <c r="AN60" s="129">
        <v>10.404999999999999</v>
      </c>
      <c r="AO60" s="126" t="str">
        <f t="shared" si="4"/>
        <v/>
      </c>
      <c r="AR60" s="99" t="s">
        <v>136</v>
      </c>
    </row>
    <row r="61" spans="1:44" s="99" customFormat="1" ht="21" customHeight="1" x14ac:dyDescent="0.35">
      <c r="A61" s="99">
        <v>421</v>
      </c>
      <c r="B61" s="126" t="str">
        <f t="shared" si="0"/>
        <v>0-304/FH-001X770</v>
      </c>
      <c r="C61" s="126" t="s">
        <v>2619</v>
      </c>
      <c r="D61" s="126" t="s">
        <v>13</v>
      </c>
      <c r="E61" s="143" t="s">
        <v>2631</v>
      </c>
      <c r="F61" s="143" t="s">
        <v>2632</v>
      </c>
      <c r="G61" s="126">
        <v>304</v>
      </c>
      <c r="H61" s="126" t="s">
        <v>65</v>
      </c>
      <c r="I61" s="127">
        <v>3.17</v>
      </c>
      <c r="J61" s="127">
        <v>1.2</v>
      </c>
      <c r="K61" s="127"/>
      <c r="L61" s="127"/>
      <c r="M61" s="144">
        <v>770</v>
      </c>
      <c r="N61" s="129">
        <v>9.48</v>
      </c>
      <c r="O61" s="129">
        <v>9.4949999999999992</v>
      </c>
      <c r="P61" s="129"/>
      <c r="Q61" s="130"/>
      <c r="R61" s="131"/>
      <c r="S61" s="131"/>
      <c r="T61" s="132">
        <v>44601</v>
      </c>
      <c r="U61" s="132"/>
      <c r="V61" s="132"/>
      <c r="W61" s="132"/>
      <c r="X61" s="132"/>
      <c r="Y61" s="133"/>
      <c r="Z61" s="126" t="s">
        <v>64</v>
      </c>
      <c r="AA61" s="134" t="s">
        <v>154</v>
      </c>
      <c r="AB61" s="134" t="s">
        <v>1239</v>
      </c>
      <c r="AC61" s="134"/>
      <c r="AD61" s="134">
        <v>44496</v>
      </c>
      <c r="AE61" s="134"/>
      <c r="AF61" s="134">
        <f t="shared" ca="1" si="1"/>
        <v>44963</v>
      </c>
      <c r="AG61" s="126">
        <f t="shared" ca="1" si="2"/>
        <v>467</v>
      </c>
      <c r="AH61" s="126" t="str">
        <f t="shared" si="3"/>
        <v/>
      </c>
      <c r="AI61" s="134"/>
      <c r="AJ61" s="143" t="s">
        <v>2633</v>
      </c>
      <c r="AK61" s="129">
        <v>9.48</v>
      </c>
      <c r="AL61" s="129">
        <v>9.49</v>
      </c>
      <c r="AM61" s="129">
        <v>9.5149999999999988</v>
      </c>
      <c r="AN61" s="129">
        <v>9.52</v>
      </c>
      <c r="AO61" s="126" t="str">
        <f t="shared" si="4"/>
        <v/>
      </c>
      <c r="AR61" s="99" t="s">
        <v>136</v>
      </c>
    </row>
    <row r="62" spans="1:44" s="99" customFormat="1" ht="21" customHeight="1" x14ac:dyDescent="0.35">
      <c r="A62" s="99">
        <v>421</v>
      </c>
      <c r="B62" s="126" t="str">
        <f t="shared" si="0"/>
        <v>0-304/1D-003X770</v>
      </c>
      <c r="C62" s="126" t="s">
        <v>2615</v>
      </c>
      <c r="D62" s="126" t="s">
        <v>11</v>
      </c>
      <c r="E62" s="143" t="s">
        <v>2640</v>
      </c>
      <c r="F62" s="143" t="s">
        <v>2641</v>
      </c>
      <c r="G62" s="126">
        <v>304</v>
      </c>
      <c r="H62" s="126" t="s">
        <v>139</v>
      </c>
      <c r="I62" s="127">
        <v>3.2</v>
      </c>
      <c r="J62" s="127"/>
      <c r="K62" s="127"/>
      <c r="L62" s="127"/>
      <c r="M62" s="144">
        <v>770</v>
      </c>
      <c r="N62" s="129">
        <v>10.47</v>
      </c>
      <c r="O62" s="129">
        <v>10.47</v>
      </c>
      <c r="P62" s="129"/>
      <c r="Q62" s="130"/>
      <c r="R62" s="131"/>
      <c r="S62" s="131"/>
      <c r="T62" s="132">
        <v>44601</v>
      </c>
      <c r="U62" s="132"/>
      <c r="V62" s="132"/>
      <c r="W62" s="132"/>
      <c r="X62" s="132"/>
      <c r="Y62" s="133"/>
      <c r="Z62" s="126" t="s">
        <v>64</v>
      </c>
      <c r="AA62" s="134" t="s">
        <v>154</v>
      </c>
      <c r="AB62" s="134" t="s">
        <v>1246</v>
      </c>
      <c r="AC62" s="134"/>
      <c r="AD62" s="134">
        <v>44496</v>
      </c>
      <c r="AE62" s="134"/>
      <c r="AF62" s="134">
        <f t="shared" ca="1" si="1"/>
        <v>44963</v>
      </c>
      <c r="AG62" s="126">
        <f t="shared" ca="1" si="2"/>
        <v>467</v>
      </c>
      <c r="AH62" s="126" t="str">
        <f t="shared" si="3"/>
        <v/>
      </c>
      <c r="AI62" s="134"/>
      <c r="AJ62" s="143" t="s">
        <v>2563</v>
      </c>
      <c r="AK62" s="129">
        <v>10.47</v>
      </c>
      <c r="AL62" s="129">
        <v>10.48</v>
      </c>
      <c r="AM62" s="129">
        <v>10.504999999999999</v>
      </c>
      <c r="AN62" s="129">
        <v>10.51</v>
      </c>
      <c r="AO62" s="126" t="str">
        <f t="shared" si="4"/>
        <v/>
      </c>
      <c r="AR62" s="99" t="s">
        <v>136</v>
      </c>
    </row>
    <row r="63" spans="1:44" s="99" customFormat="1" ht="21" customHeight="1" x14ac:dyDescent="0.35">
      <c r="A63" s="99">
        <v>421</v>
      </c>
      <c r="B63" s="126" t="str">
        <f t="shared" si="0"/>
        <v>0-304L/FH-002X770</v>
      </c>
      <c r="C63" s="126" t="s">
        <v>2619</v>
      </c>
      <c r="D63" s="126" t="s">
        <v>13</v>
      </c>
      <c r="E63" s="143" t="s">
        <v>2637</v>
      </c>
      <c r="F63" s="143" t="s">
        <v>2638</v>
      </c>
      <c r="G63" s="126" t="s">
        <v>230</v>
      </c>
      <c r="H63" s="126" t="s">
        <v>65</v>
      </c>
      <c r="I63" s="127">
        <v>3.79</v>
      </c>
      <c r="J63" s="127">
        <v>1.5</v>
      </c>
      <c r="K63" s="127"/>
      <c r="L63" s="127"/>
      <c r="M63" s="144">
        <v>770</v>
      </c>
      <c r="N63" s="129">
        <v>10.365</v>
      </c>
      <c r="O63" s="129">
        <v>10.38</v>
      </c>
      <c r="P63" s="129"/>
      <c r="Q63" s="130"/>
      <c r="R63" s="131"/>
      <c r="S63" s="131"/>
      <c r="T63" s="132">
        <v>44601</v>
      </c>
      <c r="U63" s="132"/>
      <c r="V63" s="132"/>
      <c r="W63" s="132"/>
      <c r="X63" s="132"/>
      <c r="Y63" s="133"/>
      <c r="Z63" s="126" t="s">
        <v>64</v>
      </c>
      <c r="AA63" s="134" t="s">
        <v>154</v>
      </c>
      <c r="AB63" s="134" t="s">
        <v>1256</v>
      </c>
      <c r="AC63" s="134"/>
      <c r="AD63" s="134">
        <v>44496</v>
      </c>
      <c r="AE63" s="134"/>
      <c r="AF63" s="134">
        <f t="shared" ca="1" si="1"/>
        <v>44963</v>
      </c>
      <c r="AG63" s="126">
        <f t="shared" ca="1" si="2"/>
        <v>467</v>
      </c>
      <c r="AH63" s="126" t="str">
        <f t="shared" si="3"/>
        <v/>
      </c>
      <c r="AI63" s="134"/>
      <c r="AJ63" s="143" t="s">
        <v>2639</v>
      </c>
      <c r="AK63" s="129">
        <v>10.365</v>
      </c>
      <c r="AL63" s="129">
        <v>10.375</v>
      </c>
      <c r="AM63" s="129">
        <v>10.399999999999999</v>
      </c>
      <c r="AN63" s="129">
        <v>10.404999999999999</v>
      </c>
      <c r="AO63" s="126" t="str">
        <f t="shared" si="4"/>
        <v/>
      </c>
      <c r="AR63" s="99" t="s">
        <v>136</v>
      </c>
    </row>
    <row r="64" spans="1:44" s="99" customFormat="1" ht="21" customHeight="1" x14ac:dyDescent="0.35">
      <c r="A64" s="99">
        <v>421</v>
      </c>
      <c r="B64" s="126" t="str">
        <f t="shared" si="0"/>
        <v>0-304L/1D-003X770</v>
      </c>
      <c r="C64" s="126" t="s">
        <v>2615</v>
      </c>
      <c r="D64" s="126" t="s">
        <v>11</v>
      </c>
      <c r="E64" s="143" t="s">
        <v>2642</v>
      </c>
      <c r="F64" s="143" t="s">
        <v>2643</v>
      </c>
      <c r="G64" s="126" t="s">
        <v>230</v>
      </c>
      <c r="H64" s="126" t="s">
        <v>139</v>
      </c>
      <c r="I64" s="127">
        <v>3.19</v>
      </c>
      <c r="J64" s="127"/>
      <c r="K64" s="127"/>
      <c r="L64" s="127"/>
      <c r="M64" s="144">
        <v>770</v>
      </c>
      <c r="N64" s="129">
        <v>10.53</v>
      </c>
      <c r="O64" s="129">
        <v>10.53</v>
      </c>
      <c r="P64" s="129"/>
      <c r="Q64" s="130"/>
      <c r="R64" s="131"/>
      <c r="S64" s="131"/>
      <c r="T64" s="132">
        <v>44601</v>
      </c>
      <c r="U64" s="132"/>
      <c r="V64" s="132"/>
      <c r="W64" s="132"/>
      <c r="X64" s="132"/>
      <c r="Y64" s="133"/>
      <c r="Z64" s="126" t="s">
        <v>64</v>
      </c>
      <c r="AA64" s="134" t="s">
        <v>154</v>
      </c>
      <c r="AB64" s="134" t="s">
        <v>1246</v>
      </c>
      <c r="AC64" s="134"/>
      <c r="AD64" s="134">
        <v>44496</v>
      </c>
      <c r="AE64" s="134"/>
      <c r="AF64" s="134">
        <f t="shared" ca="1" si="1"/>
        <v>44963</v>
      </c>
      <c r="AG64" s="126">
        <f t="shared" ca="1" si="2"/>
        <v>467</v>
      </c>
      <c r="AH64" s="126" t="str">
        <f t="shared" si="3"/>
        <v/>
      </c>
      <c r="AI64" s="134"/>
      <c r="AJ64" s="143" t="s">
        <v>2630</v>
      </c>
      <c r="AK64" s="129">
        <v>10.53</v>
      </c>
      <c r="AL64" s="129">
        <v>10.54</v>
      </c>
      <c r="AM64" s="129">
        <v>10.564999999999998</v>
      </c>
      <c r="AN64" s="129">
        <v>10.569999999999999</v>
      </c>
      <c r="AO64" s="126" t="str">
        <f t="shared" si="4"/>
        <v/>
      </c>
      <c r="AR64" s="99" t="s">
        <v>136</v>
      </c>
    </row>
    <row r="65" spans="1:44" s="99" customFormat="1" ht="21" customHeight="1" x14ac:dyDescent="0.35">
      <c r="A65" s="99">
        <v>421</v>
      </c>
      <c r="B65" s="126" t="str">
        <f t="shared" si="0"/>
        <v>0-304/FH-002X770</v>
      </c>
      <c r="C65" s="126" t="s">
        <v>2619</v>
      </c>
      <c r="D65" s="126" t="s">
        <v>13</v>
      </c>
      <c r="E65" s="143" t="s">
        <v>2634</v>
      </c>
      <c r="F65" s="143" t="s">
        <v>2635</v>
      </c>
      <c r="G65" s="126">
        <v>304</v>
      </c>
      <c r="H65" s="126" t="s">
        <v>65</v>
      </c>
      <c r="I65" s="127">
        <v>3.96</v>
      </c>
      <c r="J65" s="127">
        <v>1.5</v>
      </c>
      <c r="K65" s="127"/>
      <c r="L65" s="127"/>
      <c r="M65" s="144">
        <v>770</v>
      </c>
      <c r="N65" s="129">
        <v>10.08</v>
      </c>
      <c r="O65" s="129">
        <v>10.08</v>
      </c>
      <c r="P65" s="129"/>
      <c r="Q65" s="130"/>
      <c r="R65" s="131"/>
      <c r="S65" s="131"/>
      <c r="T65" s="132">
        <v>44601</v>
      </c>
      <c r="U65" s="132"/>
      <c r="V65" s="132"/>
      <c r="W65" s="132"/>
      <c r="X65" s="132"/>
      <c r="Y65" s="133"/>
      <c r="Z65" s="126" t="s">
        <v>64</v>
      </c>
      <c r="AA65" s="134" t="s">
        <v>154</v>
      </c>
      <c r="AB65" s="134" t="s">
        <v>1256</v>
      </c>
      <c r="AC65" s="134"/>
      <c r="AD65" s="134">
        <v>44496</v>
      </c>
      <c r="AE65" s="134"/>
      <c r="AF65" s="134">
        <f t="shared" ca="1" si="1"/>
        <v>44963</v>
      </c>
      <c r="AG65" s="126">
        <f t="shared" ca="1" si="2"/>
        <v>467</v>
      </c>
      <c r="AH65" s="126" t="str">
        <f t="shared" si="3"/>
        <v/>
      </c>
      <c r="AI65" s="134"/>
      <c r="AJ65" s="143" t="s">
        <v>2636</v>
      </c>
      <c r="AK65" s="129">
        <v>10.08</v>
      </c>
      <c r="AL65" s="129">
        <v>10.09</v>
      </c>
      <c r="AM65" s="129">
        <v>10.114999999999998</v>
      </c>
      <c r="AN65" s="129">
        <v>10.119999999999999</v>
      </c>
      <c r="AO65" s="126" t="str">
        <f t="shared" si="4"/>
        <v/>
      </c>
      <c r="AR65" s="99" t="s">
        <v>136</v>
      </c>
    </row>
    <row r="66" spans="1:44" s="99" customFormat="1" ht="21" customHeight="1" x14ac:dyDescent="0.35">
      <c r="A66" s="99">
        <v>422</v>
      </c>
      <c r="B66" s="126" t="str">
        <f t="shared" si="0"/>
        <v>0-304L/1D-004X775</v>
      </c>
      <c r="C66" s="126" t="s">
        <v>2615</v>
      </c>
      <c r="D66" s="126" t="s">
        <v>11</v>
      </c>
      <c r="E66" s="143" t="s">
        <v>2644</v>
      </c>
      <c r="F66" s="143" t="s">
        <v>2645</v>
      </c>
      <c r="G66" s="126" t="s">
        <v>230</v>
      </c>
      <c r="H66" s="126" t="s">
        <v>139</v>
      </c>
      <c r="I66" s="127">
        <v>3.8</v>
      </c>
      <c r="J66" s="127"/>
      <c r="K66" s="127"/>
      <c r="L66" s="127"/>
      <c r="M66" s="144">
        <v>775</v>
      </c>
      <c r="N66" s="129">
        <v>11.83</v>
      </c>
      <c r="O66" s="129">
        <v>11.83</v>
      </c>
      <c r="P66" s="129"/>
      <c r="Q66" s="130"/>
      <c r="R66" s="131"/>
      <c r="S66" s="131"/>
      <c r="T66" s="132">
        <v>44601</v>
      </c>
      <c r="U66" s="132"/>
      <c r="V66" s="132"/>
      <c r="W66" s="132"/>
      <c r="X66" s="132"/>
      <c r="Y66" s="133"/>
      <c r="Z66" s="126" t="s">
        <v>64</v>
      </c>
      <c r="AA66" s="134" t="s">
        <v>154</v>
      </c>
      <c r="AB66" s="134" t="s">
        <v>1296</v>
      </c>
      <c r="AC66" s="134"/>
      <c r="AD66" s="134">
        <v>44516</v>
      </c>
      <c r="AE66" s="134"/>
      <c r="AF66" s="134">
        <f t="shared" ca="1" si="1"/>
        <v>44963</v>
      </c>
      <c r="AG66" s="126">
        <f t="shared" ca="1" si="2"/>
        <v>447</v>
      </c>
      <c r="AH66" s="126" t="str">
        <f t="shared" si="3"/>
        <v/>
      </c>
      <c r="AI66" s="134"/>
      <c r="AJ66" s="143" t="s">
        <v>2646</v>
      </c>
      <c r="AK66" s="129">
        <v>11.83</v>
      </c>
      <c r="AL66" s="129">
        <v>11.84</v>
      </c>
      <c r="AM66" s="129">
        <v>11.864999999999998</v>
      </c>
      <c r="AN66" s="129">
        <v>11.87</v>
      </c>
      <c r="AO66" s="126" t="str">
        <f t="shared" si="4"/>
        <v/>
      </c>
      <c r="AR66" s="99" t="s">
        <v>136</v>
      </c>
    </row>
    <row r="67" spans="1:44" s="99" customFormat="1" ht="21" customHeight="1" x14ac:dyDescent="0.35">
      <c r="A67" s="99">
        <v>421</v>
      </c>
      <c r="B67" s="126" t="str">
        <f t="shared" si="0"/>
        <v>0-304/FH-001X770</v>
      </c>
      <c r="C67" s="126" t="s">
        <v>2619</v>
      </c>
      <c r="D67" s="126" t="s">
        <v>13</v>
      </c>
      <c r="E67" s="143" t="s">
        <v>2640</v>
      </c>
      <c r="F67" s="143" t="s">
        <v>2641</v>
      </c>
      <c r="G67" s="126">
        <v>304</v>
      </c>
      <c r="H67" s="126" t="s">
        <v>65</v>
      </c>
      <c r="I67" s="127">
        <v>3.2</v>
      </c>
      <c r="J67" s="127">
        <v>1.2</v>
      </c>
      <c r="K67" s="127"/>
      <c r="L67" s="127"/>
      <c r="M67" s="144">
        <v>770</v>
      </c>
      <c r="N67" s="129">
        <v>10.47</v>
      </c>
      <c r="O67" s="129">
        <v>10.475</v>
      </c>
      <c r="P67" s="129"/>
      <c r="Q67" s="130"/>
      <c r="R67" s="131"/>
      <c r="S67" s="131"/>
      <c r="T67" s="132">
        <v>44601</v>
      </c>
      <c r="U67" s="132"/>
      <c r="V67" s="132"/>
      <c r="W67" s="132"/>
      <c r="X67" s="132"/>
      <c r="Y67" s="133"/>
      <c r="Z67" s="126" t="s">
        <v>64</v>
      </c>
      <c r="AA67" s="134" t="s">
        <v>154</v>
      </c>
      <c r="AB67" s="134" t="s">
        <v>1246</v>
      </c>
      <c r="AC67" s="134"/>
      <c r="AD67" s="134">
        <v>44496</v>
      </c>
      <c r="AE67" s="134"/>
      <c r="AF67" s="134">
        <f t="shared" ca="1" si="1"/>
        <v>44963</v>
      </c>
      <c r="AG67" s="126">
        <f t="shared" ca="1" si="2"/>
        <v>467</v>
      </c>
      <c r="AH67" s="126" t="str">
        <f t="shared" si="3"/>
        <v/>
      </c>
      <c r="AI67" s="134"/>
      <c r="AJ67" s="143" t="s">
        <v>2563</v>
      </c>
      <c r="AK67" s="129">
        <v>10.47</v>
      </c>
      <c r="AL67" s="129">
        <v>10.48</v>
      </c>
      <c r="AM67" s="129">
        <v>10.504999999999999</v>
      </c>
      <c r="AN67" s="129">
        <v>10.51</v>
      </c>
      <c r="AO67" s="126" t="str">
        <f t="shared" si="4"/>
        <v/>
      </c>
      <c r="AR67" s="99" t="s">
        <v>136</v>
      </c>
    </row>
    <row r="68" spans="1:44" s="99" customFormat="1" ht="21" customHeight="1" x14ac:dyDescent="0.35">
      <c r="A68" s="99">
        <v>424</v>
      </c>
      <c r="B68" s="126" t="str">
        <f t="shared" ref="B68:B131" si="5">IF(C68="HOLD RM","HOLD RM",IF(C68="BAL","WIP",IF(C68="HOLD SLT","HOLD SLT",IF(C68="MILL","RM",IF(C68="RE SLT","WIP",IF(C68="RM","RM",IF(C68="RM BAL","RM",IF(C68="RM SLT","RM",IF(C68="RR","WIP",IF(C68="SKP","WIP",IF(C68="SLT","WIP",IF(C68="CTL","WIP",IF(C68="RM SLT RUST","RM SLT RUST",0)))))))))))))&amp;"-"&amp;G68&amp;"/"&amp;IF(H68="2B","2B",IF(H68="NO.1","1D",IF(H68="FH","FH",0)))&amp;"-"&amp;IF(J68="",(TEXT(I68,"0.00")),TEXT(J68,"0.00"))&amp;"X"&amp;M68</f>
        <v>0-304/1D-004X771</v>
      </c>
      <c r="C68" s="126" t="s">
        <v>2615</v>
      </c>
      <c r="D68" s="126" t="s">
        <v>11</v>
      </c>
      <c r="E68" s="143" t="s">
        <v>2647</v>
      </c>
      <c r="F68" s="143" t="s">
        <v>2648</v>
      </c>
      <c r="G68" s="126">
        <v>304</v>
      </c>
      <c r="H68" s="126" t="s">
        <v>139</v>
      </c>
      <c r="I68" s="127">
        <v>3.89</v>
      </c>
      <c r="J68" s="127"/>
      <c r="K68" s="127"/>
      <c r="L68" s="127"/>
      <c r="M68" s="144">
        <v>771</v>
      </c>
      <c r="N68" s="129">
        <v>10.435</v>
      </c>
      <c r="O68" s="129">
        <v>10.435</v>
      </c>
      <c r="P68" s="129"/>
      <c r="Q68" s="130"/>
      <c r="R68" s="131"/>
      <c r="S68" s="131"/>
      <c r="T68" s="132">
        <v>44601</v>
      </c>
      <c r="U68" s="132"/>
      <c r="V68" s="132"/>
      <c r="W68" s="132"/>
      <c r="X68" s="132"/>
      <c r="Y68" s="133" t="s">
        <v>1395</v>
      </c>
      <c r="Z68" s="126" t="s">
        <v>64</v>
      </c>
      <c r="AA68" s="134" t="s">
        <v>154</v>
      </c>
      <c r="AB68" s="134" t="s">
        <v>1516</v>
      </c>
      <c r="AC68" s="134"/>
      <c r="AD68" s="134">
        <v>44554</v>
      </c>
      <c r="AE68" s="134"/>
      <c r="AF68" s="134">
        <f t="shared" ref="AF68:AF137" ca="1" si="6">TODAY()</f>
        <v>44963</v>
      </c>
      <c r="AG68" s="126">
        <f t="shared" ref="AG68:AG131" ca="1" si="7">IF(AD68&lt;&gt;0,AF68-AD68,0)</f>
        <v>409</v>
      </c>
      <c r="AH68" s="126" t="str">
        <f t="shared" ref="AH68:AH131" si="8">IF(ISNUMBER(V68)=TRUE,AF68-V68,IF(V68="","",(AF68)-(MID(RIGHT(V68,10),4,2)&amp;"/"&amp;LEFT((RIGHT(V68,10)),2)&amp;"/"&amp;RIGHT(V68,4))))</f>
        <v/>
      </c>
      <c r="AI68" s="134"/>
      <c r="AJ68" s="143" t="s">
        <v>1697</v>
      </c>
      <c r="AK68" s="129">
        <v>10.435</v>
      </c>
      <c r="AL68" s="129">
        <v>10.445</v>
      </c>
      <c r="AM68" s="129">
        <v>10.469999999999999</v>
      </c>
      <c r="AN68" s="129">
        <v>10.475</v>
      </c>
      <c r="AO68" s="126" t="str">
        <f t="shared" ref="AO68:AO131" si="9">IF(ISNUMBER(U68)=TRUE,AF68-U68,IF(U68="","",(AF68)-(MID(RIGHT(U68,10),4,2)&amp;"/"&amp;LEFT((RIGHT(U68,10)),2)&amp;"/"&amp;RIGHT(U68,4))))</f>
        <v/>
      </c>
      <c r="AR68" s="99" t="s">
        <v>136</v>
      </c>
    </row>
    <row r="69" spans="1:44" s="99" customFormat="1" ht="21" customHeight="1" x14ac:dyDescent="0.35">
      <c r="A69" s="99">
        <v>422</v>
      </c>
      <c r="B69" s="126" t="str">
        <f t="shared" si="5"/>
        <v>0-304L/FH-001X777</v>
      </c>
      <c r="C69" s="126" t="s">
        <v>2649</v>
      </c>
      <c r="D69" s="126" t="s">
        <v>13</v>
      </c>
      <c r="E69" s="143" t="s">
        <v>2650</v>
      </c>
      <c r="F69" s="143" t="s">
        <v>2651</v>
      </c>
      <c r="G69" s="126" t="s">
        <v>230</v>
      </c>
      <c r="H69" s="126" t="s">
        <v>65</v>
      </c>
      <c r="I69" s="127">
        <v>2.91</v>
      </c>
      <c r="J69" s="127">
        <v>1</v>
      </c>
      <c r="K69" s="127"/>
      <c r="L69" s="127"/>
      <c r="M69" s="144">
        <v>777</v>
      </c>
      <c r="N69" s="129">
        <v>8.4600000000000009</v>
      </c>
      <c r="O69" s="129">
        <v>8.4700000000000006</v>
      </c>
      <c r="P69" s="129"/>
      <c r="Q69" s="130"/>
      <c r="R69" s="131"/>
      <c r="S69" s="131"/>
      <c r="T69" s="132">
        <v>44578</v>
      </c>
      <c r="U69" s="132"/>
      <c r="V69" s="132"/>
      <c r="W69" s="132"/>
      <c r="X69" s="132"/>
      <c r="Y69" s="133"/>
      <c r="Z69" s="126" t="s">
        <v>64</v>
      </c>
      <c r="AA69" s="134" t="s">
        <v>154</v>
      </c>
      <c r="AB69" s="134" t="s">
        <v>1330</v>
      </c>
      <c r="AC69" s="134"/>
      <c r="AD69" s="134">
        <v>44516</v>
      </c>
      <c r="AE69" s="134"/>
      <c r="AF69" s="134">
        <f t="shared" ca="1" si="6"/>
        <v>44963</v>
      </c>
      <c r="AG69" s="126">
        <f t="shared" ca="1" si="7"/>
        <v>447</v>
      </c>
      <c r="AH69" s="126" t="str">
        <f t="shared" si="8"/>
        <v/>
      </c>
      <c r="AI69" s="134"/>
      <c r="AJ69" s="143" t="s">
        <v>2652</v>
      </c>
      <c r="AK69" s="129">
        <v>8.4600000000000009</v>
      </c>
      <c r="AL69" s="129">
        <v>8.4700000000000006</v>
      </c>
      <c r="AM69" s="129">
        <v>8.4949999999999992</v>
      </c>
      <c r="AN69" s="129">
        <v>8.5</v>
      </c>
      <c r="AO69" s="126" t="str">
        <f t="shared" si="9"/>
        <v/>
      </c>
      <c r="AR69" s="99" t="s">
        <v>136</v>
      </c>
    </row>
    <row r="70" spans="1:44" s="99" customFormat="1" ht="21" customHeight="1" x14ac:dyDescent="0.35">
      <c r="A70" s="99">
        <v>422</v>
      </c>
      <c r="B70" s="126" t="str">
        <f t="shared" si="5"/>
        <v>0-304L/1D-003X772</v>
      </c>
      <c r="C70" s="126" t="s">
        <v>2653</v>
      </c>
      <c r="D70" s="126" t="s">
        <v>11</v>
      </c>
      <c r="E70" s="143" t="s">
        <v>2654</v>
      </c>
      <c r="F70" s="143" t="s">
        <v>2655</v>
      </c>
      <c r="G70" s="126" t="s">
        <v>230</v>
      </c>
      <c r="H70" s="126" t="s">
        <v>139</v>
      </c>
      <c r="I70" s="127">
        <v>2.91</v>
      </c>
      <c r="J70" s="127"/>
      <c r="K70" s="127"/>
      <c r="L70" s="127"/>
      <c r="M70" s="144">
        <v>772</v>
      </c>
      <c r="N70" s="129">
        <v>8.41</v>
      </c>
      <c r="O70" s="129">
        <v>8.41</v>
      </c>
      <c r="P70" s="129"/>
      <c r="Q70" s="130"/>
      <c r="R70" s="131"/>
      <c r="S70" s="131"/>
      <c r="T70" s="132">
        <v>44602</v>
      </c>
      <c r="U70" s="132"/>
      <c r="V70" s="132"/>
      <c r="W70" s="132"/>
      <c r="X70" s="132"/>
      <c r="Y70" s="133"/>
      <c r="Z70" s="126" t="s">
        <v>64</v>
      </c>
      <c r="AA70" s="134" t="s">
        <v>154</v>
      </c>
      <c r="AB70" s="134" t="s">
        <v>1330</v>
      </c>
      <c r="AC70" s="134"/>
      <c r="AD70" s="134">
        <v>44516</v>
      </c>
      <c r="AE70" s="134"/>
      <c r="AF70" s="134">
        <f t="shared" ca="1" si="6"/>
        <v>44963</v>
      </c>
      <c r="AG70" s="126">
        <f t="shared" ca="1" si="7"/>
        <v>447</v>
      </c>
      <c r="AH70" s="126" t="str">
        <f t="shared" si="8"/>
        <v/>
      </c>
      <c r="AI70" s="134"/>
      <c r="AJ70" s="143" t="s">
        <v>2652</v>
      </c>
      <c r="AK70" s="129">
        <v>8.41</v>
      </c>
      <c r="AL70" s="129">
        <v>8.42</v>
      </c>
      <c r="AM70" s="129">
        <v>8.4449999999999985</v>
      </c>
      <c r="AN70" s="129">
        <v>8.4499999999999993</v>
      </c>
      <c r="AO70" s="126" t="str">
        <f t="shared" si="9"/>
        <v/>
      </c>
      <c r="AR70" s="99" t="s">
        <v>136</v>
      </c>
    </row>
    <row r="71" spans="1:44" s="99" customFormat="1" ht="21" customHeight="1" x14ac:dyDescent="0.35">
      <c r="A71" s="99">
        <v>421</v>
      </c>
      <c r="B71" s="126" t="str">
        <f t="shared" si="5"/>
        <v>0-304L/FH-001X770</v>
      </c>
      <c r="C71" s="126" t="s">
        <v>2649</v>
      </c>
      <c r="D71" s="126" t="s">
        <v>13</v>
      </c>
      <c r="E71" s="143" t="s">
        <v>2642</v>
      </c>
      <c r="F71" s="143" t="s">
        <v>2643</v>
      </c>
      <c r="G71" s="126" t="s">
        <v>230</v>
      </c>
      <c r="H71" s="126" t="s">
        <v>65</v>
      </c>
      <c r="I71" s="127">
        <v>3.19</v>
      </c>
      <c r="J71" s="127">
        <v>1.1499999999999999</v>
      </c>
      <c r="K71" s="127"/>
      <c r="L71" s="127"/>
      <c r="M71" s="144">
        <v>770</v>
      </c>
      <c r="N71" s="129">
        <v>10.53</v>
      </c>
      <c r="O71" s="129">
        <v>10.54</v>
      </c>
      <c r="P71" s="129"/>
      <c r="Q71" s="130"/>
      <c r="R71" s="131"/>
      <c r="S71" s="131"/>
      <c r="T71" s="132">
        <v>44601</v>
      </c>
      <c r="U71" s="132"/>
      <c r="V71" s="132"/>
      <c r="W71" s="132"/>
      <c r="X71" s="132"/>
      <c r="Y71" s="133"/>
      <c r="Z71" s="126" t="s">
        <v>64</v>
      </c>
      <c r="AA71" s="134" t="s">
        <v>154</v>
      </c>
      <c r="AB71" s="134" t="s">
        <v>1246</v>
      </c>
      <c r="AC71" s="134"/>
      <c r="AD71" s="134">
        <v>44496</v>
      </c>
      <c r="AE71" s="134"/>
      <c r="AF71" s="134">
        <f t="shared" ca="1" si="6"/>
        <v>44963</v>
      </c>
      <c r="AG71" s="126">
        <f t="shared" ca="1" si="7"/>
        <v>467</v>
      </c>
      <c r="AH71" s="126" t="str">
        <f t="shared" si="8"/>
        <v/>
      </c>
      <c r="AI71" s="134"/>
      <c r="AJ71" s="143" t="s">
        <v>2630</v>
      </c>
      <c r="AK71" s="129">
        <v>10.53</v>
      </c>
      <c r="AL71" s="129">
        <v>10.54</v>
      </c>
      <c r="AM71" s="129">
        <v>10.564999999999998</v>
      </c>
      <c r="AN71" s="129">
        <v>10.569999999999999</v>
      </c>
      <c r="AO71" s="126" t="str">
        <f t="shared" si="9"/>
        <v/>
      </c>
      <c r="AR71" s="99" t="s">
        <v>136</v>
      </c>
    </row>
    <row r="72" spans="1:44" s="99" customFormat="1" ht="21" customHeight="1" x14ac:dyDescent="0.35">
      <c r="A72" s="99">
        <v>424</v>
      </c>
      <c r="B72" s="126" t="str">
        <f t="shared" si="5"/>
        <v>0-304L/1D-003X771</v>
      </c>
      <c r="C72" s="126" t="s">
        <v>2653</v>
      </c>
      <c r="D72" s="126" t="s">
        <v>11</v>
      </c>
      <c r="E72" s="143" t="s">
        <v>2656</v>
      </c>
      <c r="F72" s="143" t="s">
        <v>2657</v>
      </c>
      <c r="G72" s="126" t="s">
        <v>230</v>
      </c>
      <c r="H72" s="126" t="s">
        <v>139</v>
      </c>
      <c r="I72" s="127">
        <v>3.39</v>
      </c>
      <c r="J72" s="127"/>
      <c r="K72" s="127"/>
      <c r="L72" s="127"/>
      <c r="M72" s="144">
        <v>771</v>
      </c>
      <c r="N72" s="129">
        <v>10.58</v>
      </c>
      <c r="O72" s="129">
        <v>10.58</v>
      </c>
      <c r="P72" s="129"/>
      <c r="Q72" s="130"/>
      <c r="R72" s="131"/>
      <c r="S72" s="131"/>
      <c r="T72" s="132">
        <v>44602</v>
      </c>
      <c r="U72" s="132"/>
      <c r="V72" s="132"/>
      <c r="W72" s="132"/>
      <c r="X72" s="132"/>
      <c r="Y72" s="133" t="s">
        <v>1395</v>
      </c>
      <c r="Z72" s="126" t="s">
        <v>64</v>
      </c>
      <c r="AA72" s="134" t="s">
        <v>154</v>
      </c>
      <c r="AB72" s="134" t="s">
        <v>1516</v>
      </c>
      <c r="AC72" s="134"/>
      <c r="AD72" s="134">
        <v>44554</v>
      </c>
      <c r="AE72" s="134"/>
      <c r="AF72" s="134">
        <f t="shared" ca="1" si="6"/>
        <v>44963</v>
      </c>
      <c r="AG72" s="126">
        <f t="shared" ca="1" si="7"/>
        <v>409</v>
      </c>
      <c r="AH72" s="126" t="str">
        <f t="shared" si="8"/>
        <v/>
      </c>
      <c r="AI72" s="134"/>
      <c r="AJ72" s="143" t="s">
        <v>2658</v>
      </c>
      <c r="AK72" s="129">
        <v>10.58</v>
      </c>
      <c r="AL72" s="129">
        <v>10.59</v>
      </c>
      <c r="AM72" s="129">
        <v>10.614999999999998</v>
      </c>
      <c r="AN72" s="129">
        <v>10.62</v>
      </c>
      <c r="AO72" s="126" t="str">
        <f t="shared" si="9"/>
        <v/>
      </c>
      <c r="AR72" s="99" t="s">
        <v>136</v>
      </c>
    </row>
    <row r="73" spans="1:44" s="99" customFormat="1" ht="21" customHeight="1" x14ac:dyDescent="0.35">
      <c r="A73" s="99">
        <v>424</v>
      </c>
      <c r="B73" s="126" t="str">
        <f t="shared" si="5"/>
        <v>0-304/FH-001X771</v>
      </c>
      <c r="C73" s="126" t="s">
        <v>2649</v>
      </c>
      <c r="D73" s="126" t="s">
        <v>13</v>
      </c>
      <c r="E73" s="143" t="s">
        <v>2647</v>
      </c>
      <c r="F73" s="143" t="s">
        <v>2648</v>
      </c>
      <c r="G73" s="126">
        <v>304</v>
      </c>
      <c r="H73" s="126" t="s">
        <v>65</v>
      </c>
      <c r="I73" s="127">
        <v>3.89</v>
      </c>
      <c r="J73" s="127">
        <v>1.45</v>
      </c>
      <c r="K73" s="127"/>
      <c r="L73" s="127"/>
      <c r="M73" s="144">
        <v>771</v>
      </c>
      <c r="N73" s="129">
        <v>10.435</v>
      </c>
      <c r="O73" s="129">
        <v>10.46</v>
      </c>
      <c r="P73" s="129"/>
      <c r="Q73" s="130"/>
      <c r="R73" s="131"/>
      <c r="S73" s="131"/>
      <c r="T73" s="132">
        <v>44601</v>
      </c>
      <c r="U73" s="132"/>
      <c r="V73" s="132"/>
      <c r="W73" s="132"/>
      <c r="X73" s="132"/>
      <c r="Y73" s="133" t="s">
        <v>1395</v>
      </c>
      <c r="Z73" s="126" t="s">
        <v>64</v>
      </c>
      <c r="AA73" s="134" t="s">
        <v>154</v>
      </c>
      <c r="AB73" s="134" t="s">
        <v>1516</v>
      </c>
      <c r="AC73" s="134"/>
      <c r="AD73" s="134">
        <v>44554</v>
      </c>
      <c r="AE73" s="134"/>
      <c r="AF73" s="134">
        <f t="shared" ca="1" si="6"/>
        <v>44963</v>
      </c>
      <c r="AG73" s="126">
        <f t="shared" ca="1" si="7"/>
        <v>409</v>
      </c>
      <c r="AH73" s="126" t="str">
        <f t="shared" si="8"/>
        <v/>
      </c>
      <c r="AI73" s="134"/>
      <c r="AJ73" s="143" t="s">
        <v>1697</v>
      </c>
      <c r="AK73" s="129">
        <v>10.435</v>
      </c>
      <c r="AL73" s="129">
        <v>10.445</v>
      </c>
      <c r="AM73" s="129">
        <v>10.469999999999999</v>
      </c>
      <c r="AN73" s="129">
        <v>10.475</v>
      </c>
      <c r="AO73" s="126" t="str">
        <f t="shared" si="9"/>
        <v/>
      </c>
      <c r="AR73" s="99" t="s">
        <v>136</v>
      </c>
    </row>
    <row r="74" spans="1:44" s="99" customFormat="1" ht="21" customHeight="1" x14ac:dyDescent="0.35">
      <c r="A74" s="99">
        <v>422</v>
      </c>
      <c r="B74" s="126" t="str">
        <f t="shared" si="5"/>
        <v>0-304L/1D-004X773</v>
      </c>
      <c r="C74" s="126" t="s">
        <v>2653</v>
      </c>
      <c r="D74" s="126" t="s">
        <v>11</v>
      </c>
      <c r="E74" s="143" t="s">
        <v>2659</v>
      </c>
      <c r="F74" s="143" t="s">
        <v>2660</v>
      </c>
      <c r="G74" s="126" t="s">
        <v>230</v>
      </c>
      <c r="H74" s="126" t="s">
        <v>139</v>
      </c>
      <c r="I74" s="127">
        <v>3.8</v>
      </c>
      <c r="J74" s="127"/>
      <c r="K74" s="127"/>
      <c r="L74" s="127"/>
      <c r="M74" s="144">
        <v>773</v>
      </c>
      <c r="N74" s="129">
        <v>11.994999999999999</v>
      </c>
      <c r="O74" s="129">
        <v>11.994999999999999</v>
      </c>
      <c r="P74" s="129"/>
      <c r="Q74" s="130"/>
      <c r="R74" s="131"/>
      <c r="S74" s="131"/>
      <c r="T74" s="132">
        <v>44602</v>
      </c>
      <c r="U74" s="132"/>
      <c r="V74" s="132"/>
      <c r="W74" s="132"/>
      <c r="X74" s="132"/>
      <c r="Y74" s="133"/>
      <c r="Z74" s="126" t="s">
        <v>64</v>
      </c>
      <c r="AA74" s="134" t="s">
        <v>154</v>
      </c>
      <c r="AB74" s="134" t="s">
        <v>1296</v>
      </c>
      <c r="AC74" s="134"/>
      <c r="AD74" s="134">
        <v>44516</v>
      </c>
      <c r="AE74" s="134"/>
      <c r="AF74" s="134">
        <f t="shared" ca="1" si="6"/>
        <v>44963</v>
      </c>
      <c r="AG74" s="126">
        <f t="shared" ca="1" si="7"/>
        <v>447</v>
      </c>
      <c r="AH74" s="126" t="str">
        <f t="shared" si="8"/>
        <v/>
      </c>
      <c r="AI74" s="134"/>
      <c r="AJ74" s="143" t="s">
        <v>2661</v>
      </c>
      <c r="AK74" s="129">
        <v>11.994999999999999</v>
      </c>
      <c r="AL74" s="129">
        <v>12.005000000000001</v>
      </c>
      <c r="AM74" s="129">
        <v>12.03</v>
      </c>
      <c r="AN74" s="129">
        <v>12.035</v>
      </c>
      <c r="AO74" s="126" t="str">
        <f t="shared" si="9"/>
        <v/>
      </c>
      <c r="AR74" s="99" t="s">
        <v>136</v>
      </c>
    </row>
    <row r="75" spans="1:44" s="99" customFormat="1" ht="21" customHeight="1" x14ac:dyDescent="0.35">
      <c r="A75" s="99">
        <v>422</v>
      </c>
      <c r="B75" s="126" t="str">
        <f t="shared" si="5"/>
        <v>0-304L/FH-001X775</v>
      </c>
      <c r="C75" s="126" t="s">
        <v>2649</v>
      </c>
      <c r="D75" s="126" t="s">
        <v>13</v>
      </c>
      <c r="E75" s="143" t="s">
        <v>2644</v>
      </c>
      <c r="F75" s="143" t="s">
        <v>2645</v>
      </c>
      <c r="G75" s="126" t="s">
        <v>230</v>
      </c>
      <c r="H75" s="126" t="s">
        <v>65</v>
      </c>
      <c r="I75" s="127">
        <v>3.8</v>
      </c>
      <c r="J75" s="127">
        <v>1.45</v>
      </c>
      <c r="K75" s="127"/>
      <c r="L75" s="127"/>
      <c r="M75" s="144">
        <v>775</v>
      </c>
      <c r="N75" s="129">
        <v>11.83</v>
      </c>
      <c r="O75" s="129">
        <v>11.87</v>
      </c>
      <c r="P75" s="129"/>
      <c r="Q75" s="130"/>
      <c r="R75" s="131"/>
      <c r="S75" s="131"/>
      <c r="T75" s="132">
        <v>44601</v>
      </c>
      <c r="U75" s="132"/>
      <c r="V75" s="132"/>
      <c r="W75" s="132"/>
      <c r="X75" s="132"/>
      <c r="Y75" s="133"/>
      <c r="Z75" s="126" t="s">
        <v>64</v>
      </c>
      <c r="AA75" s="134" t="s">
        <v>154</v>
      </c>
      <c r="AB75" s="134" t="s">
        <v>1296</v>
      </c>
      <c r="AC75" s="134"/>
      <c r="AD75" s="134">
        <v>44516</v>
      </c>
      <c r="AE75" s="134"/>
      <c r="AF75" s="134">
        <f t="shared" ca="1" si="6"/>
        <v>44963</v>
      </c>
      <c r="AG75" s="126">
        <f t="shared" ca="1" si="7"/>
        <v>447</v>
      </c>
      <c r="AH75" s="126" t="str">
        <f t="shared" si="8"/>
        <v/>
      </c>
      <c r="AI75" s="134"/>
      <c r="AJ75" s="143" t="s">
        <v>2646</v>
      </c>
      <c r="AK75" s="129">
        <v>11.83</v>
      </c>
      <c r="AL75" s="129">
        <v>11.84</v>
      </c>
      <c r="AM75" s="129">
        <v>11.864999999999998</v>
      </c>
      <c r="AN75" s="129">
        <v>11.87</v>
      </c>
      <c r="AO75" s="126" t="str">
        <f t="shared" si="9"/>
        <v/>
      </c>
      <c r="AR75" s="99" t="s">
        <v>136</v>
      </c>
    </row>
    <row r="76" spans="1:44" s="99" customFormat="1" ht="21" customHeight="1" x14ac:dyDescent="0.35">
      <c r="A76" s="99">
        <v>421</v>
      </c>
      <c r="B76" s="126" t="str">
        <f t="shared" si="5"/>
        <v>0-304/1D-003X770</v>
      </c>
      <c r="C76" s="126" t="s">
        <v>2653</v>
      </c>
      <c r="D76" s="126" t="s">
        <v>11</v>
      </c>
      <c r="E76" s="143" t="s">
        <v>2662</v>
      </c>
      <c r="F76" s="143" t="s">
        <v>2663</v>
      </c>
      <c r="G76" s="126">
        <v>304</v>
      </c>
      <c r="H76" s="126" t="s">
        <v>139</v>
      </c>
      <c r="I76" s="127">
        <v>3.2</v>
      </c>
      <c r="J76" s="127"/>
      <c r="K76" s="127"/>
      <c r="L76" s="127"/>
      <c r="M76" s="144">
        <v>770</v>
      </c>
      <c r="N76" s="129">
        <v>10.385</v>
      </c>
      <c r="O76" s="129">
        <v>10.385</v>
      </c>
      <c r="P76" s="129"/>
      <c r="Q76" s="130"/>
      <c r="R76" s="131"/>
      <c r="S76" s="131"/>
      <c r="T76" s="132">
        <v>44602</v>
      </c>
      <c r="U76" s="132"/>
      <c r="V76" s="132"/>
      <c r="W76" s="132"/>
      <c r="X76" s="132"/>
      <c r="Y76" s="133"/>
      <c r="Z76" s="126" t="s">
        <v>64</v>
      </c>
      <c r="AA76" s="134" t="s">
        <v>154</v>
      </c>
      <c r="AB76" s="134" t="s">
        <v>1246</v>
      </c>
      <c r="AC76" s="134"/>
      <c r="AD76" s="134">
        <v>44496</v>
      </c>
      <c r="AE76" s="134"/>
      <c r="AF76" s="134">
        <f t="shared" ca="1" si="6"/>
        <v>44963</v>
      </c>
      <c r="AG76" s="126">
        <f t="shared" ca="1" si="7"/>
        <v>467</v>
      </c>
      <c r="AH76" s="126" t="str">
        <f t="shared" si="8"/>
        <v/>
      </c>
      <c r="AI76" s="134"/>
      <c r="AJ76" s="143" t="s">
        <v>2664</v>
      </c>
      <c r="AK76" s="129">
        <v>10.385</v>
      </c>
      <c r="AL76" s="129">
        <v>10.395</v>
      </c>
      <c r="AM76" s="129">
        <v>10.419999999999998</v>
      </c>
      <c r="AN76" s="129">
        <v>10.424999999999999</v>
      </c>
      <c r="AO76" s="126" t="str">
        <f t="shared" si="9"/>
        <v/>
      </c>
      <c r="AR76" s="99" t="s">
        <v>136</v>
      </c>
    </row>
    <row r="77" spans="1:44" s="99" customFormat="1" ht="21" customHeight="1" x14ac:dyDescent="0.35">
      <c r="A77" s="99">
        <v>424</v>
      </c>
      <c r="B77" s="126" t="str">
        <f t="shared" si="5"/>
        <v>0-304L/FH-001X771</v>
      </c>
      <c r="C77" s="126" t="s">
        <v>2649</v>
      </c>
      <c r="D77" s="126" t="s">
        <v>13</v>
      </c>
      <c r="E77" s="143" t="s">
        <v>2656</v>
      </c>
      <c r="F77" s="143" t="s">
        <v>2657</v>
      </c>
      <c r="G77" s="126" t="s">
        <v>230</v>
      </c>
      <c r="H77" s="126" t="s">
        <v>65</v>
      </c>
      <c r="I77" s="127">
        <v>3.39</v>
      </c>
      <c r="J77" s="127">
        <v>1.1499999999999999</v>
      </c>
      <c r="K77" s="127"/>
      <c r="L77" s="127"/>
      <c r="M77" s="144">
        <v>771</v>
      </c>
      <c r="N77" s="129">
        <v>10.58</v>
      </c>
      <c r="O77" s="129">
        <v>10.574999999999999</v>
      </c>
      <c r="P77" s="129"/>
      <c r="Q77" s="130"/>
      <c r="R77" s="131"/>
      <c r="S77" s="131"/>
      <c r="T77" s="132">
        <v>44602</v>
      </c>
      <c r="U77" s="132"/>
      <c r="V77" s="132"/>
      <c r="W77" s="132"/>
      <c r="X77" s="132"/>
      <c r="Y77" s="133" t="s">
        <v>1395</v>
      </c>
      <c r="Z77" s="126" t="s">
        <v>64</v>
      </c>
      <c r="AA77" s="134" t="s">
        <v>154</v>
      </c>
      <c r="AB77" s="134" t="s">
        <v>1516</v>
      </c>
      <c r="AC77" s="134"/>
      <c r="AD77" s="134">
        <v>44554</v>
      </c>
      <c r="AE77" s="134"/>
      <c r="AF77" s="134">
        <f t="shared" ca="1" si="6"/>
        <v>44963</v>
      </c>
      <c r="AG77" s="126">
        <f t="shared" ca="1" si="7"/>
        <v>409</v>
      </c>
      <c r="AH77" s="126" t="str">
        <f t="shared" si="8"/>
        <v/>
      </c>
      <c r="AI77" s="134"/>
      <c r="AJ77" s="143" t="s">
        <v>2658</v>
      </c>
      <c r="AK77" s="129">
        <v>10.58</v>
      </c>
      <c r="AL77" s="129">
        <v>10.59</v>
      </c>
      <c r="AM77" s="129">
        <v>10.614999999999998</v>
      </c>
      <c r="AN77" s="129">
        <v>10.62</v>
      </c>
      <c r="AO77" s="126" t="str">
        <f t="shared" si="9"/>
        <v/>
      </c>
      <c r="AR77" s="99" t="s">
        <v>136</v>
      </c>
    </row>
    <row r="78" spans="1:44" s="99" customFormat="1" ht="21" customHeight="1" x14ac:dyDescent="0.35">
      <c r="A78" s="99">
        <v>422</v>
      </c>
      <c r="B78" s="126" t="str">
        <f t="shared" si="5"/>
        <v>0-304L/1D-003X770</v>
      </c>
      <c r="C78" s="126" t="s">
        <v>2653</v>
      </c>
      <c r="D78" s="126" t="s">
        <v>11</v>
      </c>
      <c r="E78" s="143" t="s">
        <v>2665</v>
      </c>
      <c r="F78" s="143" t="s">
        <v>2666</v>
      </c>
      <c r="G78" s="126" t="s">
        <v>230</v>
      </c>
      <c r="H78" s="126" t="s">
        <v>139</v>
      </c>
      <c r="I78" s="127">
        <v>2.91</v>
      </c>
      <c r="J78" s="127"/>
      <c r="K78" s="127"/>
      <c r="L78" s="127"/>
      <c r="M78" s="144">
        <v>770</v>
      </c>
      <c r="N78" s="129">
        <v>8.5350000000000001</v>
      </c>
      <c r="O78" s="129">
        <v>8.5350000000000001</v>
      </c>
      <c r="P78" s="129"/>
      <c r="Q78" s="130"/>
      <c r="R78" s="131"/>
      <c r="S78" s="131"/>
      <c r="T78" s="132">
        <v>44602</v>
      </c>
      <c r="U78" s="132"/>
      <c r="V78" s="132"/>
      <c r="W78" s="132"/>
      <c r="X78" s="132"/>
      <c r="Y78" s="133"/>
      <c r="Z78" s="126" t="s">
        <v>64</v>
      </c>
      <c r="AA78" s="134" t="s">
        <v>154</v>
      </c>
      <c r="AB78" s="134" t="s">
        <v>1296</v>
      </c>
      <c r="AC78" s="134"/>
      <c r="AD78" s="134">
        <v>44516</v>
      </c>
      <c r="AE78" s="134"/>
      <c r="AF78" s="134">
        <f t="shared" ca="1" si="6"/>
        <v>44963</v>
      </c>
      <c r="AG78" s="126">
        <f t="shared" ca="1" si="7"/>
        <v>447</v>
      </c>
      <c r="AH78" s="126" t="str">
        <f t="shared" si="8"/>
        <v/>
      </c>
      <c r="AI78" s="134"/>
      <c r="AJ78" s="143" t="s">
        <v>2667</v>
      </c>
      <c r="AK78" s="129">
        <v>8.5350000000000001</v>
      </c>
      <c r="AL78" s="129">
        <v>8.5449999999999999</v>
      </c>
      <c r="AM78" s="129">
        <v>8.5699999999999985</v>
      </c>
      <c r="AN78" s="129">
        <v>8.5749999999999993</v>
      </c>
      <c r="AO78" s="126" t="str">
        <f t="shared" si="9"/>
        <v/>
      </c>
      <c r="AR78" s="99" t="s">
        <v>136</v>
      </c>
    </row>
    <row r="79" spans="1:44" s="99" customFormat="1" ht="21" customHeight="1" x14ac:dyDescent="0.35">
      <c r="A79" s="99">
        <v>422</v>
      </c>
      <c r="B79" s="126" t="str">
        <f t="shared" si="5"/>
        <v>0-304L/FH-001X773</v>
      </c>
      <c r="C79" s="126" t="s">
        <v>2649</v>
      </c>
      <c r="D79" s="126" t="s">
        <v>13</v>
      </c>
      <c r="E79" s="143" t="s">
        <v>2659</v>
      </c>
      <c r="F79" s="143" t="s">
        <v>2660</v>
      </c>
      <c r="G79" s="126" t="s">
        <v>230</v>
      </c>
      <c r="H79" s="126" t="s">
        <v>65</v>
      </c>
      <c r="I79" s="127">
        <v>3.8</v>
      </c>
      <c r="J79" s="127">
        <v>1.45</v>
      </c>
      <c r="K79" s="127"/>
      <c r="L79" s="127"/>
      <c r="M79" s="144">
        <v>773</v>
      </c>
      <c r="N79" s="129">
        <v>11.994999999999999</v>
      </c>
      <c r="O79" s="129">
        <v>12.02</v>
      </c>
      <c r="P79" s="129"/>
      <c r="Q79" s="130"/>
      <c r="R79" s="131"/>
      <c r="S79" s="131"/>
      <c r="T79" s="132">
        <v>44602</v>
      </c>
      <c r="U79" s="132"/>
      <c r="V79" s="132"/>
      <c r="W79" s="132"/>
      <c r="X79" s="132"/>
      <c r="Y79" s="133"/>
      <c r="Z79" s="126" t="s">
        <v>64</v>
      </c>
      <c r="AA79" s="134" t="s">
        <v>154</v>
      </c>
      <c r="AB79" s="134" t="s">
        <v>1296</v>
      </c>
      <c r="AC79" s="134"/>
      <c r="AD79" s="134">
        <v>44516</v>
      </c>
      <c r="AE79" s="134"/>
      <c r="AF79" s="134">
        <f t="shared" ca="1" si="6"/>
        <v>44963</v>
      </c>
      <c r="AG79" s="126">
        <f t="shared" ca="1" si="7"/>
        <v>447</v>
      </c>
      <c r="AH79" s="126" t="str">
        <f t="shared" si="8"/>
        <v/>
      </c>
      <c r="AI79" s="134"/>
      <c r="AJ79" s="143" t="s">
        <v>2661</v>
      </c>
      <c r="AK79" s="129">
        <v>11.994999999999999</v>
      </c>
      <c r="AL79" s="129">
        <v>12.005000000000001</v>
      </c>
      <c r="AM79" s="129">
        <v>12.03</v>
      </c>
      <c r="AN79" s="129">
        <v>12.035</v>
      </c>
      <c r="AO79" s="126" t="str">
        <f t="shared" si="9"/>
        <v/>
      </c>
      <c r="AR79" s="99" t="s">
        <v>136</v>
      </c>
    </row>
    <row r="80" spans="1:44" s="99" customFormat="1" ht="21" customHeight="1" x14ac:dyDescent="0.35">
      <c r="A80" s="99">
        <v>424</v>
      </c>
      <c r="B80" s="126" t="str">
        <f t="shared" si="5"/>
        <v>0-304L/1D-004X774</v>
      </c>
      <c r="C80" s="126" t="s">
        <v>2653</v>
      </c>
      <c r="D80" s="126" t="s">
        <v>11</v>
      </c>
      <c r="E80" s="143" t="s">
        <v>2668</v>
      </c>
      <c r="F80" s="143" t="s">
        <v>2669</v>
      </c>
      <c r="G80" s="126" t="s">
        <v>230</v>
      </c>
      <c r="H80" s="126" t="s">
        <v>139</v>
      </c>
      <c r="I80" s="127">
        <v>3.78</v>
      </c>
      <c r="J80" s="127"/>
      <c r="K80" s="127"/>
      <c r="L80" s="127"/>
      <c r="M80" s="144">
        <v>774</v>
      </c>
      <c r="N80" s="129">
        <v>10.404999999999999</v>
      </c>
      <c r="O80" s="129">
        <v>10.404999999999999</v>
      </c>
      <c r="P80" s="129"/>
      <c r="Q80" s="130"/>
      <c r="R80" s="131"/>
      <c r="S80" s="131"/>
      <c r="T80" s="132">
        <v>44602</v>
      </c>
      <c r="U80" s="132"/>
      <c r="V80" s="132"/>
      <c r="W80" s="132"/>
      <c r="X80" s="132"/>
      <c r="Y80" s="133" t="s">
        <v>1395</v>
      </c>
      <c r="Z80" s="126" t="s">
        <v>64</v>
      </c>
      <c r="AA80" s="134" t="s">
        <v>154</v>
      </c>
      <c r="AB80" s="134" t="s">
        <v>1330</v>
      </c>
      <c r="AC80" s="134"/>
      <c r="AD80" s="134">
        <v>44554</v>
      </c>
      <c r="AE80" s="134"/>
      <c r="AF80" s="134">
        <f t="shared" ca="1" si="6"/>
        <v>44963</v>
      </c>
      <c r="AG80" s="126">
        <f t="shared" ca="1" si="7"/>
        <v>409</v>
      </c>
      <c r="AH80" s="126" t="str">
        <f t="shared" si="8"/>
        <v/>
      </c>
      <c r="AI80" s="134"/>
      <c r="AJ80" s="143" t="s">
        <v>2670</v>
      </c>
      <c r="AK80" s="129">
        <v>10.404999999999999</v>
      </c>
      <c r="AL80" s="129">
        <v>10.414999999999999</v>
      </c>
      <c r="AM80" s="129">
        <v>10.439999999999998</v>
      </c>
      <c r="AN80" s="129">
        <v>10.444999999999999</v>
      </c>
      <c r="AO80" s="126" t="str">
        <f t="shared" si="9"/>
        <v/>
      </c>
      <c r="AR80" s="99" t="s">
        <v>136</v>
      </c>
    </row>
    <row r="81" spans="1:44" s="99" customFormat="1" ht="21" customHeight="1" x14ac:dyDescent="0.35">
      <c r="A81" s="99">
        <v>421</v>
      </c>
      <c r="B81" s="126" t="str">
        <f t="shared" si="5"/>
        <v>0-304/FH-001X770</v>
      </c>
      <c r="C81" s="126" t="s">
        <v>2649</v>
      </c>
      <c r="D81" s="126" t="s">
        <v>13</v>
      </c>
      <c r="E81" s="143" t="s">
        <v>2662</v>
      </c>
      <c r="F81" s="143" t="s">
        <v>2663</v>
      </c>
      <c r="G81" s="126">
        <v>304</v>
      </c>
      <c r="H81" s="126" t="s">
        <v>65</v>
      </c>
      <c r="I81" s="127">
        <v>3.2</v>
      </c>
      <c r="J81" s="127">
        <v>1.1000000000000001</v>
      </c>
      <c r="K81" s="127"/>
      <c r="L81" s="127"/>
      <c r="M81" s="144">
        <v>770</v>
      </c>
      <c r="N81" s="129">
        <v>10.385</v>
      </c>
      <c r="O81" s="129">
        <v>10.414999999999999</v>
      </c>
      <c r="P81" s="129"/>
      <c r="Q81" s="130"/>
      <c r="R81" s="131"/>
      <c r="S81" s="131"/>
      <c r="T81" s="132">
        <v>44602</v>
      </c>
      <c r="U81" s="132"/>
      <c r="V81" s="132"/>
      <c r="W81" s="132"/>
      <c r="X81" s="132"/>
      <c r="Y81" s="133"/>
      <c r="Z81" s="126" t="s">
        <v>64</v>
      </c>
      <c r="AA81" s="134" t="s">
        <v>154</v>
      </c>
      <c r="AB81" s="134" t="s">
        <v>1246</v>
      </c>
      <c r="AC81" s="134"/>
      <c r="AD81" s="134">
        <v>44496</v>
      </c>
      <c r="AE81" s="134"/>
      <c r="AF81" s="134">
        <f t="shared" ca="1" si="6"/>
        <v>44963</v>
      </c>
      <c r="AG81" s="126">
        <f t="shared" ca="1" si="7"/>
        <v>467</v>
      </c>
      <c r="AH81" s="126" t="str">
        <f t="shared" si="8"/>
        <v/>
      </c>
      <c r="AI81" s="134"/>
      <c r="AJ81" s="143" t="s">
        <v>2664</v>
      </c>
      <c r="AK81" s="129">
        <v>10.385</v>
      </c>
      <c r="AL81" s="129">
        <v>10.395</v>
      </c>
      <c r="AM81" s="129">
        <v>10.419999999999998</v>
      </c>
      <c r="AN81" s="129">
        <v>10.424999999999999</v>
      </c>
      <c r="AO81" s="126" t="str">
        <f t="shared" si="9"/>
        <v/>
      </c>
      <c r="AR81" s="99" t="s">
        <v>136</v>
      </c>
    </row>
    <row r="82" spans="1:44" s="99" customFormat="1" ht="21" customHeight="1" x14ac:dyDescent="0.35">
      <c r="A82" s="99">
        <v>424</v>
      </c>
      <c r="B82" s="126" t="str">
        <f t="shared" si="5"/>
        <v>0-304L/1D-004X770</v>
      </c>
      <c r="C82" s="126" t="s">
        <v>2653</v>
      </c>
      <c r="D82" s="126" t="s">
        <v>11</v>
      </c>
      <c r="E82" s="143" t="s">
        <v>2671</v>
      </c>
      <c r="F82" s="143" t="s">
        <v>2672</v>
      </c>
      <c r="G82" s="126" t="s">
        <v>230</v>
      </c>
      <c r="H82" s="126" t="s">
        <v>139</v>
      </c>
      <c r="I82" s="127">
        <v>3.78</v>
      </c>
      <c r="J82" s="127"/>
      <c r="K82" s="127"/>
      <c r="L82" s="127"/>
      <c r="M82" s="144">
        <v>770</v>
      </c>
      <c r="N82" s="129">
        <v>10.265000000000001</v>
      </c>
      <c r="O82" s="129">
        <v>10.265000000000001</v>
      </c>
      <c r="P82" s="129"/>
      <c r="Q82" s="130"/>
      <c r="R82" s="131"/>
      <c r="S82" s="131"/>
      <c r="T82" s="132">
        <v>44602</v>
      </c>
      <c r="U82" s="132"/>
      <c r="V82" s="132"/>
      <c r="W82" s="132"/>
      <c r="X82" s="132"/>
      <c r="Y82" s="133" t="s">
        <v>1395</v>
      </c>
      <c r="Z82" s="126" t="s">
        <v>64</v>
      </c>
      <c r="AA82" s="134" t="s">
        <v>154</v>
      </c>
      <c r="AB82" s="134" t="s">
        <v>1330</v>
      </c>
      <c r="AC82" s="134"/>
      <c r="AD82" s="134">
        <v>44554</v>
      </c>
      <c r="AE82" s="134"/>
      <c r="AF82" s="134">
        <f t="shared" ca="1" si="6"/>
        <v>44963</v>
      </c>
      <c r="AG82" s="126">
        <f t="shared" ca="1" si="7"/>
        <v>409</v>
      </c>
      <c r="AH82" s="126" t="str">
        <f t="shared" si="8"/>
        <v/>
      </c>
      <c r="AI82" s="134"/>
      <c r="AJ82" s="143" t="s">
        <v>2673</v>
      </c>
      <c r="AK82" s="129">
        <v>10.265000000000001</v>
      </c>
      <c r="AL82" s="129">
        <v>10.275</v>
      </c>
      <c r="AM82" s="129">
        <v>10.299999999999999</v>
      </c>
      <c r="AN82" s="129">
        <v>10.305</v>
      </c>
      <c r="AO82" s="126" t="str">
        <f t="shared" si="9"/>
        <v/>
      </c>
      <c r="AR82" s="99" t="s">
        <v>136</v>
      </c>
    </row>
    <row r="83" spans="1:44" s="99" customFormat="1" ht="21" customHeight="1" x14ac:dyDescent="0.35">
      <c r="A83" s="99">
        <v>424</v>
      </c>
      <c r="B83" s="126" t="str">
        <f t="shared" si="5"/>
        <v>0-304L/FH-001X774</v>
      </c>
      <c r="C83" s="126" t="s">
        <v>2649</v>
      </c>
      <c r="D83" s="126" t="s">
        <v>13</v>
      </c>
      <c r="E83" s="143" t="s">
        <v>2668</v>
      </c>
      <c r="F83" s="143" t="s">
        <v>2669</v>
      </c>
      <c r="G83" s="126" t="s">
        <v>230</v>
      </c>
      <c r="H83" s="126" t="s">
        <v>65</v>
      </c>
      <c r="I83" s="127">
        <v>3.78</v>
      </c>
      <c r="J83" s="127">
        <v>1.45</v>
      </c>
      <c r="K83" s="127"/>
      <c r="L83" s="127"/>
      <c r="M83" s="144">
        <v>774</v>
      </c>
      <c r="N83" s="129">
        <v>10.404999999999999</v>
      </c>
      <c r="O83" s="129">
        <v>10.414999999999999</v>
      </c>
      <c r="P83" s="129"/>
      <c r="Q83" s="130"/>
      <c r="R83" s="131"/>
      <c r="S83" s="131"/>
      <c r="T83" s="132">
        <v>44602</v>
      </c>
      <c r="U83" s="132"/>
      <c r="V83" s="132"/>
      <c r="W83" s="132"/>
      <c r="X83" s="132"/>
      <c r="Y83" s="133" t="s">
        <v>1395</v>
      </c>
      <c r="Z83" s="126" t="s">
        <v>64</v>
      </c>
      <c r="AA83" s="134" t="s">
        <v>154</v>
      </c>
      <c r="AB83" s="134" t="s">
        <v>1330</v>
      </c>
      <c r="AC83" s="134"/>
      <c r="AD83" s="134">
        <v>44554</v>
      </c>
      <c r="AE83" s="134"/>
      <c r="AF83" s="134">
        <f t="shared" ca="1" si="6"/>
        <v>44963</v>
      </c>
      <c r="AG83" s="126">
        <f t="shared" ca="1" si="7"/>
        <v>409</v>
      </c>
      <c r="AH83" s="126" t="str">
        <f t="shared" si="8"/>
        <v/>
      </c>
      <c r="AI83" s="134"/>
      <c r="AJ83" s="143" t="s">
        <v>2670</v>
      </c>
      <c r="AK83" s="129">
        <v>10.404999999999999</v>
      </c>
      <c r="AL83" s="129">
        <v>10.414999999999999</v>
      </c>
      <c r="AM83" s="129">
        <v>10.439999999999998</v>
      </c>
      <c r="AN83" s="129">
        <v>10.444999999999999</v>
      </c>
      <c r="AO83" s="126" t="str">
        <f t="shared" si="9"/>
        <v/>
      </c>
      <c r="AR83" s="99" t="s">
        <v>136</v>
      </c>
    </row>
    <row r="84" spans="1:44" s="99" customFormat="1" ht="21" customHeight="1" x14ac:dyDescent="0.35">
      <c r="A84" s="99">
        <v>421</v>
      </c>
      <c r="B84" s="126" t="str">
        <f t="shared" si="5"/>
        <v>0-304/1D-003X770</v>
      </c>
      <c r="C84" s="126" t="s">
        <v>2653</v>
      </c>
      <c r="D84" s="126" t="s">
        <v>11</v>
      </c>
      <c r="E84" s="143" t="s">
        <v>2674</v>
      </c>
      <c r="F84" s="143" t="s">
        <v>2675</v>
      </c>
      <c r="G84" s="126">
        <v>304</v>
      </c>
      <c r="H84" s="126" t="s">
        <v>139</v>
      </c>
      <c r="I84" s="127">
        <v>3</v>
      </c>
      <c r="J84" s="127"/>
      <c r="K84" s="127"/>
      <c r="L84" s="127"/>
      <c r="M84" s="144">
        <v>770</v>
      </c>
      <c r="N84" s="129">
        <v>10.255000000000001</v>
      </c>
      <c r="O84" s="129">
        <v>10.255000000000001</v>
      </c>
      <c r="P84" s="129"/>
      <c r="Q84" s="130"/>
      <c r="R84" s="131"/>
      <c r="S84" s="131"/>
      <c r="T84" s="132">
        <v>44602</v>
      </c>
      <c r="U84" s="132"/>
      <c r="V84" s="132"/>
      <c r="W84" s="132"/>
      <c r="X84" s="132"/>
      <c r="Y84" s="133"/>
      <c r="Z84" s="126" t="s">
        <v>64</v>
      </c>
      <c r="AA84" s="134" t="s">
        <v>154</v>
      </c>
      <c r="AB84" s="134" t="s">
        <v>1239</v>
      </c>
      <c r="AC84" s="134"/>
      <c r="AD84" s="134">
        <v>44496</v>
      </c>
      <c r="AE84" s="134"/>
      <c r="AF84" s="134">
        <f t="shared" ca="1" si="6"/>
        <v>44963</v>
      </c>
      <c r="AG84" s="126">
        <f t="shared" ca="1" si="7"/>
        <v>467</v>
      </c>
      <c r="AH84" s="126" t="str">
        <f t="shared" si="8"/>
        <v/>
      </c>
      <c r="AI84" s="134"/>
      <c r="AJ84" s="143" t="s">
        <v>2676</v>
      </c>
      <c r="AK84" s="129">
        <v>10.255000000000001</v>
      </c>
      <c r="AL84" s="129">
        <v>10.265000000000001</v>
      </c>
      <c r="AM84" s="129">
        <v>10.29</v>
      </c>
      <c r="AN84" s="129">
        <v>10.295</v>
      </c>
      <c r="AO84" s="126" t="str">
        <f t="shared" si="9"/>
        <v/>
      </c>
      <c r="AR84" s="99" t="s">
        <v>136</v>
      </c>
    </row>
    <row r="85" spans="1:44" s="99" customFormat="1" ht="21" customHeight="1" x14ac:dyDescent="0.35">
      <c r="A85" s="99">
        <v>424</v>
      </c>
      <c r="B85" s="126" t="str">
        <f t="shared" si="5"/>
        <v>0-304L/FH-001X770</v>
      </c>
      <c r="C85" s="126" t="s">
        <v>2649</v>
      </c>
      <c r="D85" s="126" t="s">
        <v>13</v>
      </c>
      <c r="E85" s="143" t="s">
        <v>2671</v>
      </c>
      <c r="F85" s="143" t="s">
        <v>2672</v>
      </c>
      <c r="G85" s="126" t="s">
        <v>230</v>
      </c>
      <c r="H85" s="126" t="s">
        <v>65</v>
      </c>
      <c r="I85" s="127">
        <v>3.78</v>
      </c>
      <c r="J85" s="127">
        <v>1.45</v>
      </c>
      <c r="K85" s="127"/>
      <c r="L85" s="127"/>
      <c r="M85" s="144">
        <v>770</v>
      </c>
      <c r="N85" s="129">
        <v>10.265000000000001</v>
      </c>
      <c r="O85" s="129">
        <v>10.275</v>
      </c>
      <c r="P85" s="129"/>
      <c r="Q85" s="130"/>
      <c r="R85" s="131"/>
      <c r="S85" s="131"/>
      <c r="T85" s="132">
        <v>44602</v>
      </c>
      <c r="U85" s="132"/>
      <c r="V85" s="132"/>
      <c r="W85" s="132"/>
      <c r="X85" s="132"/>
      <c r="Y85" s="133" t="s">
        <v>1395</v>
      </c>
      <c r="Z85" s="126" t="s">
        <v>64</v>
      </c>
      <c r="AA85" s="134" t="s">
        <v>154</v>
      </c>
      <c r="AB85" s="134" t="s">
        <v>1330</v>
      </c>
      <c r="AC85" s="134"/>
      <c r="AD85" s="134">
        <v>44554</v>
      </c>
      <c r="AE85" s="134"/>
      <c r="AF85" s="134">
        <f t="shared" ca="1" si="6"/>
        <v>44963</v>
      </c>
      <c r="AG85" s="126">
        <f t="shared" ca="1" si="7"/>
        <v>409</v>
      </c>
      <c r="AH85" s="126" t="str">
        <f t="shared" si="8"/>
        <v/>
      </c>
      <c r="AI85" s="134"/>
      <c r="AJ85" s="143" t="s">
        <v>2673</v>
      </c>
      <c r="AK85" s="129">
        <v>10.265000000000001</v>
      </c>
      <c r="AL85" s="129">
        <v>10.275</v>
      </c>
      <c r="AM85" s="129">
        <v>10.299999999999999</v>
      </c>
      <c r="AN85" s="129">
        <v>10.305</v>
      </c>
      <c r="AO85" s="126" t="str">
        <f t="shared" si="9"/>
        <v/>
      </c>
      <c r="AR85" s="99" t="s">
        <v>136</v>
      </c>
    </row>
    <row r="86" spans="1:44" s="99" customFormat="1" ht="21" customHeight="1" x14ac:dyDescent="0.35">
      <c r="A86" s="99">
        <v>424</v>
      </c>
      <c r="B86" s="126" t="str">
        <f t="shared" si="5"/>
        <v>0-304L/1D-004X768</v>
      </c>
      <c r="C86" s="126" t="s">
        <v>2653</v>
      </c>
      <c r="D86" s="126" t="s">
        <v>11</v>
      </c>
      <c r="E86" s="143" t="s">
        <v>2677</v>
      </c>
      <c r="F86" s="273" t="s">
        <v>2678</v>
      </c>
      <c r="G86" s="126" t="s">
        <v>230</v>
      </c>
      <c r="H86" s="126" t="s">
        <v>139</v>
      </c>
      <c r="I86" s="127">
        <v>3.78</v>
      </c>
      <c r="J86" s="127"/>
      <c r="K86" s="127"/>
      <c r="L86" s="127"/>
      <c r="M86" s="144">
        <v>768</v>
      </c>
      <c r="N86" s="129">
        <v>12.06</v>
      </c>
      <c r="O86" s="129">
        <v>12.06</v>
      </c>
      <c r="P86" s="129"/>
      <c r="Q86" s="130"/>
      <c r="R86" s="131"/>
      <c r="S86" s="131"/>
      <c r="T86" s="132">
        <v>44602</v>
      </c>
      <c r="U86" s="132"/>
      <c r="V86" s="132"/>
      <c r="W86" s="132"/>
      <c r="X86" s="132"/>
      <c r="Y86" s="133" t="s">
        <v>1395</v>
      </c>
      <c r="Z86" s="126" t="s">
        <v>64</v>
      </c>
      <c r="AA86" s="134" t="s">
        <v>154</v>
      </c>
      <c r="AB86" s="134" t="s">
        <v>1516</v>
      </c>
      <c r="AC86" s="134"/>
      <c r="AD86" s="134">
        <v>44554</v>
      </c>
      <c r="AE86" s="134"/>
      <c r="AF86" s="134">
        <f t="shared" ca="1" si="6"/>
        <v>44963</v>
      </c>
      <c r="AG86" s="126">
        <f t="shared" ca="1" si="7"/>
        <v>409</v>
      </c>
      <c r="AH86" s="126" t="str">
        <f t="shared" si="8"/>
        <v/>
      </c>
      <c r="AI86" s="134"/>
      <c r="AJ86" s="143" t="s">
        <v>1575</v>
      </c>
      <c r="AK86" s="129">
        <v>12.06</v>
      </c>
      <c r="AL86" s="129">
        <v>12.07</v>
      </c>
      <c r="AM86" s="129">
        <v>12.094999999999999</v>
      </c>
      <c r="AN86" s="129">
        <v>12.1</v>
      </c>
      <c r="AO86" s="126" t="str">
        <f t="shared" si="9"/>
        <v/>
      </c>
      <c r="AR86" s="99" t="s">
        <v>136</v>
      </c>
    </row>
    <row r="87" spans="1:44" s="99" customFormat="1" ht="21" customHeight="1" x14ac:dyDescent="0.35">
      <c r="A87" s="99">
        <v>422</v>
      </c>
      <c r="B87" s="126" t="str">
        <f t="shared" si="5"/>
        <v>0-304L/FH-001X770</v>
      </c>
      <c r="C87" s="126" t="s">
        <v>2649</v>
      </c>
      <c r="D87" s="126" t="s">
        <v>13</v>
      </c>
      <c r="E87" s="143" t="s">
        <v>2665</v>
      </c>
      <c r="F87" s="143" t="s">
        <v>2666</v>
      </c>
      <c r="G87" s="126" t="s">
        <v>230</v>
      </c>
      <c r="H87" s="126" t="s">
        <v>65</v>
      </c>
      <c r="I87" s="127">
        <v>2.91</v>
      </c>
      <c r="J87" s="127">
        <v>1</v>
      </c>
      <c r="K87" s="127"/>
      <c r="L87" s="127"/>
      <c r="M87" s="144">
        <v>770</v>
      </c>
      <c r="N87" s="129">
        <v>8.5350000000000001</v>
      </c>
      <c r="O87" s="129">
        <v>8.5399999999999991</v>
      </c>
      <c r="P87" s="129"/>
      <c r="Q87" s="130"/>
      <c r="R87" s="131"/>
      <c r="S87" s="131"/>
      <c r="T87" s="132">
        <v>44602</v>
      </c>
      <c r="U87" s="132"/>
      <c r="V87" s="132"/>
      <c r="W87" s="132"/>
      <c r="X87" s="132"/>
      <c r="Y87" s="133"/>
      <c r="Z87" s="126" t="s">
        <v>64</v>
      </c>
      <c r="AA87" s="134" t="s">
        <v>154</v>
      </c>
      <c r="AB87" s="134" t="s">
        <v>1296</v>
      </c>
      <c r="AC87" s="134"/>
      <c r="AD87" s="134">
        <v>44516</v>
      </c>
      <c r="AE87" s="134"/>
      <c r="AF87" s="134">
        <f t="shared" ca="1" si="6"/>
        <v>44963</v>
      </c>
      <c r="AG87" s="126">
        <f t="shared" ca="1" si="7"/>
        <v>447</v>
      </c>
      <c r="AH87" s="126" t="str">
        <f t="shared" si="8"/>
        <v/>
      </c>
      <c r="AI87" s="134"/>
      <c r="AJ87" s="143" t="s">
        <v>2667</v>
      </c>
      <c r="AK87" s="129">
        <v>8.5350000000000001</v>
      </c>
      <c r="AL87" s="129">
        <v>8.5449999999999999</v>
      </c>
      <c r="AM87" s="129">
        <v>8.5699999999999985</v>
      </c>
      <c r="AN87" s="129">
        <v>8.5749999999999993</v>
      </c>
      <c r="AO87" s="126" t="str">
        <f t="shared" si="9"/>
        <v/>
      </c>
      <c r="AR87" s="99" t="s">
        <v>136</v>
      </c>
    </row>
    <row r="88" spans="1:44" s="99" customFormat="1" ht="21" customHeight="1" x14ac:dyDescent="0.35">
      <c r="A88" s="99">
        <v>424</v>
      </c>
      <c r="B88" s="126" t="str">
        <f t="shared" si="5"/>
        <v>0-304L/1D-004X773</v>
      </c>
      <c r="C88" s="126" t="s">
        <v>2653</v>
      </c>
      <c r="D88" s="126" t="s">
        <v>11</v>
      </c>
      <c r="E88" s="143" t="s">
        <v>2679</v>
      </c>
      <c r="F88" s="143" t="s">
        <v>2680</v>
      </c>
      <c r="G88" s="126" t="s">
        <v>230</v>
      </c>
      <c r="H88" s="126" t="s">
        <v>139</v>
      </c>
      <c r="I88" s="127">
        <v>3.78</v>
      </c>
      <c r="J88" s="127"/>
      <c r="K88" s="127"/>
      <c r="L88" s="127"/>
      <c r="M88" s="144">
        <v>773</v>
      </c>
      <c r="N88" s="129">
        <v>10.305</v>
      </c>
      <c r="O88" s="129">
        <v>10.305</v>
      </c>
      <c r="P88" s="129"/>
      <c r="Q88" s="130"/>
      <c r="R88" s="131"/>
      <c r="S88" s="131"/>
      <c r="T88" s="132">
        <v>44602</v>
      </c>
      <c r="U88" s="132"/>
      <c r="V88" s="132"/>
      <c r="W88" s="132"/>
      <c r="X88" s="132"/>
      <c r="Y88" s="133" t="s">
        <v>1395</v>
      </c>
      <c r="Z88" s="126" t="s">
        <v>64</v>
      </c>
      <c r="AA88" s="134" t="s">
        <v>154</v>
      </c>
      <c r="AB88" s="134" t="s">
        <v>1330</v>
      </c>
      <c r="AC88" s="134"/>
      <c r="AD88" s="134">
        <v>44554</v>
      </c>
      <c r="AE88" s="134"/>
      <c r="AF88" s="134">
        <f t="shared" ca="1" si="6"/>
        <v>44963</v>
      </c>
      <c r="AG88" s="126">
        <f t="shared" ca="1" si="7"/>
        <v>409</v>
      </c>
      <c r="AH88" s="126" t="str">
        <f t="shared" si="8"/>
        <v/>
      </c>
      <c r="AI88" s="134"/>
      <c r="AJ88" s="143" t="s">
        <v>2673</v>
      </c>
      <c r="AK88" s="129">
        <v>10.305</v>
      </c>
      <c r="AL88" s="129">
        <v>10.315</v>
      </c>
      <c r="AM88" s="129">
        <v>10.339999999999998</v>
      </c>
      <c r="AN88" s="129">
        <v>10.344999999999999</v>
      </c>
      <c r="AO88" s="126" t="str">
        <f t="shared" si="9"/>
        <v/>
      </c>
      <c r="AR88" s="99" t="s">
        <v>136</v>
      </c>
    </row>
    <row r="89" spans="1:44" s="99" customFormat="1" ht="21" customHeight="1" x14ac:dyDescent="0.35">
      <c r="A89" s="99">
        <v>421</v>
      </c>
      <c r="B89" s="126" t="str">
        <f t="shared" si="5"/>
        <v>0-304/FH-001X770</v>
      </c>
      <c r="C89" s="126" t="s">
        <v>2649</v>
      </c>
      <c r="D89" s="126" t="s">
        <v>13</v>
      </c>
      <c r="E89" s="143" t="s">
        <v>2674</v>
      </c>
      <c r="F89" s="143" t="s">
        <v>2675</v>
      </c>
      <c r="G89" s="126">
        <v>304</v>
      </c>
      <c r="H89" s="126" t="s">
        <v>65</v>
      </c>
      <c r="I89" s="127">
        <v>3</v>
      </c>
      <c r="J89" s="127">
        <v>1.1499999999999999</v>
      </c>
      <c r="K89" s="127"/>
      <c r="L89" s="127"/>
      <c r="M89" s="144">
        <v>770</v>
      </c>
      <c r="N89" s="129">
        <v>10.255000000000001</v>
      </c>
      <c r="O89" s="129">
        <v>10.265000000000001</v>
      </c>
      <c r="P89" s="129"/>
      <c r="Q89" s="130"/>
      <c r="R89" s="131"/>
      <c r="S89" s="131"/>
      <c r="T89" s="132">
        <v>44602</v>
      </c>
      <c r="U89" s="132"/>
      <c r="V89" s="132"/>
      <c r="W89" s="132"/>
      <c r="X89" s="132"/>
      <c r="Y89" s="133"/>
      <c r="Z89" s="126" t="s">
        <v>64</v>
      </c>
      <c r="AA89" s="134" t="s">
        <v>154</v>
      </c>
      <c r="AB89" s="134" t="s">
        <v>1239</v>
      </c>
      <c r="AC89" s="134"/>
      <c r="AD89" s="134">
        <v>44496</v>
      </c>
      <c r="AE89" s="134"/>
      <c r="AF89" s="134">
        <f t="shared" ca="1" si="6"/>
        <v>44963</v>
      </c>
      <c r="AG89" s="126">
        <f t="shared" ca="1" si="7"/>
        <v>467</v>
      </c>
      <c r="AH89" s="126" t="str">
        <f t="shared" si="8"/>
        <v/>
      </c>
      <c r="AI89" s="134"/>
      <c r="AJ89" s="143" t="s">
        <v>2676</v>
      </c>
      <c r="AK89" s="129">
        <v>10.255000000000001</v>
      </c>
      <c r="AL89" s="129">
        <v>10.265000000000001</v>
      </c>
      <c r="AM89" s="129">
        <v>10.29</v>
      </c>
      <c r="AN89" s="129">
        <v>10.295</v>
      </c>
      <c r="AO89" s="126" t="str">
        <f t="shared" si="9"/>
        <v/>
      </c>
      <c r="AR89" s="99" t="s">
        <v>136</v>
      </c>
    </row>
    <row r="90" spans="1:44" s="99" customFormat="1" ht="21" customHeight="1" x14ac:dyDescent="0.35">
      <c r="A90" s="99">
        <v>422</v>
      </c>
      <c r="B90" s="126" t="str">
        <f t="shared" si="5"/>
        <v>0-304L/1D-003X771</v>
      </c>
      <c r="C90" s="126" t="s">
        <v>2681</v>
      </c>
      <c r="D90" s="126" t="s">
        <v>11</v>
      </c>
      <c r="E90" s="143" t="s">
        <v>2682</v>
      </c>
      <c r="F90" s="143" t="s">
        <v>2683</v>
      </c>
      <c r="G90" s="126" t="s">
        <v>230</v>
      </c>
      <c r="H90" s="126" t="s">
        <v>139</v>
      </c>
      <c r="I90" s="127">
        <v>2.89</v>
      </c>
      <c r="J90" s="127"/>
      <c r="K90" s="127"/>
      <c r="L90" s="127"/>
      <c r="M90" s="144">
        <v>771</v>
      </c>
      <c r="N90" s="129">
        <v>8.4749999999999996</v>
      </c>
      <c r="O90" s="129">
        <v>8.4749999999999996</v>
      </c>
      <c r="P90" s="129"/>
      <c r="Q90" s="130"/>
      <c r="R90" s="131"/>
      <c r="S90" s="131"/>
      <c r="T90" s="132">
        <v>44603</v>
      </c>
      <c r="U90" s="132"/>
      <c r="V90" s="132"/>
      <c r="W90" s="132"/>
      <c r="X90" s="132"/>
      <c r="Y90" s="133"/>
      <c r="Z90" s="126" t="s">
        <v>64</v>
      </c>
      <c r="AA90" s="134" t="s">
        <v>154</v>
      </c>
      <c r="AB90" s="134" t="s">
        <v>1296</v>
      </c>
      <c r="AC90" s="134"/>
      <c r="AD90" s="134">
        <v>44516</v>
      </c>
      <c r="AE90" s="134"/>
      <c r="AF90" s="134">
        <f t="shared" ca="1" si="6"/>
        <v>44963</v>
      </c>
      <c r="AG90" s="126">
        <f t="shared" ca="1" si="7"/>
        <v>447</v>
      </c>
      <c r="AH90" s="126" t="str">
        <f t="shared" si="8"/>
        <v/>
      </c>
      <c r="AI90" s="134"/>
      <c r="AJ90" s="143" t="s">
        <v>2684</v>
      </c>
      <c r="AK90" s="129">
        <v>8.4749999999999996</v>
      </c>
      <c r="AL90" s="129">
        <v>8.4849999999999994</v>
      </c>
      <c r="AM90" s="129">
        <v>8.509999999999998</v>
      </c>
      <c r="AN90" s="129">
        <v>8.5149999999999988</v>
      </c>
      <c r="AO90" s="126" t="str">
        <f t="shared" si="9"/>
        <v/>
      </c>
      <c r="AR90" s="99" t="s">
        <v>136</v>
      </c>
    </row>
    <row r="91" spans="1:44" s="99" customFormat="1" ht="21" customHeight="1" x14ac:dyDescent="0.35">
      <c r="A91" s="99">
        <v>424</v>
      </c>
      <c r="B91" s="126" t="str">
        <f t="shared" si="5"/>
        <v>0-304L/FH-001X773</v>
      </c>
      <c r="C91" s="126" t="s">
        <v>2685</v>
      </c>
      <c r="D91" s="126" t="s">
        <v>13</v>
      </c>
      <c r="E91" s="143" t="s">
        <v>2679</v>
      </c>
      <c r="F91" s="143" t="s">
        <v>2680</v>
      </c>
      <c r="G91" s="126" t="s">
        <v>230</v>
      </c>
      <c r="H91" s="126" t="s">
        <v>65</v>
      </c>
      <c r="I91" s="127">
        <v>3.78</v>
      </c>
      <c r="J91" s="127">
        <v>1.45</v>
      </c>
      <c r="K91" s="127"/>
      <c r="L91" s="127"/>
      <c r="M91" s="144">
        <v>773</v>
      </c>
      <c r="N91" s="129">
        <v>10.305</v>
      </c>
      <c r="O91" s="129">
        <v>10.32</v>
      </c>
      <c r="P91" s="129"/>
      <c r="Q91" s="130"/>
      <c r="R91" s="131"/>
      <c r="S91" s="131"/>
      <c r="T91" s="132">
        <v>44602</v>
      </c>
      <c r="U91" s="132"/>
      <c r="V91" s="132"/>
      <c r="W91" s="132"/>
      <c r="X91" s="132"/>
      <c r="Y91" s="133" t="s">
        <v>1395</v>
      </c>
      <c r="Z91" s="126" t="s">
        <v>64</v>
      </c>
      <c r="AA91" s="134" t="s">
        <v>154</v>
      </c>
      <c r="AB91" s="134" t="s">
        <v>1330</v>
      </c>
      <c r="AC91" s="134"/>
      <c r="AD91" s="134">
        <v>44554</v>
      </c>
      <c r="AE91" s="134"/>
      <c r="AF91" s="134">
        <f t="shared" ca="1" si="6"/>
        <v>44963</v>
      </c>
      <c r="AG91" s="126">
        <f t="shared" ca="1" si="7"/>
        <v>409</v>
      </c>
      <c r="AH91" s="126" t="str">
        <f t="shared" si="8"/>
        <v/>
      </c>
      <c r="AI91" s="134"/>
      <c r="AJ91" s="143" t="s">
        <v>2673</v>
      </c>
      <c r="AK91" s="129">
        <v>10.305</v>
      </c>
      <c r="AL91" s="129">
        <v>10.315</v>
      </c>
      <c r="AM91" s="129">
        <v>10.339999999999998</v>
      </c>
      <c r="AN91" s="129">
        <v>10.344999999999999</v>
      </c>
      <c r="AO91" s="126" t="str">
        <f t="shared" si="9"/>
        <v/>
      </c>
      <c r="AR91" s="99" t="s">
        <v>136</v>
      </c>
    </row>
    <row r="92" spans="1:44" s="99" customFormat="1" ht="21" customHeight="1" x14ac:dyDescent="0.35">
      <c r="A92" s="99">
        <v>422</v>
      </c>
      <c r="B92" s="126" t="str">
        <f t="shared" si="5"/>
        <v>0-304L/1D-003X769</v>
      </c>
      <c r="C92" s="126" t="s">
        <v>2681</v>
      </c>
      <c r="D92" s="126" t="s">
        <v>11</v>
      </c>
      <c r="E92" s="143" t="s">
        <v>2686</v>
      </c>
      <c r="F92" s="143" t="s">
        <v>2687</v>
      </c>
      <c r="G92" s="126" t="s">
        <v>230</v>
      </c>
      <c r="H92" s="126" t="s">
        <v>139</v>
      </c>
      <c r="I92" s="127">
        <v>2.89</v>
      </c>
      <c r="J92" s="127"/>
      <c r="K92" s="127"/>
      <c r="L92" s="127"/>
      <c r="M92" s="144">
        <v>769</v>
      </c>
      <c r="N92" s="129">
        <v>8.27</v>
      </c>
      <c r="O92" s="129">
        <v>8.27</v>
      </c>
      <c r="P92" s="129"/>
      <c r="Q92" s="130"/>
      <c r="R92" s="131"/>
      <c r="S92" s="131"/>
      <c r="T92" s="132">
        <v>44603</v>
      </c>
      <c r="U92" s="132"/>
      <c r="V92" s="132"/>
      <c r="W92" s="132"/>
      <c r="X92" s="132"/>
      <c r="Y92" s="133"/>
      <c r="Z92" s="126" t="s">
        <v>64</v>
      </c>
      <c r="AA92" s="134" t="s">
        <v>154</v>
      </c>
      <c r="AB92" s="134" t="s">
        <v>1330</v>
      </c>
      <c r="AC92" s="134"/>
      <c r="AD92" s="134">
        <v>44516</v>
      </c>
      <c r="AE92" s="134"/>
      <c r="AF92" s="134">
        <f t="shared" ca="1" si="6"/>
        <v>44963</v>
      </c>
      <c r="AG92" s="126">
        <f t="shared" ca="1" si="7"/>
        <v>447</v>
      </c>
      <c r="AH92" s="126" t="str">
        <f t="shared" si="8"/>
        <v/>
      </c>
      <c r="AI92" s="134"/>
      <c r="AJ92" s="143" t="s">
        <v>2688</v>
      </c>
      <c r="AK92" s="129">
        <v>8.27</v>
      </c>
      <c r="AL92" s="129">
        <v>8.2799999999999994</v>
      </c>
      <c r="AM92" s="129">
        <v>8.3049999999999979</v>
      </c>
      <c r="AN92" s="129">
        <v>8.3099999999999987</v>
      </c>
      <c r="AO92" s="126" t="str">
        <f t="shared" si="9"/>
        <v/>
      </c>
      <c r="AR92" s="99" t="s">
        <v>136</v>
      </c>
    </row>
    <row r="93" spans="1:44" s="99" customFormat="1" ht="21" customHeight="1" x14ac:dyDescent="0.35">
      <c r="A93" s="99">
        <v>424</v>
      </c>
      <c r="B93" s="126" t="str">
        <f t="shared" si="5"/>
        <v>0-304L/FH-001X768</v>
      </c>
      <c r="C93" s="126" t="s">
        <v>2685</v>
      </c>
      <c r="D93" s="126" t="s">
        <v>13</v>
      </c>
      <c r="E93" s="143" t="s">
        <v>2677</v>
      </c>
      <c r="F93" s="143" t="s">
        <v>2678</v>
      </c>
      <c r="G93" s="126" t="s">
        <v>230</v>
      </c>
      <c r="H93" s="126" t="s">
        <v>65</v>
      </c>
      <c r="I93" s="127">
        <v>3.78</v>
      </c>
      <c r="J93" s="127">
        <v>1.45</v>
      </c>
      <c r="K93" s="127"/>
      <c r="L93" s="127"/>
      <c r="M93" s="144">
        <v>768</v>
      </c>
      <c r="N93" s="129">
        <v>12.06</v>
      </c>
      <c r="O93" s="129">
        <v>11.975</v>
      </c>
      <c r="P93" s="129"/>
      <c r="Q93" s="130"/>
      <c r="R93" s="131"/>
      <c r="S93" s="131"/>
      <c r="T93" s="132">
        <v>44602</v>
      </c>
      <c r="U93" s="132"/>
      <c r="V93" s="132"/>
      <c r="W93" s="132"/>
      <c r="X93" s="132"/>
      <c r="Y93" s="133" t="s">
        <v>1395</v>
      </c>
      <c r="Z93" s="126" t="s">
        <v>64</v>
      </c>
      <c r="AA93" s="134" t="s">
        <v>154</v>
      </c>
      <c r="AB93" s="134" t="s">
        <v>1516</v>
      </c>
      <c r="AC93" s="134"/>
      <c r="AD93" s="134">
        <v>44554</v>
      </c>
      <c r="AE93" s="134"/>
      <c r="AF93" s="134">
        <f t="shared" ca="1" si="6"/>
        <v>44963</v>
      </c>
      <c r="AG93" s="126">
        <f t="shared" ca="1" si="7"/>
        <v>409</v>
      </c>
      <c r="AH93" s="126" t="str">
        <f t="shared" si="8"/>
        <v/>
      </c>
      <c r="AI93" s="134"/>
      <c r="AJ93" s="143" t="s">
        <v>1575</v>
      </c>
      <c r="AK93" s="129">
        <v>12.06</v>
      </c>
      <c r="AL93" s="129">
        <v>12.07</v>
      </c>
      <c r="AM93" s="129">
        <v>12.094999999999999</v>
      </c>
      <c r="AN93" s="129">
        <v>12.1</v>
      </c>
      <c r="AO93" s="126" t="str">
        <f t="shared" si="9"/>
        <v/>
      </c>
      <c r="AR93" s="99" t="s">
        <v>136</v>
      </c>
    </row>
    <row r="94" spans="1:44" s="99" customFormat="1" ht="21" customHeight="1" x14ac:dyDescent="0.35">
      <c r="A94" s="99">
        <v>424</v>
      </c>
      <c r="B94" s="126" t="str">
        <f t="shared" si="5"/>
        <v>0-304L/1D-003X775</v>
      </c>
      <c r="C94" s="126" t="s">
        <v>2681</v>
      </c>
      <c r="D94" s="126" t="s">
        <v>11</v>
      </c>
      <c r="E94" s="143" t="s">
        <v>2689</v>
      </c>
      <c r="F94" s="143" t="s">
        <v>2690</v>
      </c>
      <c r="G94" s="126" t="s">
        <v>230</v>
      </c>
      <c r="H94" s="126" t="s">
        <v>139</v>
      </c>
      <c r="I94" s="127">
        <v>3.38</v>
      </c>
      <c r="J94" s="127"/>
      <c r="K94" s="127"/>
      <c r="L94" s="127"/>
      <c r="M94" s="144">
        <v>775</v>
      </c>
      <c r="N94" s="129">
        <v>10.095000000000001</v>
      </c>
      <c r="O94" s="129">
        <v>10.095000000000001</v>
      </c>
      <c r="P94" s="129"/>
      <c r="Q94" s="130"/>
      <c r="R94" s="131"/>
      <c r="S94" s="131"/>
      <c r="T94" s="132">
        <v>44603</v>
      </c>
      <c r="U94" s="132"/>
      <c r="V94" s="132"/>
      <c r="W94" s="132"/>
      <c r="X94" s="132"/>
      <c r="Y94" s="133" t="s">
        <v>1395</v>
      </c>
      <c r="Z94" s="126" t="s">
        <v>64</v>
      </c>
      <c r="AA94" s="134" t="s">
        <v>154</v>
      </c>
      <c r="AB94" s="134" t="s">
        <v>1516</v>
      </c>
      <c r="AC94" s="134"/>
      <c r="AD94" s="134">
        <v>44554</v>
      </c>
      <c r="AE94" s="134"/>
      <c r="AF94" s="134">
        <f t="shared" ca="1" si="6"/>
        <v>44963</v>
      </c>
      <c r="AG94" s="126">
        <f t="shared" ca="1" si="7"/>
        <v>409</v>
      </c>
      <c r="AH94" s="126" t="str">
        <f t="shared" si="8"/>
        <v/>
      </c>
      <c r="AI94" s="134"/>
      <c r="AJ94" s="143" t="s">
        <v>2691</v>
      </c>
      <c r="AK94" s="129">
        <v>10.095000000000001</v>
      </c>
      <c r="AL94" s="129">
        <v>10.105</v>
      </c>
      <c r="AM94" s="129">
        <v>10.129999999999999</v>
      </c>
      <c r="AN94" s="129">
        <v>10.135</v>
      </c>
      <c r="AO94" s="126" t="str">
        <f t="shared" si="9"/>
        <v/>
      </c>
      <c r="AR94" s="99" t="s">
        <v>136</v>
      </c>
    </row>
    <row r="95" spans="1:44" s="99" customFormat="1" ht="21" customHeight="1" x14ac:dyDescent="0.35">
      <c r="A95" s="99">
        <v>422</v>
      </c>
      <c r="B95" s="126" t="str">
        <f t="shared" si="5"/>
        <v>0-304L/FH-001X772</v>
      </c>
      <c r="C95" s="126" t="s">
        <v>2685</v>
      </c>
      <c r="D95" s="126" t="s">
        <v>13</v>
      </c>
      <c r="E95" s="143" t="s">
        <v>2654</v>
      </c>
      <c r="F95" s="143" t="s">
        <v>2655</v>
      </c>
      <c r="G95" s="126" t="s">
        <v>230</v>
      </c>
      <c r="H95" s="126" t="s">
        <v>65</v>
      </c>
      <c r="I95" s="127">
        <v>2.91</v>
      </c>
      <c r="J95" s="127">
        <v>0.9</v>
      </c>
      <c r="K95" s="127"/>
      <c r="L95" s="127"/>
      <c r="M95" s="144">
        <v>772</v>
      </c>
      <c r="N95" s="129">
        <v>8.41</v>
      </c>
      <c r="O95" s="129">
        <v>8.41</v>
      </c>
      <c r="P95" s="129"/>
      <c r="Q95" s="130"/>
      <c r="R95" s="131"/>
      <c r="S95" s="131"/>
      <c r="T95" s="132">
        <v>44602</v>
      </c>
      <c r="U95" s="132"/>
      <c r="V95" s="132"/>
      <c r="W95" s="132"/>
      <c r="X95" s="132"/>
      <c r="Y95" s="133"/>
      <c r="Z95" s="126" t="s">
        <v>64</v>
      </c>
      <c r="AA95" s="134" t="s">
        <v>154</v>
      </c>
      <c r="AB95" s="134" t="s">
        <v>1330</v>
      </c>
      <c r="AC95" s="134"/>
      <c r="AD95" s="134">
        <v>44516</v>
      </c>
      <c r="AE95" s="134"/>
      <c r="AF95" s="134">
        <f t="shared" ca="1" si="6"/>
        <v>44963</v>
      </c>
      <c r="AG95" s="126">
        <f t="shared" ca="1" si="7"/>
        <v>447</v>
      </c>
      <c r="AH95" s="126" t="str">
        <f t="shared" si="8"/>
        <v/>
      </c>
      <c r="AI95" s="134"/>
      <c r="AJ95" s="143" t="s">
        <v>2652</v>
      </c>
      <c r="AK95" s="129">
        <v>8.41</v>
      </c>
      <c r="AL95" s="129">
        <v>8.42</v>
      </c>
      <c r="AM95" s="129">
        <v>8.4449999999999985</v>
      </c>
      <c r="AN95" s="129">
        <v>8.4499999999999993</v>
      </c>
      <c r="AO95" s="126" t="str">
        <f t="shared" si="9"/>
        <v/>
      </c>
      <c r="AR95" s="99" t="s">
        <v>136</v>
      </c>
    </row>
    <row r="96" spans="1:44" s="99" customFormat="1" ht="21" customHeight="1" x14ac:dyDescent="0.35">
      <c r="A96" s="99">
        <v>422</v>
      </c>
      <c r="B96" s="126" t="str">
        <f t="shared" si="5"/>
        <v>0-304L/1D-003X768</v>
      </c>
      <c r="C96" s="126" t="s">
        <v>2681</v>
      </c>
      <c r="D96" s="126" t="s">
        <v>11</v>
      </c>
      <c r="E96" s="143" t="s">
        <v>2692</v>
      </c>
      <c r="F96" s="143" t="s">
        <v>2693</v>
      </c>
      <c r="G96" s="126" t="s">
        <v>230</v>
      </c>
      <c r="H96" s="126" t="s">
        <v>139</v>
      </c>
      <c r="I96" s="127">
        <v>2.88</v>
      </c>
      <c r="J96" s="127"/>
      <c r="K96" s="127"/>
      <c r="L96" s="127"/>
      <c r="M96" s="144">
        <v>768</v>
      </c>
      <c r="N96" s="129">
        <v>7.2850000000000001</v>
      </c>
      <c r="O96" s="129">
        <v>7.2850000000000001</v>
      </c>
      <c r="P96" s="129"/>
      <c r="Q96" s="130"/>
      <c r="R96" s="131"/>
      <c r="S96" s="131"/>
      <c r="T96" s="132">
        <v>44603</v>
      </c>
      <c r="U96" s="132"/>
      <c r="V96" s="132"/>
      <c r="W96" s="132"/>
      <c r="X96" s="132"/>
      <c r="Y96" s="133"/>
      <c r="Z96" s="126" t="s">
        <v>64</v>
      </c>
      <c r="AA96" s="134" t="s">
        <v>154</v>
      </c>
      <c r="AB96" s="134" t="s">
        <v>1330</v>
      </c>
      <c r="AC96" s="134"/>
      <c r="AD96" s="134">
        <v>44516</v>
      </c>
      <c r="AE96" s="134"/>
      <c r="AF96" s="134">
        <f t="shared" ca="1" si="6"/>
        <v>44963</v>
      </c>
      <c r="AG96" s="126">
        <f t="shared" ca="1" si="7"/>
        <v>447</v>
      </c>
      <c r="AH96" s="126" t="str">
        <f t="shared" si="8"/>
        <v/>
      </c>
      <c r="AI96" s="134"/>
      <c r="AJ96" s="143" t="s">
        <v>1347</v>
      </c>
      <c r="AK96" s="129">
        <v>7.2850000000000001</v>
      </c>
      <c r="AL96" s="129">
        <v>7.2949999999999999</v>
      </c>
      <c r="AM96" s="129">
        <v>7.32</v>
      </c>
      <c r="AN96" s="129">
        <v>7.3250000000000002</v>
      </c>
      <c r="AO96" s="126" t="str">
        <f t="shared" si="9"/>
        <v/>
      </c>
      <c r="AR96" s="99" t="s">
        <v>136</v>
      </c>
    </row>
    <row r="97" spans="1:44" s="99" customFormat="1" ht="21" customHeight="1" x14ac:dyDescent="0.35">
      <c r="A97" s="99">
        <v>422</v>
      </c>
      <c r="B97" s="126" t="str">
        <f t="shared" si="5"/>
        <v>0-304L/FH-001X771</v>
      </c>
      <c r="C97" s="126" t="s">
        <v>2685</v>
      </c>
      <c r="D97" s="126" t="s">
        <v>13</v>
      </c>
      <c r="E97" s="143" t="s">
        <v>2682</v>
      </c>
      <c r="F97" s="143" t="s">
        <v>2683</v>
      </c>
      <c r="G97" s="126" t="s">
        <v>230</v>
      </c>
      <c r="H97" s="126" t="s">
        <v>65</v>
      </c>
      <c r="I97" s="127">
        <v>2.89</v>
      </c>
      <c r="J97" s="127">
        <v>0.8</v>
      </c>
      <c r="K97" s="127"/>
      <c r="L97" s="127"/>
      <c r="M97" s="144">
        <v>771</v>
      </c>
      <c r="N97" s="129">
        <v>8.4749999999999996</v>
      </c>
      <c r="O97" s="129">
        <v>8.4849999999999994</v>
      </c>
      <c r="P97" s="129"/>
      <c r="Q97" s="130"/>
      <c r="R97" s="131"/>
      <c r="S97" s="131"/>
      <c r="T97" s="132">
        <v>44603</v>
      </c>
      <c r="U97" s="132"/>
      <c r="V97" s="132"/>
      <c r="W97" s="132"/>
      <c r="X97" s="132"/>
      <c r="Y97" s="133"/>
      <c r="Z97" s="126" t="s">
        <v>64</v>
      </c>
      <c r="AA97" s="134" t="s">
        <v>154</v>
      </c>
      <c r="AB97" s="134" t="s">
        <v>1296</v>
      </c>
      <c r="AC97" s="134"/>
      <c r="AD97" s="134">
        <v>44516</v>
      </c>
      <c r="AE97" s="134"/>
      <c r="AF97" s="134">
        <f t="shared" ca="1" si="6"/>
        <v>44963</v>
      </c>
      <c r="AG97" s="126">
        <f t="shared" ca="1" si="7"/>
        <v>447</v>
      </c>
      <c r="AH97" s="126" t="str">
        <f t="shared" si="8"/>
        <v/>
      </c>
      <c r="AI97" s="134"/>
      <c r="AJ97" s="143" t="s">
        <v>2684</v>
      </c>
      <c r="AK97" s="129">
        <v>8.4749999999999996</v>
      </c>
      <c r="AL97" s="129">
        <v>8.4849999999999994</v>
      </c>
      <c r="AM97" s="129">
        <v>8.509999999999998</v>
      </c>
      <c r="AN97" s="129">
        <v>8.5149999999999988</v>
      </c>
      <c r="AO97" s="126" t="str">
        <f t="shared" si="9"/>
        <v/>
      </c>
      <c r="AR97" s="99" t="s">
        <v>136</v>
      </c>
    </row>
    <row r="98" spans="1:44" s="99" customFormat="1" ht="21" customHeight="1" x14ac:dyDescent="0.35">
      <c r="A98" s="99">
        <v>422</v>
      </c>
      <c r="B98" s="126" t="str">
        <f t="shared" si="5"/>
        <v>0-304L/1D-003X772</v>
      </c>
      <c r="C98" s="126" t="s">
        <v>2681</v>
      </c>
      <c r="D98" s="126" t="s">
        <v>11</v>
      </c>
      <c r="E98" s="143" t="s">
        <v>2694</v>
      </c>
      <c r="F98" s="143" t="s">
        <v>2695</v>
      </c>
      <c r="G98" s="126" t="s">
        <v>230</v>
      </c>
      <c r="H98" s="126" t="s">
        <v>139</v>
      </c>
      <c r="I98" s="127">
        <v>2.92</v>
      </c>
      <c r="J98" s="127"/>
      <c r="K98" s="127"/>
      <c r="L98" s="127"/>
      <c r="M98" s="144">
        <v>772</v>
      </c>
      <c r="N98" s="129">
        <v>7.9349999999999996</v>
      </c>
      <c r="O98" s="129">
        <v>7.9349999999999996</v>
      </c>
      <c r="P98" s="129"/>
      <c r="Q98" s="130"/>
      <c r="R98" s="131"/>
      <c r="S98" s="131"/>
      <c r="T98" s="132">
        <v>44603</v>
      </c>
      <c r="U98" s="132"/>
      <c r="V98" s="132"/>
      <c r="W98" s="132"/>
      <c r="X98" s="132"/>
      <c r="Y98" s="133"/>
      <c r="Z98" s="126" t="s">
        <v>64</v>
      </c>
      <c r="AA98" s="134" t="s">
        <v>154</v>
      </c>
      <c r="AB98" s="134" t="s">
        <v>1296</v>
      </c>
      <c r="AC98" s="134"/>
      <c r="AD98" s="134">
        <v>44516</v>
      </c>
      <c r="AE98" s="134"/>
      <c r="AF98" s="134">
        <f t="shared" ca="1" si="6"/>
        <v>44963</v>
      </c>
      <c r="AG98" s="126">
        <f t="shared" ca="1" si="7"/>
        <v>447</v>
      </c>
      <c r="AH98" s="126" t="str">
        <f t="shared" si="8"/>
        <v/>
      </c>
      <c r="AI98" s="134"/>
      <c r="AJ98" s="143" t="s">
        <v>2696</v>
      </c>
      <c r="AK98" s="129">
        <v>7.9349999999999996</v>
      </c>
      <c r="AL98" s="129">
        <v>7.9450000000000003</v>
      </c>
      <c r="AM98" s="129">
        <v>7.9700000000000006</v>
      </c>
      <c r="AN98" s="129">
        <v>7.9750000000000005</v>
      </c>
      <c r="AO98" s="126" t="str">
        <f t="shared" si="9"/>
        <v/>
      </c>
      <c r="AR98" s="99" t="s">
        <v>136</v>
      </c>
    </row>
    <row r="99" spans="1:44" s="99" customFormat="1" ht="21" customHeight="1" x14ac:dyDescent="0.35">
      <c r="A99" s="99">
        <v>422</v>
      </c>
      <c r="B99" s="126" t="str">
        <f t="shared" si="5"/>
        <v>0-304L/FH-001X769</v>
      </c>
      <c r="C99" s="126" t="s">
        <v>2685</v>
      </c>
      <c r="D99" s="126" t="s">
        <v>13</v>
      </c>
      <c r="E99" s="143" t="s">
        <v>2686</v>
      </c>
      <c r="F99" s="143" t="s">
        <v>2687</v>
      </c>
      <c r="G99" s="126" t="s">
        <v>230</v>
      </c>
      <c r="H99" s="126" t="s">
        <v>65</v>
      </c>
      <c r="I99" s="127">
        <v>2.89</v>
      </c>
      <c r="J99" s="127">
        <v>0.9</v>
      </c>
      <c r="K99" s="127"/>
      <c r="L99" s="127"/>
      <c r="M99" s="144">
        <v>769</v>
      </c>
      <c r="N99" s="129">
        <v>8.27</v>
      </c>
      <c r="O99" s="129">
        <v>8.2799999999999994</v>
      </c>
      <c r="P99" s="129"/>
      <c r="Q99" s="130"/>
      <c r="R99" s="131"/>
      <c r="S99" s="131"/>
      <c r="T99" s="132">
        <v>44603</v>
      </c>
      <c r="U99" s="132"/>
      <c r="V99" s="132"/>
      <c r="W99" s="132"/>
      <c r="X99" s="132"/>
      <c r="Y99" s="133"/>
      <c r="Z99" s="126" t="s">
        <v>64</v>
      </c>
      <c r="AA99" s="134" t="s">
        <v>154</v>
      </c>
      <c r="AB99" s="134" t="s">
        <v>1330</v>
      </c>
      <c r="AC99" s="134"/>
      <c r="AD99" s="134">
        <v>44516</v>
      </c>
      <c r="AE99" s="134"/>
      <c r="AF99" s="134">
        <f t="shared" ca="1" si="6"/>
        <v>44963</v>
      </c>
      <c r="AG99" s="126">
        <f t="shared" ca="1" si="7"/>
        <v>447</v>
      </c>
      <c r="AH99" s="126" t="str">
        <f t="shared" si="8"/>
        <v/>
      </c>
      <c r="AI99" s="134"/>
      <c r="AJ99" s="143" t="s">
        <v>2688</v>
      </c>
      <c r="AK99" s="129">
        <v>8.27</v>
      </c>
      <c r="AL99" s="129">
        <v>8.2799999999999994</v>
      </c>
      <c r="AM99" s="129">
        <v>8.3049999999999979</v>
      </c>
      <c r="AN99" s="129">
        <v>8.3099999999999987</v>
      </c>
      <c r="AO99" s="126" t="str">
        <f t="shared" si="9"/>
        <v/>
      </c>
      <c r="AR99" s="99" t="s">
        <v>136</v>
      </c>
    </row>
    <row r="100" spans="1:44" s="99" customFormat="1" ht="21" customHeight="1" x14ac:dyDescent="0.35">
      <c r="A100" s="99">
        <v>424</v>
      </c>
      <c r="B100" s="126" t="str">
        <f t="shared" si="5"/>
        <v>0-304L/1D-003X776</v>
      </c>
      <c r="C100" s="126" t="s">
        <v>2681</v>
      </c>
      <c r="D100" s="126" t="s">
        <v>11</v>
      </c>
      <c r="E100" s="143" t="s">
        <v>2697</v>
      </c>
      <c r="F100" s="143" t="s">
        <v>2698</v>
      </c>
      <c r="G100" s="126" t="s">
        <v>230</v>
      </c>
      <c r="H100" s="126" t="s">
        <v>139</v>
      </c>
      <c r="I100" s="127">
        <v>3.38</v>
      </c>
      <c r="J100" s="127"/>
      <c r="K100" s="127"/>
      <c r="L100" s="127"/>
      <c r="M100" s="144">
        <v>776</v>
      </c>
      <c r="N100" s="129">
        <v>10.125</v>
      </c>
      <c r="O100" s="129">
        <v>10.125</v>
      </c>
      <c r="P100" s="129"/>
      <c r="Q100" s="130"/>
      <c r="R100" s="131"/>
      <c r="S100" s="131"/>
      <c r="T100" s="132">
        <v>44603</v>
      </c>
      <c r="U100" s="132"/>
      <c r="V100" s="132"/>
      <c r="W100" s="132"/>
      <c r="X100" s="132"/>
      <c r="Y100" s="133" t="s">
        <v>1395</v>
      </c>
      <c r="Z100" s="126" t="s">
        <v>64</v>
      </c>
      <c r="AA100" s="134" t="s">
        <v>154</v>
      </c>
      <c r="AB100" s="134" t="s">
        <v>1516</v>
      </c>
      <c r="AC100" s="134"/>
      <c r="AD100" s="134">
        <v>44554</v>
      </c>
      <c r="AE100" s="134"/>
      <c r="AF100" s="134">
        <f t="shared" ca="1" si="6"/>
        <v>44963</v>
      </c>
      <c r="AG100" s="126">
        <f t="shared" ca="1" si="7"/>
        <v>409</v>
      </c>
      <c r="AH100" s="126" t="str">
        <f t="shared" si="8"/>
        <v/>
      </c>
      <c r="AI100" s="134"/>
      <c r="AJ100" s="143" t="s">
        <v>2691</v>
      </c>
      <c r="AK100" s="129">
        <v>10.125</v>
      </c>
      <c r="AL100" s="129">
        <v>10.135</v>
      </c>
      <c r="AM100" s="129">
        <v>10.159999999999998</v>
      </c>
      <c r="AN100" s="129">
        <v>10.164999999999999</v>
      </c>
      <c r="AO100" s="126" t="str">
        <f t="shared" si="9"/>
        <v/>
      </c>
      <c r="AR100" s="99" t="s">
        <v>136</v>
      </c>
    </row>
    <row r="101" spans="1:44" s="99" customFormat="1" ht="21" customHeight="1" x14ac:dyDescent="0.35">
      <c r="A101" s="99">
        <v>422</v>
      </c>
      <c r="B101" s="126" t="str">
        <f t="shared" si="5"/>
        <v>0-304L/FH-001X768</v>
      </c>
      <c r="C101" s="126" t="s">
        <v>2685</v>
      </c>
      <c r="D101" s="126" t="s">
        <v>13</v>
      </c>
      <c r="E101" s="143" t="s">
        <v>2692</v>
      </c>
      <c r="F101" s="143" t="s">
        <v>2693</v>
      </c>
      <c r="G101" s="126" t="s">
        <v>230</v>
      </c>
      <c r="H101" s="126" t="s">
        <v>65</v>
      </c>
      <c r="I101" s="127">
        <v>2.88</v>
      </c>
      <c r="J101" s="127">
        <v>0.9</v>
      </c>
      <c r="K101" s="127"/>
      <c r="L101" s="127"/>
      <c r="M101" s="144">
        <v>768</v>
      </c>
      <c r="N101" s="129">
        <v>7.2850000000000001</v>
      </c>
      <c r="O101" s="129">
        <v>7.2750000000000004</v>
      </c>
      <c r="P101" s="129"/>
      <c r="Q101" s="130"/>
      <c r="R101" s="131"/>
      <c r="S101" s="131"/>
      <c r="T101" s="132">
        <v>44603</v>
      </c>
      <c r="U101" s="132"/>
      <c r="V101" s="132"/>
      <c r="W101" s="132"/>
      <c r="X101" s="132"/>
      <c r="Y101" s="133"/>
      <c r="Z101" s="126" t="s">
        <v>64</v>
      </c>
      <c r="AA101" s="134" t="s">
        <v>154</v>
      </c>
      <c r="AB101" s="134" t="s">
        <v>1330</v>
      </c>
      <c r="AC101" s="134"/>
      <c r="AD101" s="134">
        <v>44516</v>
      </c>
      <c r="AE101" s="134"/>
      <c r="AF101" s="134">
        <f t="shared" ca="1" si="6"/>
        <v>44963</v>
      </c>
      <c r="AG101" s="126">
        <f t="shared" ca="1" si="7"/>
        <v>447</v>
      </c>
      <c r="AH101" s="126" t="str">
        <f t="shared" si="8"/>
        <v/>
      </c>
      <c r="AI101" s="134"/>
      <c r="AJ101" s="143" t="s">
        <v>1347</v>
      </c>
      <c r="AK101" s="129">
        <v>7.2850000000000001</v>
      </c>
      <c r="AL101" s="129">
        <v>7.2949999999999999</v>
      </c>
      <c r="AM101" s="129">
        <v>7.32</v>
      </c>
      <c r="AN101" s="129">
        <v>7.3250000000000002</v>
      </c>
      <c r="AO101" s="126" t="str">
        <f t="shared" si="9"/>
        <v/>
      </c>
      <c r="AR101" s="99" t="s">
        <v>136</v>
      </c>
    </row>
    <row r="102" spans="1:44" s="99" customFormat="1" ht="21" customHeight="1" x14ac:dyDescent="0.35">
      <c r="A102" s="99">
        <v>424</v>
      </c>
      <c r="B102" s="126" t="str">
        <f t="shared" si="5"/>
        <v>0-304/1D-004X770</v>
      </c>
      <c r="C102" s="126" t="s">
        <v>2681</v>
      </c>
      <c r="D102" s="126" t="s">
        <v>11</v>
      </c>
      <c r="E102" s="143" t="s">
        <v>2699</v>
      </c>
      <c r="F102" s="143" t="s">
        <v>2700</v>
      </c>
      <c r="G102" s="126">
        <v>304</v>
      </c>
      <c r="H102" s="126" t="s">
        <v>139</v>
      </c>
      <c r="I102" s="127">
        <v>3.9</v>
      </c>
      <c r="J102" s="127"/>
      <c r="K102" s="127"/>
      <c r="L102" s="127"/>
      <c r="M102" s="144">
        <v>770</v>
      </c>
      <c r="N102" s="129">
        <v>10.205</v>
      </c>
      <c r="O102" s="129">
        <v>10.205</v>
      </c>
      <c r="P102" s="129"/>
      <c r="Q102" s="130"/>
      <c r="R102" s="131"/>
      <c r="S102" s="131"/>
      <c r="T102" s="132">
        <v>44603</v>
      </c>
      <c r="U102" s="132"/>
      <c r="V102" s="132"/>
      <c r="W102" s="132"/>
      <c r="X102" s="132"/>
      <c r="Y102" s="133" t="s">
        <v>1395</v>
      </c>
      <c r="Z102" s="126" t="s">
        <v>64</v>
      </c>
      <c r="AA102" s="134" t="s">
        <v>154</v>
      </c>
      <c r="AB102" s="134" t="s">
        <v>1516</v>
      </c>
      <c r="AC102" s="134"/>
      <c r="AD102" s="134">
        <v>44554</v>
      </c>
      <c r="AE102" s="134"/>
      <c r="AF102" s="134">
        <f t="shared" ca="1" si="6"/>
        <v>44963</v>
      </c>
      <c r="AG102" s="126">
        <f t="shared" ca="1" si="7"/>
        <v>409</v>
      </c>
      <c r="AH102" s="126" t="str">
        <f t="shared" si="8"/>
        <v/>
      </c>
      <c r="AI102" s="134"/>
      <c r="AJ102" s="143" t="s">
        <v>1700</v>
      </c>
      <c r="AK102" s="129">
        <v>10.205</v>
      </c>
      <c r="AL102" s="129">
        <v>10.215</v>
      </c>
      <c r="AM102" s="129">
        <v>10.239999999999998</v>
      </c>
      <c r="AN102" s="129">
        <v>10.244999999999999</v>
      </c>
      <c r="AO102" s="126" t="str">
        <f t="shared" si="9"/>
        <v/>
      </c>
      <c r="AR102" s="99" t="s">
        <v>136</v>
      </c>
    </row>
    <row r="103" spans="1:44" s="99" customFormat="1" ht="21" customHeight="1" x14ac:dyDescent="0.35">
      <c r="A103" s="99">
        <v>424</v>
      </c>
      <c r="B103" s="126" t="str">
        <f t="shared" si="5"/>
        <v>0-304L/FH-001X776</v>
      </c>
      <c r="C103" s="126" t="s">
        <v>2685</v>
      </c>
      <c r="D103" s="126" t="s">
        <v>13</v>
      </c>
      <c r="E103" s="143" t="s">
        <v>2697</v>
      </c>
      <c r="F103" s="143" t="s">
        <v>2698</v>
      </c>
      <c r="G103" s="126" t="s">
        <v>230</v>
      </c>
      <c r="H103" s="126" t="s">
        <v>65</v>
      </c>
      <c r="I103" s="127">
        <v>3.38</v>
      </c>
      <c r="J103" s="127">
        <v>1.35</v>
      </c>
      <c r="K103" s="127"/>
      <c r="L103" s="127"/>
      <c r="M103" s="144">
        <v>776</v>
      </c>
      <c r="N103" s="129">
        <v>10.125</v>
      </c>
      <c r="O103" s="129">
        <v>10.14</v>
      </c>
      <c r="P103" s="129"/>
      <c r="Q103" s="130"/>
      <c r="R103" s="131"/>
      <c r="S103" s="131"/>
      <c r="T103" s="132">
        <v>44603</v>
      </c>
      <c r="U103" s="132"/>
      <c r="V103" s="132"/>
      <c r="W103" s="132"/>
      <c r="X103" s="132"/>
      <c r="Y103" s="133" t="s">
        <v>1395</v>
      </c>
      <c r="Z103" s="126" t="s">
        <v>64</v>
      </c>
      <c r="AA103" s="134" t="s">
        <v>154</v>
      </c>
      <c r="AB103" s="134" t="s">
        <v>1516</v>
      </c>
      <c r="AC103" s="134"/>
      <c r="AD103" s="134">
        <v>44554</v>
      </c>
      <c r="AE103" s="134"/>
      <c r="AF103" s="134">
        <f t="shared" ca="1" si="6"/>
        <v>44963</v>
      </c>
      <c r="AG103" s="126">
        <f t="shared" ca="1" si="7"/>
        <v>409</v>
      </c>
      <c r="AH103" s="126" t="str">
        <f t="shared" si="8"/>
        <v/>
      </c>
      <c r="AI103" s="134"/>
      <c r="AJ103" s="143" t="s">
        <v>2691</v>
      </c>
      <c r="AK103" s="129">
        <v>10.125</v>
      </c>
      <c r="AL103" s="129">
        <v>10.135</v>
      </c>
      <c r="AM103" s="129">
        <v>10.159999999999998</v>
      </c>
      <c r="AN103" s="129">
        <v>10.164999999999999</v>
      </c>
      <c r="AO103" s="126" t="str">
        <f t="shared" si="9"/>
        <v/>
      </c>
      <c r="AR103" s="99" t="s">
        <v>136</v>
      </c>
    </row>
    <row r="104" spans="1:44" s="99" customFormat="1" ht="21" customHeight="1" x14ac:dyDescent="0.35">
      <c r="A104" s="99">
        <v>422</v>
      </c>
      <c r="B104" s="126" t="str">
        <f t="shared" si="5"/>
        <v>0-304L/1D-003X772</v>
      </c>
      <c r="C104" s="126" t="s">
        <v>2681</v>
      </c>
      <c r="D104" s="126" t="s">
        <v>11</v>
      </c>
      <c r="E104" s="143" t="s">
        <v>2701</v>
      </c>
      <c r="F104" s="143" t="s">
        <v>2702</v>
      </c>
      <c r="G104" s="126" t="s">
        <v>230</v>
      </c>
      <c r="H104" s="126" t="s">
        <v>139</v>
      </c>
      <c r="I104" s="127">
        <v>2.89</v>
      </c>
      <c r="J104" s="127"/>
      <c r="K104" s="127"/>
      <c r="L104" s="127"/>
      <c r="M104" s="144">
        <v>772</v>
      </c>
      <c r="N104" s="129">
        <v>10.46</v>
      </c>
      <c r="O104" s="129">
        <v>10.46</v>
      </c>
      <c r="P104" s="129"/>
      <c r="Q104" s="130"/>
      <c r="R104" s="131"/>
      <c r="S104" s="131"/>
      <c r="T104" s="132">
        <v>44603</v>
      </c>
      <c r="U104" s="132"/>
      <c r="V104" s="132"/>
      <c r="W104" s="132"/>
      <c r="X104" s="132"/>
      <c r="Y104" s="133"/>
      <c r="Z104" s="126" t="s">
        <v>64</v>
      </c>
      <c r="AA104" s="134" t="s">
        <v>154</v>
      </c>
      <c r="AB104" s="134" t="s">
        <v>1296</v>
      </c>
      <c r="AC104" s="134"/>
      <c r="AD104" s="134">
        <v>44516</v>
      </c>
      <c r="AE104" s="134"/>
      <c r="AF104" s="134">
        <f t="shared" ca="1" si="6"/>
        <v>44963</v>
      </c>
      <c r="AG104" s="126">
        <f t="shared" ca="1" si="7"/>
        <v>447</v>
      </c>
      <c r="AH104" s="126" t="str">
        <f t="shared" si="8"/>
        <v/>
      </c>
      <c r="AI104" s="134"/>
      <c r="AJ104" s="143" t="s">
        <v>2703</v>
      </c>
      <c r="AK104" s="129">
        <v>10.46</v>
      </c>
      <c r="AL104" s="129">
        <v>10.47</v>
      </c>
      <c r="AM104" s="129">
        <v>10.494999999999999</v>
      </c>
      <c r="AN104" s="129">
        <v>10.5</v>
      </c>
      <c r="AO104" s="126" t="str">
        <f t="shared" si="9"/>
        <v/>
      </c>
      <c r="AR104" s="99" t="s">
        <v>136</v>
      </c>
    </row>
    <row r="105" spans="1:44" s="99" customFormat="1" ht="21" customHeight="1" x14ac:dyDescent="0.35">
      <c r="A105" s="99">
        <v>422</v>
      </c>
      <c r="B105" s="126" t="str">
        <f t="shared" si="5"/>
        <v>0-304L/FH-001X772</v>
      </c>
      <c r="C105" s="126" t="s">
        <v>2685</v>
      </c>
      <c r="D105" s="126" t="s">
        <v>13</v>
      </c>
      <c r="E105" s="143" t="s">
        <v>2694</v>
      </c>
      <c r="F105" s="143" t="s">
        <v>2695</v>
      </c>
      <c r="G105" s="126" t="s">
        <v>230</v>
      </c>
      <c r="H105" s="126" t="s">
        <v>65</v>
      </c>
      <c r="I105" s="127">
        <v>2.92</v>
      </c>
      <c r="J105" s="127">
        <v>1</v>
      </c>
      <c r="K105" s="127"/>
      <c r="L105" s="127"/>
      <c r="M105" s="144">
        <v>772</v>
      </c>
      <c r="N105" s="129">
        <v>7.9349999999999996</v>
      </c>
      <c r="O105" s="129">
        <v>7.9349999999999996</v>
      </c>
      <c r="P105" s="129"/>
      <c r="Q105" s="130"/>
      <c r="R105" s="131"/>
      <c r="S105" s="131"/>
      <c r="T105" s="132">
        <v>44603</v>
      </c>
      <c r="U105" s="132"/>
      <c r="V105" s="132"/>
      <c r="W105" s="132"/>
      <c r="X105" s="132"/>
      <c r="Y105" s="133"/>
      <c r="Z105" s="126" t="s">
        <v>64</v>
      </c>
      <c r="AA105" s="134" t="s">
        <v>154</v>
      </c>
      <c r="AB105" s="134" t="s">
        <v>1296</v>
      </c>
      <c r="AC105" s="134"/>
      <c r="AD105" s="134">
        <v>44516</v>
      </c>
      <c r="AE105" s="134"/>
      <c r="AF105" s="134">
        <f t="shared" ca="1" si="6"/>
        <v>44963</v>
      </c>
      <c r="AG105" s="126">
        <f t="shared" ca="1" si="7"/>
        <v>447</v>
      </c>
      <c r="AH105" s="126" t="str">
        <f t="shared" si="8"/>
        <v/>
      </c>
      <c r="AI105" s="134"/>
      <c r="AJ105" s="143" t="s">
        <v>2696</v>
      </c>
      <c r="AK105" s="129">
        <v>7.9349999999999996</v>
      </c>
      <c r="AL105" s="129">
        <v>7.9450000000000003</v>
      </c>
      <c r="AM105" s="129">
        <v>7.9700000000000006</v>
      </c>
      <c r="AN105" s="129">
        <v>7.9750000000000005</v>
      </c>
      <c r="AO105" s="126" t="str">
        <f t="shared" si="9"/>
        <v/>
      </c>
      <c r="AR105" s="99" t="s">
        <v>136</v>
      </c>
    </row>
    <row r="106" spans="1:44" s="99" customFormat="1" ht="21" customHeight="1" x14ac:dyDescent="0.35">
      <c r="A106" s="99">
        <v>421</v>
      </c>
      <c r="B106" s="126" t="str">
        <f t="shared" si="5"/>
        <v>0-304L/1D-003X770</v>
      </c>
      <c r="C106" s="126" t="s">
        <v>2681</v>
      </c>
      <c r="D106" s="126" t="s">
        <v>11</v>
      </c>
      <c r="E106" s="143" t="s">
        <v>2704</v>
      </c>
      <c r="F106" s="143" t="s">
        <v>2705</v>
      </c>
      <c r="G106" s="126" t="s">
        <v>230</v>
      </c>
      <c r="H106" s="126" t="s">
        <v>139</v>
      </c>
      <c r="I106" s="127">
        <v>2.87</v>
      </c>
      <c r="J106" s="127"/>
      <c r="K106" s="127"/>
      <c r="L106" s="127"/>
      <c r="M106" s="144">
        <v>770</v>
      </c>
      <c r="N106" s="129">
        <v>7.915</v>
      </c>
      <c r="O106" s="129">
        <v>7.915</v>
      </c>
      <c r="P106" s="129"/>
      <c r="Q106" s="130"/>
      <c r="R106" s="131"/>
      <c r="S106" s="131"/>
      <c r="T106" s="132">
        <v>44603</v>
      </c>
      <c r="U106" s="132"/>
      <c r="V106" s="132"/>
      <c r="W106" s="132"/>
      <c r="X106" s="132"/>
      <c r="Y106" s="133"/>
      <c r="Z106" s="126" t="s">
        <v>64</v>
      </c>
      <c r="AA106" s="134" t="s">
        <v>154</v>
      </c>
      <c r="AB106" s="134" t="s">
        <v>1190</v>
      </c>
      <c r="AC106" s="134"/>
      <c r="AD106" s="134">
        <v>44496</v>
      </c>
      <c r="AE106" s="134"/>
      <c r="AF106" s="134">
        <f t="shared" ca="1" si="6"/>
        <v>44963</v>
      </c>
      <c r="AG106" s="126">
        <f t="shared" ca="1" si="7"/>
        <v>467</v>
      </c>
      <c r="AH106" s="126" t="str">
        <f t="shared" si="8"/>
        <v/>
      </c>
      <c r="AI106" s="134"/>
      <c r="AJ106" s="143" t="s">
        <v>1234</v>
      </c>
      <c r="AK106" s="129">
        <v>7.915</v>
      </c>
      <c r="AL106" s="129">
        <v>7.9249999999999998</v>
      </c>
      <c r="AM106" s="129">
        <v>7.95</v>
      </c>
      <c r="AN106" s="129">
        <v>7.9550000000000001</v>
      </c>
      <c r="AO106" s="126" t="str">
        <f t="shared" si="9"/>
        <v/>
      </c>
      <c r="AR106" s="99" t="s">
        <v>136</v>
      </c>
    </row>
    <row r="107" spans="1:44" s="99" customFormat="1" ht="21" customHeight="1" x14ac:dyDescent="0.35">
      <c r="A107" s="99">
        <v>424</v>
      </c>
      <c r="B107" s="126" t="str">
        <f t="shared" si="5"/>
        <v>0-304/FH-002X770</v>
      </c>
      <c r="C107" s="126" t="s">
        <v>2685</v>
      </c>
      <c r="D107" s="126" t="s">
        <v>13</v>
      </c>
      <c r="E107" s="143" t="s">
        <v>2699</v>
      </c>
      <c r="F107" s="143" t="s">
        <v>2700</v>
      </c>
      <c r="G107" s="126">
        <v>304</v>
      </c>
      <c r="H107" s="126" t="s">
        <v>65</v>
      </c>
      <c r="I107" s="127">
        <v>3.9</v>
      </c>
      <c r="J107" s="127">
        <v>1.9</v>
      </c>
      <c r="K107" s="127"/>
      <c r="L107" s="127"/>
      <c r="M107" s="144">
        <v>770</v>
      </c>
      <c r="N107" s="129">
        <v>10.205</v>
      </c>
      <c r="O107" s="129">
        <v>10.210000000000001</v>
      </c>
      <c r="P107" s="129"/>
      <c r="Q107" s="130"/>
      <c r="R107" s="131"/>
      <c r="S107" s="131"/>
      <c r="T107" s="132">
        <v>44603</v>
      </c>
      <c r="U107" s="132"/>
      <c r="V107" s="132"/>
      <c r="W107" s="132"/>
      <c r="X107" s="132"/>
      <c r="Y107" s="133" t="s">
        <v>1395</v>
      </c>
      <c r="Z107" s="126" t="s">
        <v>64</v>
      </c>
      <c r="AA107" s="134" t="s">
        <v>154</v>
      </c>
      <c r="AB107" s="134" t="s">
        <v>1516</v>
      </c>
      <c r="AC107" s="134"/>
      <c r="AD107" s="134">
        <v>44554</v>
      </c>
      <c r="AE107" s="134"/>
      <c r="AF107" s="134">
        <f t="shared" ca="1" si="6"/>
        <v>44963</v>
      </c>
      <c r="AG107" s="126">
        <f t="shared" ca="1" si="7"/>
        <v>409</v>
      </c>
      <c r="AH107" s="126" t="str">
        <f t="shared" si="8"/>
        <v/>
      </c>
      <c r="AI107" s="134"/>
      <c r="AJ107" s="143" t="s">
        <v>1700</v>
      </c>
      <c r="AK107" s="129">
        <v>10.205</v>
      </c>
      <c r="AL107" s="129">
        <v>10.215</v>
      </c>
      <c r="AM107" s="129">
        <v>10.239999999999998</v>
      </c>
      <c r="AN107" s="129">
        <v>10.244999999999999</v>
      </c>
      <c r="AO107" s="126" t="str">
        <f t="shared" si="9"/>
        <v/>
      </c>
      <c r="AR107" s="99" t="s">
        <v>136</v>
      </c>
    </row>
    <row r="108" spans="1:44" s="99" customFormat="1" ht="21" customHeight="1" x14ac:dyDescent="0.35">
      <c r="A108" s="99">
        <v>422</v>
      </c>
      <c r="B108" s="126" t="str">
        <f t="shared" si="5"/>
        <v>0-304L/1D-003X765</v>
      </c>
      <c r="C108" s="126" t="s">
        <v>2681</v>
      </c>
      <c r="D108" s="126" t="s">
        <v>11</v>
      </c>
      <c r="E108" s="143" t="s">
        <v>2706</v>
      </c>
      <c r="F108" s="143" t="s">
        <v>2707</v>
      </c>
      <c r="G108" s="126" t="s">
        <v>230</v>
      </c>
      <c r="H108" s="126" t="s">
        <v>139</v>
      </c>
      <c r="I108" s="127">
        <v>2.88</v>
      </c>
      <c r="J108" s="127"/>
      <c r="K108" s="127"/>
      <c r="L108" s="127"/>
      <c r="M108" s="144">
        <v>765</v>
      </c>
      <c r="N108" s="129">
        <v>7.0250000000000004</v>
      </c>
      <c r="O108" s="129">
        <v>7.0250000000000004</v>
      </c>
      <c r="P108" s="129"/>
      <c r="Q108" s="130"/>
      <c r="R108" s="131"/>
      <c r="S108" s="131"/>
      <c r="T108" s="132">
        <v>44603</v>
      </c>
      <c r="U108" s="132"/>
      <c r="V108" s="132"/>
      <c r="W108" s="132"/>
      <c r="X108" s="132"/>
      <c r="Y108" s="133"/>
      <c r="Z108" s="126" t="s">
        <v>64</v>
      </c>
      <c r="AA108" s="134" t="s">
        <v>154</v>
      </c>
      <c r="AB108" s="134" t="s">
        <v>1296</v>
      </c>
      <c r="AC108" s="134"/>
      <c r="AD108" s="134">
        <v>44516</v>
      </c>
      <c r="AE108" s="134"/>
      <c r="AF108" s="134">
        <f t="shared" ca="1" si="6"/>
        <v>44963</v>
      </c>
      <c r="AG108" s="126">
        <f t="shared" ca="1" si="7"/>
        <v>447</v>
      </c>
      <c r="AH108" s="126" t="str">
        <f t="shared" si="8"/>
        <v/>
      </c>
      <c r="AI108" s="134"/>
      <c r="AJ108" s="143" t="s">
        <v>2708</v>
      </c>
      <c r="AK108" s="129">
        <v>7.0250000000000004</v>
      </c>
      <c r="AL108" s="129">
        <v>7.0350000000000001</v>
      </c>
      <c r="AM108" s="129">
        <v>7.0600000000000005</v>
      </c>
      <c r="AN108" s="129">
        <v>7.0650000000000004</v>
      </c>
      <c r="AO108" s="126" t="str">
        <f t="shared" si="9"/>
        <v/>
      </c>
      <c r="AR108" s="99" t="s">
        <v>136</v>
      </c>
    </row>
    <row r="109" spans="1:44" s="99" customFormat="1" ht="21" customHeight="1" x14ac:dyDescent="0.35">
      <c r="A109" s="99">
        <v>422</v>
      </c>
      <c r="B109" s="126" t="str">
        <f t="shared" si="5"/>
        <v>0-304L/FH-001X772</v>
      </c>
      <c r="C109" s="126" t="s">
        <v>2685</v>
      </c>
      <c r="D109" s="126" t="s">
        <v>13</v>
      </c>
      <c r="E109" s="143" t="s">
        <v>2701</v>
      </c>
      <c r="F109" s="143" t="s">
        <v>2702</v>
      </c>
      <c r="G109" s="126" t="s">
        <v>230</v>
      </c>
      <c r="H109" s="126" t="s">
        <v>65</v>
      </c>
      <c r="I109" s="127">
        <v>2.89</v>
      </c>
      <c r="J109" s="127">
        <v>0.9</v>
      </c>
      <c r="K109" s="127"/>
      <c r="L109" s="127"/>
      <c r="M109" s="144">
        <v>772</v>
      </c>
      <c r="N109" s="129">
        <v>10.46</v>
      </c>
      <c r="O109" s="129">
        <v>10.46</v>
      </c>
      <c r="P109" s="129"/>
      <c r="Q109" s="130"/>
      <c r="R109" s="131"/>
      <c r="S109" s="131"/>
      <c r="T109" s="132">
        <v>44603</v>
      </c>
      <c r="U109" s="132"/>
      <c r="V109" s="132"/>
      <c r="W109" s="132"/>
      <c r="X109" s="132"/>
      <c r="Y109" s="133"/>
      <c r="Z109" s="126" t="s">
        <v>64</v>
      </c>
      <c r="AA109" s="134" t="s">
        <v>154</v>
      </c>
      <c r="AB109" s="134" t="s">
        <v>1296</v>
      </c>
      <c r="AC109" s="134"/>
      <c r="AD109" s="134">
        <v>44516</v>
      </c>
      <c r="AE109" s="134"/>
      <c r="AF109" s="134">
        <f t="shared" ca="1" si="6"/>
        <v>44963</v>
      </c>
      <c r="AG109" s="126">
        <f t="shared" ca="1" si="7"/>
        <v>447</v>
      </c>
      <c r="AH109" s="126" t="str">
        <f t="shared" si="8"/>
        <v/>
      </c>
      <c r="AI109" s="134"/>
      <c r="AJ109" s="143" t="s">
        <v>2703</v>
      </c>
      <c r="AK109" s="129">
        <v>10.46</v>
      </c>
      <c r="AL109" s="129">
        <v>10.47</v>
      </c>
      <c r="AM109" s="129">
        <v>10.494999999999999</v>
      </c>
      <c r="AN109" s="129">
        <v>10.5</v>
      </c>
      <c r="AO109" s="126" t="str">
        <f t="shared" si="9"/>
        <v/>
      </c>
      <c r="AR109" s="99" t="s">
        <v>136</v>
      </c>
    </row>
    <row r="110" spans="1:44" s="99" customFormat="1" ht="21.75" customHeight="1" x14ac:dyDescent="0.35">
      <c r="A110" s="99">
        <v>421</v>
      </c>
      <c r="B110" s="126" t="str">
        <f t="shared" si="5"/>
        <v>0-304/1D-003X770</v>
      </c>
      <c r="C110" s="126" t="s">
        <v>2681</v>
      </c>
      <c r="D110" s="126" t="s">
        <v>11</v>
      </c>
      <c r="E110" s="143" t="s">
        <v>2709</v>
      </c>
      <c r="F110" s="143" t="s">
        <v>2710</v>
      </c>
      <c r="G110" s="126">
        <v>304</v>
      </c>
      <c r="H110" s="126" t="s">
        <v>139</v>
      </c>
      <c r="I110" s="127">
        <v>3.01</v>
      </c>
      <c r="J110" s="127"/>
      <c r="K110" s="127"/>
      <c r="L110" s="127"/>
      <c r="M110" s="144">
        <v>770</v>
      </c>
      <c r="N110" s="129">
        <v>10.5</v>
      </c>
      <c r="O110" s="129">
        <v>10.5</v>
      </c>
      <c r="P110" s="129"/>
      <c r="Q110" s="130"/>
      <c r="R110" s="131"/>
      <c r="S110" s="131"/>
      <c r="T110" s="132">
        <v>44603</v>
      </c>
      <c r="U110" s="132"/>
      <c r="V110" s="132"/>
      <c r="W110" s="132"/>
      <c r="X110" s="132"/>
      <c r="Y110" s="133"/>
      <c r="Z110" s="126" t="s">
        <v>64</v>
      </c>
      <c r="AA110" s="134" t="s">
        <v>154</v>
      </c>
      <c r="AB110" s="134" t="s">
        <v>1239</v>
      </c>
      <c r="AC110" s="134"/>
      <c r="AD110" s="134">
        <v>44496</v>
      </c>
      <c r="AE110" s="134"/>
      <c r="AF110" s="134">
        <f t="shared" ca="1" si="6"/>
        <v>44963</v>
      </c>
      <c r="AG110" s="126">
        <f t="shared" ca="1" si="7"/>
        <v>467</v>
      </c>
      <c r="AH110" s="126" t="str">
        <f t="shared" si="8"/>
        <v/>
      </c>
      <c r="AI110" s="134"/>
      <c r="AJ110" s="143" t="s">
        <v>2711</v>
      </c>
      <c r="AK110" s="129">
        <v>10.5</v>
      </c>
      <c r="AL110" s="129">
        <v>10.51</v>
      </c>
      <c r="AM110" s="129">
        <v>10.534999999999998</v>
      </c>
      <c r="AN110" s="129">
        <v>10.54</v>
      </c>
      <c r="AO110" s="126" t="str">
        <f t="shared" si="9"/>
        <v/>
      </c>
      <c r="AR110" s="99" t="s">
        <v>136</v>
      </c>
    </row>
    <row r="111" spans="1:44" s="99" customFormat="1" ht="21" customHeight="1" x14ac:dyDescent="0.35">
      <c r="A111" s="99">
        <v>424</v>
      </c>
      <c r="B111" s="126" t="str">
        <f t="shared" si="5"/>
        <v>0-304L/FH-001X775</v>
      </c>
      <c r="C111" s="126" t="s">
        <v>2712</v>
      </c>
      <c r="D111" s="126" t="s">
        <v>13</v>
      </c>
      <c r="E111" s="143" t="s">
        <v>2689</v>
      </c>
      <c r="F111" s="143" t="s">
        <v>2690</v>
      </c>
      <c r="G111" s="126" t="s">
        <v>230</v>
      </c>
      <c r="H111" s="126" t="s">
        <v>65</v>
      </c>
      <c r="I111" s="127">
        <v>3.38</v>
      </c>
      <c r="J111" s="127">
        <v>1.45</v>
      </c>
      <c r="K111" s="127"/>
      <c r="L111" s="127"/>
      <c r="M111" s="144">
        <v>775</v>
      </c>
      <c r="N111" s="129">
        <v>10.095000000000001</v>
      </c>
      <c r="O111" s="129">
        <v>10.11</v>
      </c>
      <c r="P111" s="129"/>
      <c r="Q111" s="130"/>
      <c r="R111" s="131"/>
      <c r="S111" s="131"/>
      <c r="T111" s="132">
        <v>44603</v>
      </c>
      <c r="U111" s="132"/>
      <c r="V111" s="132"/>
      <c r="W111" s="132"/>
      <c r="X111" s="132"/>
      <c r="Y111" s="133" t="s">
        <v>1395</v>
      </c>
      <c r="Z111" s="126" t="s">
        <v>64</v>
      </c>
      <c r="AA111" s="134" t="s">
        <v>154</v>
      </c>
      <c r="AB111" s="134" t="s">
        <v>1516</v>
      </c>
      <c r="AC111" s="134"/>
      <c r="AD111" s="134">
        <v>44554</v>
      </c>
      <c r="AE111" s="134"/>
      <c r="AF111" s="134">
        <f t="shared" ca="1" si="6"/>
        <v>44963</v>
      </c>
      <c r="AG111" s="126">
        <f t="shared" ca="1" si="7"/>
        <v>409</v>
      </c>
      <c r="AH111" s="126" t="str">
        <f t="shared" si="8"/>
        <v/>
      </c>
      <c r="AI111" s="134"/>
      <c r="AJ111" s="143" t="s">
        <v>2691</v>
      </c>
      <c r="AK111" s="129">
        <v>10.095000000000001</v>
      </c>
      <c r="AL111" s="129">
        <v>10.105</v>
      </c>
      <c r="AM111" s="129">
        <v>10.129999999999999</v>
      </c>
      <c r="AN111" s="129">
        <v>10.135</v>
      </c>
      <c r="AO111" s="126" t="str">
        <f t="shared" si="9"/>
        <v/>
      </c>
      <c r="AR111" s="99" t="s">
        <v>136</v>
      </c>
    </row>
    <row r="112" spans="1:44" s="99" customFormat="1" ht="21" customHeight="1" x14ac:dyDescent="0.35">
      <c r="A112" s="99">
        <v>424</v>
      </c>
      <c r="B112" s="126" t="str">
        <f t="shared" si="5"/>
        <v>0-304L/1D-003X770</v>
      </c>
      <c r="C112" s="126" t="s">
        <v>2713</v>
      </c>
      <c r="D112" s="126" t="s">
        <v>11</v>
      </c>
      <c r="E112" s="143" t="s">
        <v>2714</v>
      </c>
      <c r="F112" s="143" t="s">
        <v>2715</v>
      </c>
      <c r="G112" s="126" t="s">
        <v>230</v>
      </c>
      <c r="H112" s="126" t="s">
        <v>139</v>
      </c>
      <c r="I112" s="127">
        <v>3.38</v>
      </c>
      <c r="J112" s="127"/>
      <c r="K112" s="127"/>
      <c r="L112" s="127"/>
      <c r="M112" s="144">
        <v>770</v>
      </c>
      <c r="N112" s="129">
        <v>10.57</v>
      </c>
      <c r="O112" s="129">
        <v>10.57</v>
      </c>
      <c r="P112" s="129"/>
      <c r="Q112" s="130"/>
      <c r="R112" s="131"/>
      <c r="S112" s="131"/>
      <c r="T112" s="132">
        <v>44604</v>
      </c>
      <c r="U112" s="132"/>
      <c r="V112" s="132"/>
      <c r="W112" s="132"/>
      <c r="X112" s="132"/>
      <c r="Y112" s="133" t="s">
        <v>1395</v>
      </c>
      <c r="Z112" s="126" t="s">
        <v>64</v>
      </c>
      <c r="AA112" s="134" t="s">
        <v>154</v>
      </c>
      <c r="AB112" s="134" t="s">
        <v>1516</v>
      </c>
      <c r="AC112" s="134"/>
      <c r="AD112" s="134">
        <v>44554</v>
      </c>
      <c r="AE112" s="134"/>
      <c r="AF112" s="134">
        <f t="shared" ca="1" si="6"/>
        <v>44963</v>
      </c>
      <c r="AG112" s="126">
        <f t="shared" ca="1" si="7"/>
        <v>409</v>
      </c>
      <c r="AH112" s="126" t="str">
        <f t="shared" si="8"/>
        <v/>
      </c>
      <c r="AI112" s="134"/>
      <c r="AJ112" s="143" t="s">
        <v>2658</v>
      </c>
      <c r="AK112" s="129">
        <v>10.57</v>
      </c>
      <c r="AL112" s="129">
        <v>10.58</v>
      </c>
      <c r="AM112" s="129">
        <v>10.604999999999999</v>
      </c>
      <c r="AN112" s="129">
        <v>10.61</v>
      </c>
      <c r="AO112" s="126" t="str">
        <f t="shared" si="9"/>
        <v/>
      </c>
      <c r="AR112" s="99" t="s">
        <v>136</v>
      </c>
    </row>
    <row r="113" spans="1:44" s="99" customFormat="1" ht="21.75" customHeight="1" x14ac:dyDescent="0.35">
      <c r="A113" s="99">
        <v>421</v>
      </c>
      <c r="B113" s="126" t="str">
        <f t="shared" si="5"/>
        <v>0-304/FH-001X770</v>
      </c>
      <c r="C113" s="126" t="s">
        <v>2712</v>
      </c>
      <c r="D113" s="126" t="s">
        <v>13</v>
      </c>
      <c r="E113" s="143" t="s">
        <v>2709</v>
      </c>
      <c r="F113" s="143" t="s">
        <v>2710</v>
      </c>
      <c r="G113" s="126">
        <v>304</v>
      </c>
      <c r="H113" s="126" t="s">
        <v>65</v>
      </c>
      <c r="I113" s="127">
        <v>3.01</v>
      </c>
      <c r="J113" s="127">
        <v>1.1499999999999999</v>
      </c>
      <c r="K113" s="127"/>
      <c r="L113" s="127"/>
      <c r="M113" s="144">
        <v>770</v>
      </c>
      <c r="N113" s="129">
        <v>10.5</v>
      </c>
      <c r="O113" s="129">
        <v>10.51</v>
      </c>
      <c r="P113" s="129"/>
      <c r="Q113" s="130"/>
      <c r="R113" s="131"/>
      <c r="S113" s="131"/>
      <c r="T113" s="132">
        <v>44603</v>
      </c>
      <c r="U113" s="132"/>
      <c r="V113" s="132"/>
      <c r="W113" s="132"/>
      <c r="X113" s="132"/>
      <c r="Y113" s="133"/>
      <c r="Z113" s="126" t="s">
        <v>64</v>
      </c>
      <c r="AA113" s="134" t="s">
        <v>154</v>
      </c>
      <c r="AB113" s="134" t="s">
        <v>1239</v>
      </c>
      <c r="AC113" s="134"/>
      <c r="AD113" s="134">
        <v>44496</v>
      </c>
      <c r="AE113" s="134"/>
      <c r="AF113" s="134">
        <f t="shared" ca="1" si="6"/>
        <v>44963</v>
      </c>
      <c r="AG113" s="126">
        <f t="shared" ca="1" si="7"/>
        <v>467</v>
      </c>
      <c r="AH113" s="126" t="str">
        <f t="shared" si="8"/>
        <v/>
      </c>
      <c r="AI113" s="134"/>
      <c r="AJ113" s="143" t="s">
        <v>2711</v>
      </c>
      <c r="AK113" s="129">
        <v>10.5</v>
      </c>
      <c r="AL113" s="129">
        <v>10.51</v>
      </c>
      <c r="AM113" s="129">
        <v>10.534999999999998</v>
      </c>
      <c r="AN113" s="129">
        <v>10.54</v>
      </c>
      <c r="AO113" s="126" t="str">
        <f t="shared" si="9"/>
        <v/>
      </c>
      <c r="AR113" s="99" t="s">
        <v>136</v>
      </c>
    </row>
    <row r="114" spans="1:44" s="99" customFormat="1" ht="21" customHeight="1" x14ac:dyDescent="0.35">
      <c r="A114" s="99">
        <v>424</v>
      </c>
      <c r="B114" s="126" t="str">
        <f t="shared" si="5"/>
        <v>0-304L/1D-003X770</v>
      </c>
      <c r="C114" s="126" t="s">
        <v>2713</v>
      </c>
      <c r="D114" s="126" t="s">
        <v>11</v>
      </c>
      <c r="E114" s="143" t="s">
        <v>2716</v>
      </c>
      <c r="F114" s="143" t="s">
        <v>2717</v>
      </c>
      <c r="G114" s="126" t="s">
        <v>230</v>
      </c>
      <c r="H114" s="126" t="s">
        <v>139</v>
      </c>
      <c r="I114" s="127">
        <v>3.38</v>
      </c>
      <c r="J114" s="127"/>
      <c r="K114" s="127"/>
      <c r="L114" s="127"/>
      <c r="M114" s="144">
        <v>770</v>
      </c>
      <c r="N114" s="129">
        <v>10.395</v>
      </c>
      <c r="O114" s="129">
        <v>10.395</v>
      </c>
      <c r="P114" s="129"/>
      <c r="Q114" s="130"/>
      <c r="R114" s="131"/>
      <c r="S114" s="131"/>
      <c r="T114" s="132">
        <v>44604</v>
      </c>
      <c r="U114" s="132"/>
      <c r="V114" s="132"/>
      <c r="W114" s="132"/>
      <c r="X114" s="132"/>
      <c r="Y114" s="133" t="s">
        <v>1395</v>
      </c>
      <c r="Z114" s="126" t="s">
        <v>64</v>
      </c>
      <c r="AA114" s="134" t="s">
        <v>154</v>
      </c>
      <c r="AB114" s="134" t="s">
        <v>1516</v>
      </c>
      <c r="AC114" s="134"/>
      <c r="AD114" s="134">
        <v>44554</v>
      </c>
      <c r="AE114" s="134"/>
      <c r="AF114" s="134">
        <f t="shared" ca="1" si="6"/>
        <v>44963</v>
      </c>
      <c r="AG114" s="126">
        <f t="shared" ca="1" si="7"/>
        <v>409</v>
      </c>
      <c r="AH114" s="126" t="str">
        <f t="shared" si="8"/>
        <v/>
      </c>
      <c r="AI114" s="134"/>
      <c r="AJ114" s="143" t="s">
        <v>2611</v>
      </c>
      <c r="AK114" s="129">
        <v>10.395</v>
      </c>
      <c r="AL114" s="129">
        <v>10.404999999999999</v>
      </c>
      <c r="AM114" s="129">
        <v>10.429999999999998</v>
      </c>
      <c r="AN114" s="129">
        <v>10.434999999999999</v>
      </c>
      <c r="AO114" s="126" t="str">
        <f t="shared" si="9"/>
        <v/>
      </c>
      <c r="AR114" s="99" t="s">
        <v>136</v>
      </c>
    </row>
    <row r="115" spans="1:44" s="99" customFormat="1" ht="21" customHeight="1" x14ac:dyDescent="0.35">
      <c r="A115" s="99">
        <v>422</v>
      </c>
      <c r="B115" s="126" t="str">
        <f t="shared" si="5"/>
        <v>0-304L/FH-001X765</v>
      </c>
      <c r="C115" s="126" t="s">
        <v>2712</v>
      </c>
      <c r="D115" s="126" t="s">
        <v>13</v>
      </c>
      <c r="E115" s="143" t="s">
        <v>2706</v>
      </c>
      <c r="F115" s="143" t="s">
        <v>2707</v>
      </c>
      <c r="G115" s="126" t="s">
        <v>230</v>
      </c>
      <c r="H115" s="126" t="s">
        <v>65</v>
      </c>
      <c r="I115" s="127">
        <v>2.88</v>
      </c>
      <c r="J115" s="127">
        <v>0.9</v>
      </c>
      <c r="K115" s="127"/>
      <c r="L115" s="127"/>
      <c r="M115" s="144">
        <v>765</v>
      </c>
      <c r="N115" s="129">
        <v>7.0250000000000004</v>
      </c>
      <c r="O115" s="129">
        <v>7.0149999999999997</v>
      </c>
      <c r="P115" s="129"/>
      <c r="Q115" s="130"/>
      <c r="R115" s="131"/>
      <c r="S115" s="131"/>
      <c r="T115" s="132">
        <v>44603</v>
      </c>
      <c r="U115" s="132"/>
      <c r="V115" s="132"/>
      <c r="W115" s="132"/>
      <c r="X115" s="132"/>
      <c r="Y115" s="133"/>
      <c r="Z115" s="126" t="s">
        <v>64</v>
      </c>
      <c r="AA115" s="134" t="s">
        <v>154</v>
      </c>
      <c r="AB115" s="134" t="s">
        <v>1296</v>
      </c>
      <c r="AC115" s="134"/>
      <c r="AD115" s="134">
        <v>44516</v>
      </c>
      <c r="AE115" s="134"/>
      <c r="AF115" s="134">
        <f t="shared" ca="1" si="6"/>
        <v>44963</v>
      </c>
      <c r="AG115" s="126">
        <f t="shared" ca="1" si="7"/>
        <v>447</v>
      </c>
      <c r="AH115" s="126" t="str">
        <f t="shared" si="8"/>
        <v/>
      </c>
      <c r="AI115" s="134"/>
      <c r="AJ115" s="143" t="s">
        <v>2708</v>
      </c>
      <c r="AK115" s="129">
        <v>7.0250000000000004</v>
      </c>
      <c r="AL115" s="129">
        <v>7.0350000000000001</v>
      </c>
      <c r="AM115" s="129">
        <v>7.0600000000000005</v>
      </c>
      <c r="AN115" s="129">
        <v>7.0650000000000004</v>
      </c>
      <c r="AO115" s="126" t="str">
        <f t="shared" si="9"/>
        <v/>
      </c>
      <c r="AR115" s="99" t="s">
        <v>136</v>
      </c>
    </row>
    <row r="116" spans="1:44" s="99" customFormat="1" ht="21" customHeight="1" x14ac:dyDescent="0.35">
      <c r="A116" s="99">
        <v>424</v>
      </c>
      <c r="B116" s="126" t="str">
        <f t="shared" si="5"/>
        <v>0-304/1D-003X770</v>
      </c>
      <c r="C116" s="126" t="s">
        <v>2713</v>
      </c>
      <c r="D116" s="126" t="s">
        <v>11</v>
      </c>
      <c r="E116" s="143" t="s">
        <v>2718</v>
      </c>
      <c r="F116" s="143" t="s">
        <v>2719</v>
      </c>
      <c r="G116" s="126">
        <v>304</v>
      </c>
      <c r="H116" s="126" t="s">
        <v>139</v>
      </c>
      <c r="I116" s="127">
        <v>3.24</v>
      </c>
      <c r="J116" s="127"/>
      <c r="K116" s="127"/>
      <c r="L116" s="127"/>
      <c r="M116" s="144">
        <v>770</v>
      </c>
      <c r="N116" s="129">
        <v>10.54</v>
      </c>
      <c r="O116" s="129">
        <v>10.54</v>
      </c>
      <c r="P116" s="129"/>
      <c r="Q116" s="130"/>
      <c r="R116" s="131"/>
      <c r="S116" s="131"/>
      <c r="T116" s="132">
        <v>44604</v>
      </c>
      <c r="U116" s="132"/>
      <c r="V116" s="132"/>
      <c r="W116" s="132"/>
      <c r="X116" s="132"/>
      <c r="Y116" s="133" t="s">
        <v>1395</v>
      </c>
      <c r="Z116" s="126" t="s">
        <v>64</v>
      </c>
      <c r="AA116" s="134" t="s">
        <v>154</v>
      </c>
      <c r="AB116" s="134" t="s">
        <v>1330</v>
      </c>
      <c r="AC116" s="134"/>
      <c r="AD116" s="134">
        <v>44554</v>
      </c>
      <c r="AE116" s="134"/>
      <c r="AF116" s="134">
        <f t="shared" ca="1" si="6"/>
        <v>44963</v>
      </c>
      <c r="AG116" s="126">
        <f t="shared" ca="1" si="7"/>
        <v>409</v>
      </c>
      <c r="AH116" s="126" t="str">
        <f t="shared" si="8"/>
        <v/>
      </c>
      <c r="AI116" s="134"/>
      <c r="AJ116" s="143" t="s">
        <v>2720</v>
      </c>
      <c r="AK116" s="129">
        <v>10.54</v>
      </c>
      <c r="AL116" s="129">
        <v>10.55</v>
      </c>
      <c r="AM116" s="129">
        <v>10.574999999999999</v>
      </c>
      <c r="AN116" s="129">
        <v>10.58</v>
      </c>
      <c r="AO116" s="126" t="str">
        <f t="shared" si="9"/>
        <v/>
      </c>
      <c r="AR116" s="99" t="s">
        <v>136</v>
      </c>
    </row>
    <row r="117" spans="1:44" s="99" customFormat="1" ht="21" customHeight="1" x14ac:dyDescent="0.35">
      <c r="A117" s="99">
        <v>421</v>
      </c>
      <c r="B117" s="126" t="str">
        <f t="shared" si="5"/>
        <v>0-304L/FH-001X770</v>
      </c>
      <c r="C117" s="126" t="s">
        <v>2712</v>
      </c>
      <c r="D117" s="126" t="s">
        <v>13</v>
      </c>
      <c r="E117" s="143" t="s">
        <v>2704</v>
      </c>
      <c r="F117" s="143" t="s">
        <v>2705</v>
      </c>
      <c r="G117" s="126" t="s">
        <v>230</v>
      </c>
      <c r="H117" s="126" t="s">
        <v>65</v>
      </c>
      <c r="I117" s="127">
        <v>2.87</v>
      </c>
      <c r="J117" s="127">
        <v>0.9</v>
      </c>
      <c r="K117" s="127"/>
      <c r="L117" s="127"/>
      <c r="M117" s="144">
        <v>770</v>
      </c>
      <c r="N117" s="129">
        <v>7.915</v>
      </c>
      <c r="O117" s="129">
        <v>7.93</v>
      </c>
      <c r="P117" s="129"/>
      <c r="Q117" s="130"/>
      <c r="R117" s="131"/>
      <c r="S117" s="131"/>
      <c r="T117" s="132">
        <v>44603</v>
      </c>
      <c r="U117" s="132"/>
      <c r="V117" s="132"/>
      <c r="W117" s="132"/>
      <c r="X117" s="132"/>
      <c r="Y117" s="133"/>
      <c r="Z117" s="126" t="s">
        <v>64</v>
      </c>
      <c r="AA117" s="134" t="s">
        <v>154</v>
      </c>
      <c r="AB117" s="134" t="s">
        <v>1190</v>
      </c>
      <c r="AC117" s="134"/>
      <c r="AD117" s="134">
        <v>44496</v>
      </c>
      <c r="AE117" s="134"/>
      <c r="AF117" s="134">
        <f t="shared" ca="1" si="6"/>
        <v>44963</v>
      </c>
      <c r="AG117" s="126">
        <f t="shared" ca="1" si="7"/>
        <v>467</v>
      </c>
      <c r="AH117" s="126" t="str">
        <f t="shared" si="8"/>
        <v/>
      </c>
      <c r="AI117" s="134"/>
      <c r="AJ117" s="143" t="s">
        <v>1234</v>
      </c>
      <c r="AK117" s="129">
        <v>7.915</v>
      </c>
      <c r="AL117" s="129">
        <v>7.9249999999999998</v>
      </c>
      <c r="AM117" s="129">
        <v>7.95</v>
      </c>
      <c r="AN117" s="129">
        <v>7.9550000000000001</v>
      </c>
      <c r="AO117" s="126" t="str">
        <f t="shared" si="9"/>
        <v/>
      </c>
      <c r="AR117" s="99" t="s">
        <v>136</v>
      </c>
    </row>
    <row r="118" spans="1:44" s="99" customFormat="1" ht="21" customHeight="1" x14ac:dyDescent="0.35">
      <c r="A118" s="99">
        <v>422</v>
      </c>
      <c r="B118" s="126" t="str">
        <f t="shared" si="5"/>
        <v>0-304/1D-003X766</v>
      </c>
      <c r="C118" s="126" t="s">
        <v>2713</v>
      </c>
      <c r="D118" s="126" t="s">
        <v>11</v>
      </c>
      <c r="E118" s="143" t="s">
        <v>2721</v>
      </c>
      <c r="F118" s="143" t="s">
        <v>2722</v>
      </c>
      <c r="G118" s="126">
        <v>304</v>
      </c>
      <c r="H118" s="126" t="s">
        <v>139</v>
      </c>
      <c r="I118" s="127">
        <v>3.17</v>
      </c>
      <c r="J118" s="127"/>
      <c r="K118" s="127"/>
      <c r="L118" s="127"/>
      <c r="M118" s="144">
        <v>766</v>
      </c>
      <c r="N118" s="129">
        <v>10.23</v>
      </c>
      <c r="O118" s="129">
        <v>10.23</v>
      </c>
      <c r="P118" s="129"/>
      <c r="Q118" s="130"/>
      <c r="R118" s="131"/>
      <c r="S118" s="131"/>
      <c r="T118" s="132">
        <v>44604</v>
      </c>
      <c r="U118" s="132"/>
      <c r="V118" s="132"/>
      <c r="W118" s="132"/>
      <c r="X118" s="132"/>
      <c r="Y118" s="133"/>
      <c r="Z118" s="126" t="s">
        <v>64</v>
      </c>
      <c r="AA118" s="134" t="s">
        <v>154</v>
      </c>
      <c r="AB118" s="134" t="s">
        <v>1330</v>
      </c>
      <c r="AC118" s="134"/>
      <c r="AD118" s="134">
        <v>44516</v>
      </c>
      <c r="AE118" s="134"/>
      <c r="AF118" s="134">
        <f t="shared" ca="1" si="6"/>
        <v>44963</v>
      </c>
      <c r="AG118" s="126">
        <f t="shared" ca="1" si="7"/>
        <v>447</v>
      </c>
      <c r="AH118" s="126" t="str">
        <f t="shared" si="8"/>
        <v/>
      </c>
      <c r="AI118" s="134"/>
      <c r="AJ118" s="143" t="s">
        <v>2723</v>
      </c>
      <c r="AK118" s="129">
        <v>10.23</v>
      </c>
      <c r="AL118" s="129">
        <v>10.24</v>
      </c>
      <c r="AM118" s="129">
        <v>10.264999999999999</v>
      </c>
      <c r="AN118" s="129">
        <v>10.27</v>
      </c>
      <c r="AO118" s="126" t="str">
        <f t="shared" si="9"/>
        <v/>
      </c>
      <c r="AR118" s="99" t="s">
        <v>136</v>
      </c>
    </row>
    <row r="119" spans="1:44" s="99" customFormat="1" ht="21" customHeight="1" x14ac:dyDescent="0.35">
      <c r="A119" s="99">
        <v>424</v>
      </c>
      <c r="B119" s="126" t="str">
        <f t="shared" si="5"/>
        <v>0-304L/FH-001X770</v>
      </c>
      <c r="C119" s="126" t="s">
        <v>2712</v>
      </c>
      <c r="D119" s="126" t="s">
        <v>13</v>
      </c>
      <c r="E119" s="143" t="s">
        <v>2716</v>
      </c>
      <c r="F119" s="143" t="s">
        <v>2717</v>
      </c>
      <c r="G119" s="126" t="s">
        <v>230</v>
      </c>
      <c r="H119" s="126" t="s">
        <v>65</v>
      </c>
      <c r="I119" s="127">
        <v>3.38</v>
      </c>
      <c r="J119" s="127">
        <v>1.45</v>
      </c>
      <c r="K119" s="127"/>
      <c r="L119" s="127"/>
      <c r="M119" s="144">
        <v>770</v>
      </c>
      <c r="N119" s="129">
        <v>10.395</v>
      </c>
      <c r="O119" s="129">
        <v>10.41</v>
      </c>
      <c r="P119" s="129"/>
      <c r="Q119" s="130"/>
      <c r="R119" s="131"/>
      <c r="S119" s="131"/>
      <c r="T119" s="132">
        <v>44604</v>
      </c>
      <c r="U119" s="132"/>
      <c r="V119" s="132"/>
      <c r="W119" s="132"/>
      <c r="X119" s="132"/>
      <c r="Y119" s="133" t="s">
        <v>1395</v>
      </c>
      <c r="Z119" s="126" t="s">
        <v>64</v>
      </c>
      <c r="AA119" s="134" t="s">
        <v>154</v>
      </c>
      <c r="AB119" s="134" t="s">
        <v>1516</v>
      </c>
      <c r="AC119" s="134"/>
      <c r="AD119" s="134">
        <v>44554</v>
      </c>
      <c r="AE119" s="134"/>
      <c r="AF119" s="134">
        <f t="shared" ca="1" si="6"/>
        <v>44963</v>
      </c>
      <c r="AG119" s="126">
        <f t="shared" ca="1" si="7"/>
        <v>409</v>
      </c>
      <c r="AH119" s="126" t="str">
        <f t="shared" si="8"/>
        <v/>
      </c>
      <c r="AI119" s="134"/>
      <c r="AJ119" s="143" t="s">
        <v>2611</v>
      </c>
      <c r="AK119" s="129">
        <v>10.395</v>
      </c>
      <c r="AL119" s="129">
        <v>10.404999999999999</v>
      </c>
      <c r="AM119" s="129">
        <v>10.429999999999998</v>
      </c>
      <c r="AN119" s="129">
        <v>10.434999999999999</v>
      </c>
      <c r="AO119" s="126" t="str">
        <f t="shared" si="9"/>
        <v/>
      </c>
      <c r="AR119" s="99" t="s">
        <v>136</v>
      </c>
    </row>
    <row r="120" spans="1:44" s="99" customFormat="1" ht="21" customHeight="1" x14ac:dyDescent="0.35">
      <c r="A120" s="99">
        <v>424</v>
      </c>
      <c r="B120" s="126" t="str">
        <f t="shared" si="5"/>
        <v>0-304/1D-003X772</v>
      </c>
      <c r="C120" s="126" t="s">
        <v>2713</v>
      </c>
      <c r="D120" s="126" t="s">
        <v>11</v>
      </c>
      <c r="E120" s="143" t="s">
        <v>2724</v>
      </c>
      <c r="F120" s="143" t="s">
        <v>2725</v>
      </c>
      <c r="G120" s="126">
        <v>304</v>
      </c>
      <c r="H120" s="126" t="s">
        <v>139</v>
      </c>
      <c r="I120" s="127">
        <v>3.23</v>
      </c>
      <c r="J120" s="127"/>
      <c r="K120" s="127"/>
      <c r="L120" s="127"/>
      <c r="M120" s="144">
        <v>772</v>
      </c>
      <c r="N120" s="129">
        <v>10.58</v>
      </c>
      <c r="O120" s="129">
        <v>10.58</v>
      </c>
      <c r="P120" s="129"/>
      <c r="Q120" s="130"/>
      <c r="R120" s="131"/>
      <c r="S120" s="131"/>
      <c r="T120" s="132">
        <v>44604</v>
      </c>
      <c r="U120" s="132"/>
      <c r="V120" s="132"/>
      <c r="W120" s="132"/>
      <c r="X120" s="132"/>
      <c r="Y120" s="133" t="s">
        <v>1395</v>
      </c>
      <c r="Z120" s="126" t="s">
        <v>64</v>
      </c>
      <c r="AA120" s="134" t="s">
        <v>154</v>
      </c>
      <c r="AB120" s="134" t="s">
        <v>1330</v>
      </c>
      <c r="AC120" s="134"/>
      <c r="AD120" s="134">
        <v>44554</v>
      </c>
      <c r="AE120" s="134"/>
      <c r="AF120" s="134">
        <f t="shared" ca="1" si="6"/>
        <v>44963</v>
      </c>
      <c r="AG120" s="126">
        <f t="shared" ca="1" si="7"/>
        <v>409</v>
      </c>
      <c r="AH120" s="126" t="str">
        <f t="shared" si="8"/>
        <v/>
      </c>
      <c r="AI120" s="134"/>
      <c r="AJ120" s="143" t="s">
        <v>2720</v>
      </c>
      <c r="AK120" s="129">
        <v>10.58</v>
      </c>
      <c r="AL120" s="129">
        <v>10.59</v>
      </c>
      <c r="AM120" s="129">
        <v>10.614999999999998</v>
      </c>
      <c r="AN120" s="129">
        <v>10.62</v>
      </c>
      <c r="AO120" s="126" t="str">
        <f t="shared" si="9"/>
        <v/>
      </c>
      <c r="AR120" s="99" t="s">
        <v>136</v>
      </c>
    </row>
    <row r="121" spans="1:44" s="99" customFormat="1" ht="21" customHeight="1" x14ac:dyDescent="0.35">
      <c r="A121" s="99">
        <v>424</v>
      </c>
      <c r="B121" s="126" t="str">
        <f t="shared" si="5"/>
        <v>0-304L/FH-001X770</v>
      </c>
      <c r="C121" s="126" t="s">
        <v>2712</v>
      </c>
      <c r="D121" s="126" t="s">
        <v>13</v>
      </c>
      <c r="E121" s="143" t="s">
        <v>2714</v>
      </c>
      <c r="F121" s="143" t="s">
        <v>2715</v>
      </c>
      <c r="G121" s="126" t="s">
        <v>230</v>
      </c>
      <c r="H121" s="126" t="s">
        <v>65</v>
      </c>
      <c r="I121" s="127">
        <v>3.38</v>
      </c>
      <c r="J121" s="127">
        <v>1.45</v>
      </c>
      <c r="K121" s="127"/>
      <c r="L121" s="127"/>
      <c r="M121" s="144">
        <v>770</v>
      </c>
      <c r="N121" s="129">
        <v>10.57</v>
      </c>
      <c r="O121" s="129">
        <v>10.6</v>
      </c>
      <c r="P121" s="129"/>
      <c r="Q121" s="130"/>
      <c r="R121" s="131"/>
      <c r="S121" s="131"/>
      <c r="T121" s="132">
        <v>44604</v>
      </c>
      <c r="U121" s="132"/>
      <c r="V121" s="132"/>
      <c r="W121" s="132"/>
      <c r="X121" s="132"/>
      <c r="Y121" s="133" t="s">
        <v>1395</v>
      </c>
      <c r="Z121" s="126" t="s">
        <v>64</v>
      </c>
      <c r="AA121" s="134" t="s">
        <v>154</v>
      </c>
      <c r="AB121" s="134" t="s">
        <v>1516</v>
      </c>
      <c r="AC121" s="134"/>
      <c r="AD121" s="134">
        <v>44554</v>
      </c>
      <c r="AE121" s="134"/>
      <c r="AF121" s="134">
        <f t="shared" ca="1" si="6"/>
        <v>44963</v>
      </c>
      <c r="AG121" s="126">
        <f t="shared" ca="1" si="7"/>
        <v>409</v>
      </c>
      <c r="AH121" s="126" t="str">
        <f t="shared" si="8"/>
        <v/>
      </c>
      <c r="AI121" s="134"/>
      <c r="AJ121" s="143" t="s">
        <v>2658</v>
      </c>
      <c r="AK121" s="129">
        <v>10.57</v>
      </c>
      <c r="AL121" s="129">
        <v>10.58</v>
      </c>
      <c r="AM121" s="129">
        <v>10.604999999999999</v>
      </c>
      <c r="AN121" s="129">
        <v>10.61</v>
      </c>
      <c r="AO121" s="126" t="str">
        <f t="shared" si="9"/>
        <v/>
      </c>
      <c r="AR121" s="99" t="s">
        <v>136</v>
      </c>
    </row>
    <row r="122" spans="1:44" s="99" customFormat="1" ht="21" customHeight="1" x14ac:dyDescent="0.35">
      <c r="A122" s="99">
        <v>421</v>
      </c>
      <c r="B122" s="126" t="str">
        <f t="shared" si="5"/>
        <v>0-304L/1D-003X770</v>
      </c>
      <c r="C122" s="126" t="s">
        <v>2713</v>
      </c>
      <c r="D122" s="126" t="s">
        <v>11</v>
      </c>
      <c r="E122" s="143" t="s">
        <v>2726</v>
      </c>
      <c r="F122" s="143" t="s">
        <v>2727</v>
      </c>
      <c r="G122" s="126" t="s">
        <v>230</v>
      </c>
      <c r="H122" s="126" t="s">
        <v>139</v>
      </c>
      <c r="I122" s="127">
        <v>2.8</v>
      </c>
      <c r="J122" s="127"/>
      <c r="K122" s="127"/>
      <c r="L122" s="127"/>
      <c r="M122" s="144">
        <v>770</v>
      </c>
      <c r="N122" s="129">
        <v>10.375</v>
      </c>
      <c r="O122" s="129">
        <v>10.375</v>
      </c>
      <c r="P122" s="129"/>
      <c r="Q122" s="130"/>
      <c r="R122" s="131"/>
      <c r="S122" s="131"/>
      <c r="T122" s="132">
        <v>44604</v>
      </c>
      <c r="U122" s="132"/>
      <c r="V122" s="132"/>
      <c r="W122" s="132"/>
      <c r="X122" s="132"/>
      <c r="Y122" s="133"/>
      <c r="Z122" s="126" t="s">
        <v>64</v>
      </c>
      <c r="AA122" s="134" t="s">
        <v>154</v>
      </c>
      <c r="AB122" s="134" t="s">
        <v>1239</v>
      </c>
      <c r="AC122" s="134"/>
      <c r="AD122" s="134">
        <v>44496</v>
      </c>
      <c r="AE122" s="134"/>
      <c r="AF122" s="134">
        <f t="shared" ca="1" si="6"/>
        <v>44963</v>
      </c>
      <c r="AG122" s="126">
        <f t="shared" ca="1" si="7"/>
        <v>467</v>
      </c>
      <c r="AH122" s="126" t="str">
        <f t="shared" si="8"/>
        <v/>
      </c>
      <c r="AI122" s="134"/>
      <c r="AJ122" s="143" t="s">
        <v>2728</v>
      </c>
      <c r="AK122" s="129">
        <v>10.375</v>
      </c>
      <c r="AL122" s="129">
        <v>10.385</v>
      </c>
      <c r="AM122" s="129">
        <v>10.409999999999998</v>
      </c>
      <c r="AN122" s="129">
        <v>10.414999999999999</v>
      </c>
      <c r="AO122" s="126" t="str">
        <f t="shared" si="9"/>
        <v/>
      </c>
      <c r="AR122" s="99" t="s">
        <v>136</v>
      </c>
    </row>
    <row r="123" spans="1:44" s="99" customFormat="1" ht="21" customHeight="1" x14ac:dyDescent="0.35">
      <c r="A123" s="99">
        <v>422</v>
      </c>
      <c r="B123" s="126" t="str">
        <f t="shared" si="5"/>
        <v>0-304/FH-001X766</v>
      </c>
      <c r="C123" s="126" t="s">
        <v>2712</v>
      </c>
      <c r="D123" s="126" t="s">
        <v>13</v>
      </c>
      <c r="E123" s="143" t="s">
        <v>2721</v>
      </c>
      <c r="F123" s="143" t="s">
        <v>2722</v>
      </c>
      <c r="G123" s="126">
        <v>304</v>
      </c>
      <c r="H123" s="126" t="s">
        <v>65</v>
      </c>
      <c r="I123" s="127">
        <v>3.17</v>
      </c>
      <c r="J123" s="127">
        <v>1.1499999999999999</v>
      </c>
      <c r="K123" s="127"/>
      <c r="L123" s="127"/>
      <c r="M123" s="144">
        <v>766</v>
      </c>
      <c r="N123" s="129">
        <v>10.23</v>
      </c>
      <c r="O123" s="129">
        <v>10.24</v>
      </c>
      <c r="P123" s="129"/>
      <c r="Q123" s="130"/>
      <c r="R123" s="131"/>
      <c r="S123" s="131"/>
      <c r="T123" s="132">
        <v>44604</v>
      </c>
      <c r="U123" s="132"/>
      <c r="V123" s="132"/>
      <c r="W123" s="132"/>
      <c r="X123" s="132"/>
      <c r="Y123" s="133"/>
      <c r="Z123" s="126" t="s">
        <v>64</v>
      </c>
      <c r="AA123" s="134" t="s">
        <v>154</v>
      </c>
      <c r="AB123" s="134" t="s">
        <v>1330</v>
      </c>
      <c r="AC123" s="134"/>
      <c r="AD123" s="134">
        <v>44516</v>
      </c>
      <c r="AE123" s="134"/>
      <c r="AF123" s="134">
        <f t="shared" ca="1" si="6"/>
        <v>44963</v>
      </c>
      <c r="AG123" s="126">
        <f t="shared" ca="1" si="7"/>
        <v>447</v>
      </c>
      <c r="AH123" s="126" t="str">
        <f t="shared" si="8"/>
        <v/>
      </c>
      <c r="AI123" s="134"/>
      <c r="AJ123" s="143" t="s">
        <v>2723</v>
      </c>
      <c r="AK123" s="129">
        <v>10.23</v>
      </c>
      <c r="AL123" s="129">
        <v>10.24</v>
      </c>
      <c r="AM123" s="129">
        <v>10.264999999999999</v>
      </c>
      <c r="AN123" s="129">
        <v>10.27</v>
      </c>
      <c r="AO123" s="126" t="str">
        <f t="shared" si="9"/>
        <v/>
      </c>
      <c r="AR123" s="99" t="s">
        <v>136</v>
      </c>
    </row>
    <row r="124" spans="1:44" s="99" customFormat="1" ht="21" customHeight="1" x14ac:dyDescent="0.35">
      <c r="A124" s="99">
        <v>424</v>
      </c>
      <c r="B124" s="126" t="str">
        <f t="shared" si="5"/>
        <v>0-304/1D-003X771</v>
      </c>
      <c r="C124" s="126" t="s">
        <v>2713</v>
      </c>
      <c r="D124" s="126" t="s">
        <v>11</v>
      </c>
      <c r="E124" s="143" t="s">
        <v>2729</v>
      </c>
      <c r="F124" s="143" t="s">
        <v>2730</v>
      </c>
      <c r="G124" s="126">
        <v>304</v>
      </c>
      <c r="H124" s="126" t="s">
        <v>139</v>
      </c>
      <c r="I124" s="127">
        <v>3.26</v>
      </c>
      <c r="J124" s="127"/>
      <c r="K124" s="127"/>
      <c r="L124" s="127"/>
      <c r="M124" s="144">
        <v>771</v>
      </c>
      <c r="N124" s="129">
        <v>10.435</v>
      </c>
      <c r="O124" s="129">
        <v>10.435</v>
      </c>
      <c r="P124" s="129"/>
      <c r="Q124" s="130"/>
      <c r="R124" s="131"/>
      <c r="S124" s="131"/>
      <c r="T124" s="132">
        <v>44604</v>
      </c>
      <c r="U124" s="132"/>
      <c r="V124" s="132"/>
      <c r="W124" s="132"/>
      <c r="X124" s="132"/>
      <c r="Y124" s="133" t="s">
        <v>1395</v>
      </c>
      <c r="Z124" s="126" t="s">
        <v>64</v>
      </c>
      <c r="AA124" s="134" t="s">
        <v>154</v>
      </c>
      <c r="AB124" s="134" t="s">
        <v>1330</v>
      </c>
      <c r="AC124" s="134"/>
      <c r="AD124" s="134">
        <v>44554</v>
      </c>
      <c r="AE124" s="134"/>
      <c r="AF124" s="134">
        <f t="shared" ca="1" si="6"/>
        <v>44963</v>
      </c>
      <c r="AG124" s="126">
        <f t="shared" ca="1" si="7"/>
        <v>409</v>
      </c>
      <c r="AH124" s="126" t="str">
        <f t="shared" si="8"/>
        <v/>
      </c>
      <c r="AI124" s="134"/>
      <c r="AJ124" s="143" t="s">
        <v>2731</v>
      </c>
      <c r="AK124" s="129">
        <v>10.435</v>
      </c>
      <c r="AL124" s="129">
        <v>10.445</v>
      </c>
      <c r="AM124" s="129">
        <v>10.469999999999999</v>
      </c>
      <c r="AN124" s="129">
        <v>10.475</v>
      </c>
      <c r="AO124" s="126" t="str">
        <f t="shared" si="9"/>
        <v/>
      </c>
      <c r="AR124" s="99" t="s">
        <v>136</v>
      </c>
    </row>
    <row r="125" spans="1:44" s="99" customFormat="1" ht="21" customHeight="1" x14ac:dyDescent="0.35">
      <c r="A125" s="99">
        <v>424</v>
      </c>
      <c r="B125" s="126" t="str">
        <f t="shared" si="5"/>
        <v>0-304/FH-001X770</v>
      </c>
      <c r="C125" s="126" t="s">
        <v>2712</v>
      </c>
      <c r="D125" s="126" t="s">
        <v>13</v>
      </c>
      <c r="E125" s="143" t="s">
        <v>2718</v>
      </c>
      <c r="F125" s="143" t="s">
        <v>2719</v>
      </c>
      <c r="G125" s="126">
        <v>304</v>
      </c>
      <c r="H125" s="126" t="s">
        <v>65</v>
      </c>
      <c r="I125" s="127">
        <v>3.24</v>
      </c>
      <c r="J125" s="127">
        <v>1.1499999999999999</v>
      </c>
      <c r="K125" s="127"/>
      <c r="L125" s="127"/>
      <c r="M125" s="144">
        <v>770</v>
      </c>
      <c r="N125" s="129">
        <v>10.54</v>
      </c>
      <c r="O125" s="129">
        <v>10.56</v>
      </c>
      <c r="P125" s="129"/>
      <c r="Q125" s="130"/>
      <c r="R125" s="131"/>
      <c r="S125" s="131"/>
      <c r="T125" s="132">
        <v>44604</v>
      </c>
      <c r="U125" s="132"/>
      <c r="V125" s="132"/>
      <c r="W125" s="132"/>
      <c r="X125" s="132"/>
      <c r="Y125" s="133" t="s">
        <v>1395</v>
      </c>
      <c r="Z125" s="126" t="s">
        <v>64</v>
      </c>
      <c r="AA125" s="134" t="s">
        <v>154</v>
      </c>
      <c r="AB125" s="134" t="s">
        <v>1330</v>
      </c>
      <c r="AC125" s="134"/>
      <c r="AD125" s="134">
        <v>44554</v>
      </c>
      <c r="AE125" s="134"/>
      <c r="AF125" s="134">
        <f t="shared" ca="1" si="6"/>
        <v>44963</v>
      </c>
      <c r="AG125" s="126">
        <f t="shared" ca="1" si="7"/>
        <v>409</v>
      </c>
      <c r="AH125" s="126" t="str">
        <f t="shared" si="8"/>
        <v/>
      </c>
      <c r="AI125" s="134"/>
      <c r="AJ125" s="143" t="s">
        <v>2720</v>
      </c>
      <c r="AK125" s="129">
        <v>10.54</v>
      </c>
      <c r="AL125" s="129">
        <v>10.55</v>
      </c>
      <c r="AM125" s="129">
        <v>10.574999999999999</v>
      </c>
      <c r="AN125" s="129">
        <v>10.58</v>
      </c>
      <c r="AO125" s="126" t="str">
        <f t="shared" si="9"/>
        <v/>
      </c>
      <c r="AR125" s="99" t="s">
        <v>136</v>
      </c>
    </row>
    <row r="126" spans="1:44" s="99" customFormat="1" ht="21" customHeight="1" x14ac:dyDescent="0.35">
      <c r="A126" s="99">
        <v>424</v>
      </c>
      <c r="B126" s="126" t="str">
        <f t="shared" si="5"/>
        <v>0-304/1D-003X768</v>
      </c>
      <c r="C126" s="126" t="s">
        <v>2713</v>
      </c>
      <c r="D126" s="126" t="s">
        <v>11</v>
      </c>
      <c r="E126" s="143" t="s">
        <v>2732</v>
      </c>
      <c r="F126" s="143" t="s">
        <v>2733</v>
      </c>
      <c r="G126" s="126">
        <v>304</v>
      </c>
      <c r="H126" s="126" t="s">
        <v>139</v>
      </c>
      <c r="I126" s="127">
        <v>3.39</v>
      </c>
      <c r="J126" s="127"/>
      <c r="K126" s="127"/>
      <c r="L126" s="127"/>
      <c r="M126" s="144">
        <v>768</v>
      </c>
      <c r="N126" s="129">
        <v>12.005000000000001</v>
      </c>
      <c r="O126" s="129">
        <v>12.005000000000001</v>
      </c>
      <c r="P126" s="129"/>
      <c r="Q126" s="130"/>
      <c r="R126" s="131"/>
      <c r="S126" s="131"/>
      <c r="T126" s="132">
        <v>44604</v>
      </c>
      <c r="U126" s="132"/>
      <c r="V126" s="132"/>
      <c r="W126" s="132"/>
      <c r="X126" s="132"/>
      <c r="Y126" s="133" t="s">
        <v>1395</v>
      </c>
      <c r="Z126" s="126" t="s">
        <v>64</v>
      </c>
      <c r="AA126" s="134" t="s">
        <v>154</v>
      </c>
      <c r="AB126" s="134" t="s">
        <v>1516</v>
      </c>
      <c r="AC126" s="134"/>
      <c r="AD126" s="134">
        <v>44554</v>
      </c>
      <c r="AE126" s="134"/>
      <c r="AF126" s="134">
        <f t="shared" ca="1" si="6"/>
        <v>44963</v>
      </c>
      <c r="AG126" s="126">
        <f t="shared" ca="1" si="7"/>
        <v>409</v>
      </c>
      <c r="AH126" s="126" t="str">
        <f t="shared" si="8"/>
        <v/>
      </c>
      <c r="AI126" s="134"/>
      <c r="AJ126" s="143" t="s">
        <v>1884</v>
      </c>
      <c r="AK126" s="129">
        <v>12.005000000000001</v>
      </c>
      <c r="AL126" s="129">
        <v>12.015000000000001</v>
      </c>
      <c r="AM126" s="129">
        <v>12.04</v>
      </c>
      <c r="AN126" s="129">
        <v>12.045</v>
      </c>
      <c r="AO126" s="126" t="str">
        <f t="shared" si="9"/>
        <v/>
      </c>
      <c r="AR126" s="99" t="s">
        <v>136</v>
      </c>
    </row>
    <row r="127" spans="1:44" s="99" customFormat="1" ht="21" customHeight="1" x14ac:dyDescent="0.35">
      <c r="A127" s="99">
        <v>424</v>
      </c>
      <c r="B127" s="126" t="str">
        <f t="shared" si="5"/>
        <v>0-304/FH-001X772</v>
      </c>
      <c r="C127" s="126" t="s">
        <v>2712</v>
      </c>
      <c r="D127" s="126" t="s">
        <v>13</v>
      </c>
      <c r="E127" s="143" t="s">
        <v>2724</v>
      </c>
      <c r="F127" s="143" t="s">
        <v>2725</v>
      </c>
      <c r="G127" s="126">
        <v>304</v>
      </c>
      <c r="H127" s="126" t="s">
        <v>65</v>
      </c>
      <c r="I127" s="127">
        <v>3.23</v>
      </c>
      <c r="J127" s="127">
        <v>1.1499999999999999</v>
      </c>
      <c r="K127" s="127"/>
      <c r="L127" s="127"/>
      <c r="M127" s="144">
        <v>772</v>
      </c>
      <c r="N127" s="129">
        <v>10.58</v>
      </c>
      <c r="O127" s="129">
        <v>10.57</v>
      </c>
      <c r="P127" s="129"/>
      <c r="Q127" s="130"/>
      <c r="R127" s="131"/>
      <c r="S127" s="131"/>
      <c r="T127" s="132">
        <v>44604</v>
      </c>
      <c r="U127" s="132"/>
      <c r="V127" s="132"/>
      <c r="W127" s="132"/>
      <c r="X127" s="132"/>
      <c r="Y127" s="133" t="s">
        <v>1395</v>
      </c>
      <c r="Z127" s="126" t="s">
        <v>64</v>
      </c>
      <c r="AA127" s="134" t="s">
        <v>154</v>
      </c>
      <c r="AB127" s="134" t="s">
        <v>1330</v>
      </c>
      <c r="AC127" s="134"/>
      <c r="AD127" s="134">
        <v>44554</v>
      </c>
      <c r="AE127" s="134"/>
      <c r="AF127" s="134">
        <f t="shared" ca="1" si="6"/>
        <v>44963</v>
      </c>
      <c r="AG127" s="126">
        <f t="shared" ca="1" si="7"/>
        <v>409</v>
      </c>
      <c r="AH127" s="126" t="str">
        <f t="shared" si="8"/>
        <v/>
      </c>
      <c r="AI127" s="134"/>
      <c r="AJ127" s="143" t="s">
        <v>2720</v>
      </c>
      <c r="AK127" s="129">
        <v>10.58</v>
      </c>
      <c r="AL127" s="129">
        <v>10.59</v>
      </c>
      <c r="AM127" s="129">
        <v>10.614999999999998</v>
      </c>
      <c r="AN127" s="129">
        <v>10.62</v>
      </c>
      <c r="AO127" s="126" t="str">
        <f t="shared" si="9"/>
        <v/>
      </c>
      <c r="AR127" s="99" t="s">
        <v>136</v>
      </c>
    </row>
    <row r="128" spans="1:44" s="99" customFormat="1" ht="21" customHeight="1" x14ac:dyDescent="0.35">
      <c r="A128" s="99">
        <v>421</v>
      </c>
      <c r="B128" s="126" t="str">
        <f t="shared" si="5"/>
        <v>0-304L/1D-003X770</v>
      </c>
      <c r="C128" s="126" t="s">
        <v>2713</v>
      </c>
      <c r="D128" s="126" t="s">
        <v>11</v>
      </c>
      <c r="E128" s="143" t="s">
        <v>2734</v>
      </c>
      <c r="F128" s="143" t="s">
        <v>2735</v>
      </c>
      <c r="G128" s="126" t="s">
        <v>230</v>
      </c>
      <c r="H128" s="126" t="s">
        <v>139</v>
      </c>
      <c r="I128" s="127">
        <v>2.8</v>
      </c>
      <c r="J128" s="127"/>
      <c r="K128" s="127"/>
      <c r="L128" s="127"/>
      <c r="M128" s="144">
        <v>770</v>
      </c>
      <c r="N128" s="129">
        <v>10.404999999999999</v>
      </c>
      <c r="O128" s="129">
        <v>10.404999999999999</v>
      </c>
      <c r="P128" s="129"/>
      <c r="Q128" s="130"/>
      <c r="R128" s="131"/>
      <c r="S128" s="131"/>
      <c r="T128" s="132">
        <v>44604</v>
      </c>
      <c r="U128" s="132"/>
      <c r="V128" s="132"/>
      <c r="W128" s="132"/>
      <c r="X128" s="132"/>
      <c r="Y128" s="133"/>
      <c r="Z128" s="126" t="s">
        <v>64</v>
      </c>
      <c r="AA128" s="134" t="s">
        <v>154</v>
      </c>
      <c r="AB128" s="134" t="s">
        <v>1239</v>
      </c>
      <c r="AC128" s="134"/>
      <c r="AD128" s="134">
        <v>44496</v>
      </c>
      <c r="AE128" s="134"/>
      <c r="AF128" s="134">
        <f t="shared" ca="1" si="6"/>
        <v>44963</v>
      </c>
      <c r="AG128" s="126">
        <f t="shared" ca="1" si="7"/>
        <v>467</v>
      </c>
      <c r="AH128" s="126" t="str">
        <f t="shared" si="8"/>
        <v/>
      </c>
      <c r="AI128" s="134"/>
      <c r="AJ128" s="143" t="s">
        <v>2728</v>
      </c>
      <c r="AK128" s="129">
        <v>10.404999999999999</v>
      </c>
      <c r="AL128" s="129">
        <v>10.414999999999999</v>
      </c>
      <c r="AM128" s="129">
        <v>10.439999999999998</v>
      </c>
      <c r="AN128" s="129">
        <v>10.444999999999999</v>
      </c>
      <c r="AO128" s="126" t="str">
        <f t="shared" si="9"/>
        <v/>
      </c>
      <c r="AR128" s="99" t="s">
        <v>136</v>
      </c>
    </row>
    <row r="129" spans="1:44" s="99" customFormat="1" ht="21" customHeight="1" x14ac:dyDescent="0.35">
      <c r="A129" s="99">
        <v>424</v>
      </c>
      <c r="B129" s="126" t="str">
        <f t="shared" si="5"/>
        <v>0-304/FH-001X771</v>
      </c>
      <c r="C129" s="126" t="s">
        <v>2712</v>
      </c>
      <c r="D129" s="126" t="s">
        <v>13</v>
      </c>
      <c r="E129" s="143" t="s">
        <v>2729</v>
      </c>
      <c r="F129" s="143" t="s">
        <v>2730</v>
      </c>
      <c r="G129" s="126">
        <v>304</v>
      </c>
      <c r="H129" s="126" t="s">
        <v>65</v>
      </c>
      <c r="I129" s="127">
        <v>3.26</v>
      </c>
      <c r="J129" s="127">
        <v>1.1499999999999999</v>
      </c>
      <c r="K129" s="127"/>
      <c r="L129" s="127"/>
      <c r="M129" s="144">
        <v>771</v>
      </c>
      <c r="N129" s="129">
        <v>10.435</v>
      </c>
      <c r="O129" s="129">
        <v>10.414999999999999</v>
      </c>
      <c r="P129" s="129"/>
      <c r="Q129" s="130"/>
      <c r="R129" s="131"/>
      <c r="S129" s="131"/>
      <c r="T129" s="132">
        <v>44604</v>
      </c>
      <c r="U129" s="132"/>
      <c r="V129" s="132"/>
      <c r="W129" s="132"/>
      <c r="X129" s="132"/>
      <c r="Y129" s="133" t="s">
        <v>1395</v>
      </c>
      <c r="Z129" s="126" t="s">
        <v>64</v>
      </c>
      <c r="AA129" s="134" t="s">
        <v>154</v>
      </c>
      <c r="AB129" s="134" t="s">
        <v>1330</v>
      </c>
      <c r="AC129" s="134"/>
      <c r="AD129" s="134">
        <v>44554</v>
      </c>
      <c r="AE129" s="134"/>
      <c r="AF129" s="134">
        <f t="shared" ca="1" si="6"/>
        <v>44963</v>
      </c>
      <c r="AG129" s="126">
        <f t="shared" ca="1" si="7"/>
        <v>409</v>
      </c>
      <c r="AH129" s="126" t="str">
        <f t="shared" si="8"/>
        <v/>
      </c>
      <c r="AI129" s="134"/>
      <c r="AJ129" s="143" t="s">
        <v>2731</v>
      </c>
      <c r="AK129" s="129">
        <v>10.435</v>
      </c>
      <c r="AL129" s="129">
        <v>10.445</v>
      </c>
      <c r="AM129" s="129">
        <v>10.469999999999999</v>
      </c>
      <c r="AN129" s="129">
        <v>10.475</v>
      </c>
      <c r="AO129" s="126" t="str">
        <f t="shared" si="9"/>
        <v/>
      </c>
      <c r="AR129" s="99" t="s">
        <v>136</v>
      </c>
    </row>
    <row r="130" spans="1:44" s="99" customFormat="1" ht="21" customHeight="1" x14ac:dyDescent="0.35">
      <c r="A130" s="99">
        <v>424</v>
      </c>
      <c r="B130" s="126" t="str">
        <f t="shared" si="5"/>
        <v>0-304/1D-003X770</v>
      </c>
      <c r="C130" s="126" t="s">
        <v>2713</v>
      </c>
      <c r="D130" s="126" t="s">
        <v>11</v>
      </c>
      <c r="E130" s="143" t="s">
        <v>2736</v>
      </c>
      <c r="F130" s="143" t="s">
        <v>2737</v>
      </c>
      <c r="G130" s="126">
        <v>304</v>
      </c>
      <c r="H130" s="126" t="s">
        <v>139</v>
      </c>
      <c r="I130" s="127">
        <v>3.26</v>
      </c>
      <c r="J130" s="127"/>
      <c r="K130" s="127"/>
      <c r="L130" s="127"/>
      <c r="M130" s="144">
        <v>770</v>
      </c>
      <c r="N130" s="129">
        <v>10.414999999999999</v>
      </c>
      <c r="O130" s="129">
        <v>10.414999999999999</v>
      </c>
      <c r="P130" s="129"/>
      <c r="Q130" s="130"/>
      <c r="R130" s="131"/>
      <c r="S130" s="131"/>
      <c r="T130" s="132">
        <v>44604</v>
      </c>
      <c r="U130" s="132"/>
      <c r="V130" s="132"/>
      <c r="W130" s="132"/>
      <c r="X130" s="132"/>
      <c r="Y130" s="133" t="s">
        <v>1395</v>
      </c>
      <c r="Z130" s="126" t="s">
        <v>64</v>
      </c>
      <c r="AA130" s="134" t="s">
        <v>154</v>
      </c>
      <c r="AB130" s="134" t="s">
        <v>1330</v>
      </c>
      <c r="AC130" s="134"/>
      <c r="AD130" s="134">
        <v>44554</v>
      </c>
      <c r="AE130" s="134"/>
      <c r="AF130" s="134">
        <f t="shared" ca="1" si="6"/>
        <v>44963</v>
      </c>
      <c r="AG130" s="126">
        <f t="shared" ca="1" si="7"/>
        <v>409</v>
      </c>
      <c r="AH130" s="126" t="str">
        <f t="shared" si="8"/>
        <v/>
      </c>
      <c r="AI130" s="134"/>
      <c r="AJ130" s="143" t="s">
        <v>2731</v>
      </c>
      <c r="AK130" s="129">
        <v>10.414999999999999</v>
      </c>
      <c r="AL130" s="129">
        <v>10.425000000000001</v>
      </c>
      <c r="AM130" s="129">
        <v>10.45</v>
      </c>
      <c r="AN130" s="129">
        <v>10.455</v>
      </c>
      <c r="AO130" s="126" t="str">
        <f t="shared" si="9"/>
        <v/>
      </c>
      <c r="AR130" s="99" t="s">
        <v>136</v>
      </c>
    </row>
    <row r="131" spans="1:44" s="99" customFormat="1" ht="21" customHeight="1" x14ac:dyDescent="0.35">
      <c r="A131" s="99">
        <v>424</v>
      </c>
      <c r="B131" s="126" t="str">
        <f t="shared" si="5"/>
        <v>0-304/FH-001X768</v>
      </c>
      <c r="C131" s="126" t="s">
        <v>2712</v>
      </c>
      <c r="D131" s="126" t="s">
        <v>13</v>
      </c>
      <c r="E131" s="143" t="s">
        <v>2732</v>
      </c>
      <c r="F131" s="143" t="s">
        <v>2733</v>
      </c>
      <c r="G131" s="126">
        <v>304</v>
      </c>
      <c r="H131" s="126" t="s">
        <v>65</v>
      </c>
      <c r="I131" s="127">
        <v>3.39</v>
      </c>
      <c r="J131" s="127">
        <v>1.45</v>
      </c>
      <c r="K131" s="127"/>
      <c r="L131" s="127"/>
      <c r="M131" s="144">
        <v>768</v>
      </c>
      <c r="N131" s="129">
        <v>12.005000000000001</v>
      </c>
      <c r="O131" s="129">
        <v>12.005000000000001</v>
      </c>
      <c r="P131" s="129"/>
      <c r="Q131" s="130"/>
      <c r="R131" s="131"/>
      <c r="S131" s="131"/>
      <c r="T131" s="132">
        <v>44604</v>
      </c>
      <c r="U131" s="132"/>
      <c r="V131" s="132"/>
      <c r="W131" s="132"/>
      <c r="X131" s="132"/>
      <c r="Y131" s="133" t="s">
        <v>1395</v>
      </c>
      <c r="Z131" s="126" t="s">
        <v>64</v>
      </c>
      <c r="AA131" s="134" t="s">
        <v>154</v>
      </c>
      <c r="AB131" s="134" t="s">
        <v>1516</v>
      </c>
      <c r="AC131" s="134"/>
      <c r="AD131" s="134">
        <v>44554</v>
      </c>
      <c r="AE131" s="134"/>
      <c r="AF131" s="134">
        <f t="shared" ca="1" si="6"/>
        <v>44963</v>
      </c>
      <c r="AG131" s="126">
        <f t="shared" ca="1" si="7"/>
        <v>409</v>
      </c>
      <c r="AH131" s="126" t="str">
        <f t="shared" si="8"/>
        <v/>
      </c>
      <c r="AI131" s="134"/>
      <c r="AJ131" s="143" t="s">
        <v>1884</v>
      </c>
      <c r="AK131" s="129">
        <v>12.005000000000001</v>
      </c>
      <c r="AL131" s="129">
        <v>12.015000000000001</v>
      </c>
      <c r="AM131" s="129">
        <v>12.04</v>
      </c>
      <c r="AN131" s="129">
        <v>12.045</v>
      </c>
      <c r="AO131" s="126" t="str">
        <f t="shared" si="9"/>
        <v/>
      </c>
      <c r="AR131" s="99" t="s">
        <v>136</v>
      </c>
    </row>
    <row r="132" spans="1:44" s="99" customFormat="1" ht="21" customHeight="1" x14ac:dyDescent="0.35">
      <c r="A132" s="99">
        <v>421</v>
      </c>
      <c r="B132" s="126" t="str">
        <f t="shared" ref="B132:B195" si="10">IF(C132="HOLD RM","HOLD RM",IF(C132="BAL","WIP",IF(C132="HOLD SLT","HOLD SLT",IF(C132="MILL","RM",IF(C132="RE SLT","WIP",IF(C132="RM","RM",IF(C132="RM BAL","RM",IF(C132="RM SLT","RM",IF(C132="RR","WIP",IF(C132="SKP","WIP",IF(C132="SLT","WIP",IF(C132="CTL","WIP",IF(C132="RM SLT RUST","RM SLT RUST",0)))))))))))))&amp;"-"&amp;G132&amp;"/"&amp;IF(H132="2B","2B",IF(H132="NO.1","1D",IF(H132="FH","FH",0)))&amp;"-"&amp;IF(J132="",(TEXT(I132,"0.00")),TEXT(J132,"0.00"))&amp;"X"&amp;M132</f>
        <v>0-304L/1D-003X770</v>
      </c>
      <c r="C132" s="126" t="s">
        <v>2713</v>
      </c>
      <c r="D132" s="126" t="s">
        <v>11</v>
      </c>
      <c r="E132" s="143" t="s">
        <v>2738</v>
      </c>
      <c r="F132" s="143" t="s">
        <v>2739</v>
      </c>
      <c r="G132" s="126" t="s">
        <v>230</v>
      </c>
      <c r="H132" s="126" t="s">
        <v>139</v>
      </c>
      <c r="I132" s="127">
        <v>2.92</v>
      </c>
      <c r="J132" s="127"/>
      <c r="K132" s="127"/>
      <c r="L132" s="127"/>
      <c r="M132" s="144">
        <v>770</v>
      </c>
      <c r="N132" s="129">
        <v>8.2850000000000001</v>
      </c>
      <c r="O132" s="129">
        <v>8.2850000000000001</v>
      </c>
      <c r="P132" s="129"/>
      <c r="Q132" s="130"/>
      <c r="R132" s="131"/>
      <c r="S132" s="131"/>
      <c r="T132" s="132">
        <v>44604</v>
      </c>
      <c r="U132" s="132"/>
      <c r="V132" s="132"/>
      <c r="W132" s="132"/>
      <c r="X132" s="132"/>
      <c r="Y132" s="133"/>
      <c r="Z132" s="126" t="s">
        <v>64</v>
      </c>
      <c r="AA132" s="134" t="s">
        <v>154</v>
      </c>
      <c r="AB132" s="134" t="s">
        <v>1190</v>
      </c>
      <c r="AC132" s="134"/>
      <c r="AD132" s="134">
        <v>44496</v>
      </c>
      <c r="AE132" s="134"/>
      <c r="AF132" s="134">
        <f t="shared" ca="1" si="6"/>
        <v>44963</v>
      </c>
      <c r="AG132" s="126">
        <f t="shared" ref="AG132:AG195" ca="1" si="11">IF(AD132&lt;&gt;0,AF132-AD132,0)</f>
        <v>467</v>
      </c>
      <c r="AH132" s="126" t="str">
        <f t="shared" ref="AH132:AH195" si="12">IF(ISNUMBER(V132)=TRUE,AF132-V132,IF(V132="","",(AF132)-(MID(RIGHT(V132,10),4,2)&amp;"/"&amp;LEFT((RIGHT(V132,10)),2)&amp;"/"&amp;RIGHT(V132,4))))</f>
        <v/>
      </c>
      <c r="AI132" s="134"/>
      <c r="AJ132" s="143" t="s">
        <v>2740</v>
      </c>
      <c r="AK132" s="129">
        <v>8.2850000000000001</v>
      </c>
      <c r="AL132" s="129">
        <v>8.2949999999999999</v>
      </c>
      <c r="AM132" s="129">
        <v>8.3199999999999985</v>
      </c>
      <c r="AN132" s="129">
        <v>8.3249999999999993</v>
      </c>
      <c r="AO132" s="126" t="str">
        <f t="shared" ref="AO132:AO195" si="13">IF(ISNUMBER(U132)=TRUE,AF132-U132,IF(U132="","",(AF132)-(MID(RIGHT(U132,10),4,2)&amp;"/"&amp;LEFT((RIGHT(U132,10)),2)&amp;"/"&amp;RIGHT(U132,4))))</f>
        <v/>
      </c>
      <c r="AR132" s="99" t="s">
        <v>136</v>
      </c>
    </row>
    <row r="133" spans="1:44" s="99" customFormat="1" ht="21" customHeight="1" x14ac:dyDescent="0.35">
      <c r="A133" s="99">
        <v>421</v>
      </c>
      <c r="B133" s="126" t="str">
        <f t="shared" si="10"/>
        <v>0-304L/FH-001X770</v>
      </c>
      <c r="C133" s="126" t="s">
        <v>2741</v>
      </c>
      <c r="D133" s="126" t="s">
        <v>13</v>
      </c>
      <c r="E133" s="143" t="s">
        <v>2734</v>
      </c>
      <c r="F133" s="143" t="s">
        <v>2735</v>
      </c>
      <c r="G133" s="126" t="s">
        <v>230</v>
      </c>
      <c r="H133" s="126" t="s">
        <v>65</v>
      </c>
      <c r="I133" s="127">
        <v>2.8</v>
      </c>
      <c r="J133" s="127">
        <v>0.8</v>
      </c>
      <c r="K133" s="127"/>
      <c r="L133" s="127"/>
      <c r="M133" s="144">
        <v>770</v>
      </c>
      <c r="N133" s="129">
        <v>10.404999999999999</v>
      </c>
      <c r="O133" s="129">
        <v>10.435</v>
      </c>
      <c r="P133" s="129"/>
      <c r="Q133" s="130"/>
      <c r="R133" s="131"/>
      <c r="S133" s="131"/>
      <c r="T133" s="132">
        <v>44604</v>
      </c>
      <c r="U133" s="132"/>
      <c r="V133" s="132"/>
      <c r="W133" s="132"/>
      <c r="X133" s="132"/>
      <c r="Y133" s="133"/>
      <c r="Z133" s="126" t="s">
        <v>64</v>
      </c>
      <c r="AA133" s="134" t="s">
        <v>154</v>
      </c>
      <c r="AB133" s="134" t="s">
        <v>1239</v>
      </c>
      <c r="AC133" s="134"/>
      <c r="AD133" s="134">
        <v>44496</v>
      </c>
      <c r="AE133" s="134"/>
      <c r="AF133" s="134">
        <f t="shared" ca="1" si="6"/>
        <v>44963</v>
      </c>
      <c r="AG133" s="126">
        <f t="shared" ca="1" si="11"/>
        <v>467</v>
      </c>
      <c r="AH133" s="126" t="str">
        <f t="shared" si="12"/>
        <v/>
      </c>
      <c r="AI133" s="134"/>
      <c r="AJ133" s="143" t="s">
        <v>2728</v>
      </c>
      <c r="AK133" s="129">
        <v>10.404999999999999</v>
      </c>
      <c r="AL133" s="129">
        <v>10.414999999999999</v>
      </c>
      <c r="AM133" s="129">
        <v>10.439999999999998</v>
      </c>
      <c r="AN133" s="129">
        <v>10.444999999999999</v>
      </c>
      <c r="AO133" s="126" t="str">
        <f t="shared" si="13"/>
        <v/>
      </c>
      <c r="AR133" s="99" t="s">
        <v>136</v>
      </c>
    </row>
    <row r="134" spans="1:44" s="99" customFormat="1" ht="21" customHeight="1" x14ac:dyDescent="0.35">
      <c r="A134" s="99">
        <v>424</v>
      </c>
      <c r="B134" s="126" t="str">
        <f t="shared" si="10"/>
        <v>0-304/1D-003X770</v>
      </c>
      <c r="C134" s="126" t="s">
        <v>2742</v>
      </c>
      <c r="D134" s="126" t="s">
        <v>11</v>
      </c>
      <c r="E134" s="143" t="s">
        <v>2743</v>
      </c>
      <c r="F134" s="143" t="s">
        <v>2744</v>
      </c>
      <c r="G134" s="126">
        <v>304</v>
      </c>
      <c r="H134" s="126" t="s">
        <v>139</v>
      </c>
      <c r="I134" s="127">
        <v>3.25</v>
      </c>
      <c r="J134" s="127"/>
      <c r="K134" s="127"/>
      <c r="L134" s="127"/>
      <c r="M134" s="144">
        <v>770</v>
      </c>
      <c r="N134" s="129">
        <v>10.555</v>
      </c>
      <c r="O134" s="129">
        <v>10.555</v>
      </c>
      <c r="P134" s="129"/>
      <c r="Q134" s="130"/>
      <c r="R134" s="131"/>
      <c r="S134" s="131"/>
      <c r="T134" s="132">
        <v>44605</v>
      </c>
      <c r="U134" s="132"/>
      <c r="V134" s="132"/>
      <c r="W134" s="132"/>
      <c r="X134" s="132"/>
      <c r="Y134" s="133" t="s">
        <v>1395</v>
      </c>
      <c r="Z134" s="126" t="s">
        <v>64</v>
      </c>
      <c r="AA134" s="134" t="s">
        <v>154</v>
      </c>
      <c r="AB134" s="134" t="s">
        <v>1330</v>
      </c>
      <c r="AC134" s="134"/>
      <c r="AD134" s="134">
        <v>44554</v>
      </c>
      <c r="AE134" s="134"/>
      <c r="AF134" s="134">
        <f t="shared" ca="1" si="6"/>
        <v>44963</v>
      </c>
      <c r="AG134" s="126">
        <f t="shared" ca="1" si="11"/>
        <v>409</v>
      </c>
      <c r="AH134" s="126" t="str">
        <f t="shared" si="12"/>
        <v/>
      </c>
      <c r="AI134" s="134"/>
      <c r="AJ134" s="143" t="s">
        <v>2745</v>
      </c>
      <c r="AK134" s="129">
        <v>10.555</v>
      </c>
      <c r="AL134" s="129">
        <v>10.565</v>
      </c>
      <c r="AM134" s="129">
        <v>10.589999999999998</v>
      </c>
      <c r="AN134" s="129">
        <v>10.594999999999999</v>
      </c>
      <c r="AO134" s="126" t="str">
        <f t="shared" si="13"/>
        <v/>
      </c>
      <c r="AR134" s="99" t="s">
        <v>136</v>
      </c>
    </row>
    <row r="135" spans="1:44" s="99" customFormat="1" ht="21" customHeight="1" x14ac:dyDescent="0.35">
      <c r="A135" s="99">
        <v>421</v>
      </c>
      <c r="B135" s="126" t="str">
        <f t="shared" si="10"/>
        <v>0-304L/FH-001X770</v>
      </c>
      <c r="C135" s="126" t="s">
        <v>2741</v>
      </c>
      <c r="D135" s="126" t="s">
        <v>13</v>
      </c>
      <c r="E135" s="143" t="s">
        <v>2726</v>
      </c>
      <c r="F135" s="143" t="s">
        <v>2727</v>
      </c>
      <c r="G135" s="126" t="s">
        <v>230</v>
      </c>
      <c r="H135" s="126" t="s">
        <v>65</v>
      </c>
      <c r="I135" s="127">
        <v>2.8</v>
      </c>
      <c r="J135" s="127">
        <v>0.7</v>
      </c>
      <c r="K135" s="127"/>
      <c r="L135" s="127"/>
      <c r="M135" s="144">
        <v>770</v>
      </c>
      <c r="N135" s="129">
        <v>10.375</v>
      </c>
      <c r="O135" s="129">
        <v>10.3</v>
      </c>
      <c r="P135" s="129"/>
      <c r="Q135" s="130"/>
      <c r="R135" s="131"/>
      <c r="S135" s="131"/>
      <c r="T135" s="132">
        <v>44604</v>
      </c>
      <c r="U135" s="132"/>
      <c r="V135" s="132"/>
      <c r="W135" s="132"/>
      <c r="X135" s="132"/>
      <c r="Y135" s="133"/>
      <c r="Z135" s="126" t="s">
        <v>64</v>
      </c>
      <c r="AA135" s="134" t="s">
        <v>154</v>
      </c>
      <c r="AB135" s="134" t="s">
        <v>1239</v>
      </c>
      <c r="AC135" s="134"/>
      <c r="AD135" s="134">
        <v>44496</v>
      </c>
      <c r="AE135" s="134"/>
      <c r="AF135" s="134">
        <f t="shared" ca="1" si="6"/>
        <v>44963</v>
      </c>
      <c r="AG135" s="126">
        <f t="shared" ca="1" si="11"/>
        <v>467</v>
      </c>
      <c r="AH135" s="126" t="str">
        <f t="shared" si="12"/>
        <v/>
      </c>
      <c r="AI135" s="134"/>
      <c r="AJ135" s="143" t="s">
        <v>2728</v>
      </c>
      <c r="AK135" s="129">
        <v>10.375</v>
      </c>
      <c r="AL135" s="129">
        <v>10.385</v>
      </c>
      <c r="AM135" s="129">
        <v>10.409999999999998</v>
      </c>
      <c r="AN135" s="129">
        <v>10.414999999999999</v>
      </c>
      <c r="AO135" s="126" t="str">
        <f t="shared" si="13"/>
        <v/>
      </c>
      <c r="AR135" s="99" t="s">
        <v>136</v>
      </c>
    </row>
    <row r="136" spans="1:44" s="99" customFormat="1" ht="21" customHeight="1" x14ac:dyDescent="0.35">
      <c r="A136" s="99">
        <v>422</v>
      </c>
      <c r="B136" s="126" t="str">
        <f t="shared" si="10"/>
        <v>0-304L/1D-004X777</v>
      </c>
      <c r="C136" s="126" t="s">
        <v>2742</v>
      </c>
      <c r="D136" s="126" t="s">
        <v>11</v>
      </c>
      <c r="E136" s="143" t="s">
        <v>2746</v>
      </c>
      <c r="F136" s="143" t="s">
        <v>2747</v>
      </c>
      <c r="G136" s="126" t="s">
        <v>230</v>
      </c>
      <c r="H136" s="126" t="s">
        <v>139</v>
      </c>
      <c r="I136" s="127">
        <v>3.77</v>
      </c>
      <c r="J136" s="127"/>
      <c r="K136" s="127"/>
      <c r="L136" s="127"/>
      <c r="M136" s="144">
        <v>777</v>
      </c>
      <c r="N136" s="129">
        <v>10.555</v>
      </c>
      <c r="O136" s="129">
        <v>10.555</v>
      </c>
      <c r="P136" s="129"/>
      <c r="Q136" s="130"/>
      <c r="R136" s="131"/>
      <c r="S136" s="131"/>
      <c r="T136" s="132">
        <v>44605</v>
      </c>
      <c r="U136" s="132"/>
      <c r="V136" s="132"/>
      <c r="W136" s="132"/>
      <c r="X136" s="132"/>
      <c r="Y136" s="133"/>
      <c r="Z136" s="126" t="s">
        <v>64</v>
      </c>
      <c r="AA136" s="134" t="s">
        <v>154</v>
      </c>
      <c r="AB136" s="134" t="s">
        <v>1330</v>
      </c>
      <c r="AC136" s="134"/>
      <c r="AD136" s="134">
        <v>44516</v>
      </c>
      <c r="AE136" s="134"/>
      <c r="AF136" s="134">
        <f t="shared" ca="1" si="6"/>
        <v>44963</v>
      </c>
      <c r="AG136" s="126">
        <f t="shared" ca="1" si="11"/>
        <v>447</v>
      </c>
      <c r="AH136" s="126" t="str">
        <f t="shared" si="12"/>
        <v/>
      </c>
      <c r="AI136" s="134"/>
      <c r="AJ136" s="143" t="s">
        <v>2748</v>
      </c>
      <c r="AK136" s="129">
        <v>10.555</v>
      </c>
      <c r="AL136" s="129">
        <v>10.565</v>
      </c>
      <c r="AM136" s="129">
        <v>10.589999999999998</v>
      </c>
      <c r="AN136" s="129">
        <v>10.594999999999999</v>
      </c>
      <c r="AO136" s="126" t="str">
        <f t="shared" si="13"/>
        <v/>
      </c>
      <c r="AR136" s="99" t="s">
        <v>136</v>
      </c>
    </row>
    <row r="137" spans="1:44" s="99" customFormat="1" ht="21" customHeight="1" x14ac:dyDescent="0.35">
      <c r="A137" s="99">
        <v>424</v>
      </c>
      <c r="B137" s="126" t="str">
        <f t="shared" si="10"/>
        <v>0-304/FH-001X770</v>
      </c>
      <c r="C137" s="126" t="s">
        <v>2741</v>
      </c>
      <c r="D137" s="126" t="s">
        <v>13</v>
      </c>
      <c r="E137" s="143" t="s">
        <v>2736</v>
      </c>
      <c r="F137" s="143" t="s">
        <v>2737</v>
      </c>
      <c r="G137" s="126">
        <v>304</v>
      </c>
      <c r="H137" s="126" t="s">
        <v>65</v>
      </c>
      <c r="I137" s="127">
        <v>3.26</v>
      </c>
      <c r="J137" s="127">
        <v>1.1499999999999999</v>
      </c>
      <c r="K137" s="127"/>
      <c r="L137" s="127"/>
      <c r="M137" s="144">
        <v>770</v>
      </c>
      <c r="N137" s="129">
        <v>10.414999999999999</v>
      </c>
      <c r="O137" s="129">
        <v>10.43</v>
      </c>
      <c r="P137" s="129"/>
      <c r="Q137" s="130"/>
      <c r="R137" s="131"/>
      <c r="S137" s="131"/>
      <c r="T137" s="132">
        <v>44604</v>
      </c>
      <c r="U137" s="132"/>
      <c r="V137" s="132"/>
      <c r="W137" s="132"/>
      <c r="X137" s="132"/>
      <c r="Y137" s="133" t="s">
        <v>1395</v>
      </c>
      <c r="Z137" s="126" t="s">
        <v>64</v>
      </c>
      <c r="AA137" s="134" t="s">
        <v>154</v>
      </c>
      <c r="AB137" s="134" t="s">
        <v>1330</v>
      </c>
      <c r="AC137" s="134"/>
      <c r="AD137" s="134">
        <v>44554</v>
      </c>
      <c r="AE137" s="134"/>
      <c r="AF137" s="134">
        <f t="shared" ca="1" si="6"/>
        <v>44963</v>
      </c>
      <c r="AG137" s="126">
        <f t="shared" ca="1" si="11"/>
        <v>409</v>
      </c>
      <c r="AH137" s="126" t="str">
        <f t="shared" si="12"/>
        <v/>
      </c>
      <c r="AI137" s="134"/>
      <c r="AJ137" s="143" t="s">
        <v>2731</v>
      </c>
      <c r="AK137" s="129">
        <v>10.414999999999999</v>
      </c>
      <c r="AL137" s="129">
        <v>10.425000000000001</v>
      </c>
      <c r="AM137" s="129">
        <v>10.45</v>
      </c>
      <c r="AN137" s="129">
        <v>10.455</v>
      </c>
      <c r="AO137" s="126" t="str">
        <f t="shared" si="13"/>
        <v/>
      </c>
      <c r="AR137" s="99" t="s">
        <v>136</v>
      </c>
    </row>
    <row r="138" spans="1:44" s="99" customFormat="1" ht="21" customHeight="1" x14ac:dyDescent="0.35">
      <c r="A138" s="99">
        <v>421</v>
      </c>
      <c r="B138" s="126" t="str">
        <f t="shared" si="10"/>
        <v>0-304L/1D-003X770</v>
      </c>
      <c r="C138" s="126" t="s">
        <v>2742</v>
      </c>
      <c r="D138" s="126" t="s">
        <v>11</v>
      </c>
      <c r="E138" s="143" t="s">
        <v>2749</v>
      </c>
      <c r="F138" s="143" t="s">
        <v>2750</v>
      </c>
      <c r="G138" s="126" t="s">
        <v>230</v>
      </c>
      <c r="H138" s="126" t="s">
        <v>139</v>
      </c>
      <c r="I138" s="127">
        <v>2.89</v>
      </c>
      <c r="J138" s="127"/>
      <c r="K138" s="127"/>
      <c r="L138" s="127"/>
      <c r="M138" s="144">
        <v>770</v>
      </c>
      <c r="N138" s="129">
        <v>12.055</v>
      </c>
      <c r="O138" s="129">
        <v>12.055</v>
      </c>
      <c r="P138" s="129"/>
      <c r="Q138" s="130"/>
      <c r="R138" s="131"/>
      <c r="S138" s="131"/>
      <c r="T138" s="132">
        <v>44605</v>
      </c>
      <c r="U138" s="132"/>
      <c r="V138" s="132"/>
      <c r="W138" s="132"/>
      <c r="X138" s="132"/>
      <c r="Y138" s="133"/>
      <c r="Z138" s="126" t="s">
        <v>64</v>
      </c>
      <c r="AA138" s="134" t="s">
        <v>154</v>
      </c>
      <c r="AB138" s="134" t="s">
        <v>1190</v>
      </c>
      <c r="AC138" s="134"/>
      <c r="AD138" s="134">
        <v>44496</v>
      </c>
      <c r="AE138" s="134"/>
      <c r="AF138" s="134">
        <f t="shared" ref="AF138:AF203" ca="1" si="14">TODAY()</f>
        <v>44963</v>
      </c>
      <c r="AG138" s="126">
        <f t="shared" ca="1" si="11"/>
        <v>467</v>
      </c>
      <c r="AH138" s="126" t="str">
        <f t="shared" si="12"/>
        <v/>
      </c>
      <c r="AI138" s="134"/>
      <c r="AJ138" s="143" t="s">
        <v>2751</v>
      </c>
      <c r="AK138" s="129">
        <v>12.055</v>
      </c>
      <c r="AL138" s="129">
        <v>12.065</v>
      </c>
      <c r="AM138" s="129">
        <v>12.089999999999998</v>
      </c>
      <c r="AN138" s="129">
        <v>12.094999999999999</v>
      </c>
      <c r="AO138" s="126" t="str">
        <f t="shared" si="13"/>
        <v/>
      </c>
      <c r="AR138" s="99" t="s">
        <v>136</v>
      </c>
    </row>
    <row r="139" spans="1:44" s="99" customFormat="1" ht="21" customHeight="1" x14ac:dyDescent="0.35">
      <c r="A139" s="99">
        <v>422</v>
      </c>
      <c r="B139" s="126" t="str">
        <f t="shared" si="10"/>
        <v>0-304L/FH-002X777</v>
      </c>
      <c r="C139" s="126" t="s">
        <v>2741</v>
      </c>
      <c r="D139" s="126" t="s">
        <v>13</v>
      </c>
      <c r="E139" s="143" t="s">
        <v>2746</v>
      </c>
      <c r="F139" s="143" t="s">
        <v>2747</v>
      </c>
      <c r="G139" s="126" t="s">
        <v>230</v>
      </c>
      <c r="H139" s="126" t="s">
        <v>65</v>
      </c>
      <c r="I139" s="127">
        <v>3.77</v>
      </c>
      <c r="J139" s="127">
        <v>2</v>
      </c>
      <c r="K139" s="127"/>
      <c r="L139" s="127"/>
      <c r="M139" s="144">
        <v>777</v>
      </c>
      <c r="N139" s="129">
        <v>10.555</v>
      </c>
      <c r="O139" s="129">
        <v>10.56</v>
      </c>
      <c r="P139" s="129"/>
      <c r="Q139" s="130"/>
      <c r="R139" s="131"/>
      <c r="S139" s="131"/>
      <c r="T139" s="132">
        <v>44605</v>
      </c>
      <c r="U139" s="132"/>
      <c r="V139" s="132"/>
      <c r="W139" s="132"/>
      <c r="X139" s="132"/>
      <c r="Y139" s="133"/>
      <c r="Z139" s="126" t="s">
        <v>64</v>
      </c>
      <c r="AA139" s="134" t="s">
        <v>154</v>
      </c>
      <c r="AB139" s="134" t="s">
        <v>1330</v>
      </c>
      <c r="AC139" s="134"/>
      <c r="AD139" s="134">
        <v>44516</v>
      </c>
      <c r="AE139" s="134"/>
      <c r="AF139" s="134">
        <f t="shared" ca="1" si="14"/>
        <v>44963</v>
      </c>
      <c r="AG139" s="126">
        <f t="shared" ca="1" si="11"/>
        <v>447</v>
      </c>
      <c r="AH139" s="126" t="str">
        <f t="shared" si="12"/>
        <v/>
      </c>
      <c r="AI139" s="134"/>
      <c r="AJ139" s="143" t="s">
        <v>2748</v>
      </c>
      <c r="AK139" s="129">
        <v>10.555</v>
      </c>
      <c r="AL139" s="129">
        <v>10.565</v>
      </c>
      <c r="AM139" s="129">
        <v>10.589999999999998</v>
      </c>
      <c r="AN139" s="129">
        <v>10.594999999999999</v>
      </c>
      <c r="AO139" s="126" t="str">
        <f t="shared" si="13"/>
        <v/>
      </c>
      <c r="AR139" s="99" t="s">
        <v>136</v>
      </c>
    </row>
    <row r="140" spans="1:44" s="99" customFormat="1" ht="21" customHeight="1" x14ac:dyDescent="0.35">
      <c r="A140" s="99">
        <v>421</v>
      </c>
      <c r="B140" s="126" t="str">
        <f t="shared" si="10"/>
        <v>0-304L/1D-003X770</v>
      </c>
      <c r="C140" s="126" t="s">
        <v>2742</v>
      </c>
      <c r="D140" s="126" t="s">
        <v>11</v>
      </c>
      <c r="E140" s="143" t="s">
        <v>2752</v>
      </c>
      <c r="F140" s="143" t="s">
        <v>2753</v>
      </c>
      <c r="G140" s="126" t="s">
        <v>230</v>
      </c>
      <c r="H140" s="126" t="s">
        <v>139</v>
      </c>
      <c r="I140" s="127">
        <v>2.89</v>
      </c>
      <c r="J140" s="127"/>
      <c r="K140" s="127"/>
      <c r="L140" s="127"/>
      <c r="M140" s="144">
        <v>770</v>
      </c>
      <c r="N140" s="129">
        <v>12.065</v>
      </c>
      <c r="O140" s="129">
        <v>12.065</v>
      </c>
      <c r="P140" s="129"/>
      <c r="Q140" s="130"/>
      <c r="R140" s="131"/>
      <c r="S140" s="131"/>
      <c r="T140" s="132">
        <v>44605</v>
      </c>
      <c r="U140" s="132"/>
      <c r="V140" s="132"/>
      <c r="W140" s="132"/>
      <c r="X140" s="132"/>
      <c r="Y140" s="133"/>
      <c r="Z140" s="126" t="s">
        <v>64</v>
      </c>
      <c r="AA140" s="134" t="s">
        <v>154</v>
      </c>
      <c r="AB140" s="134" t="s">
        <v>1190</v>
      </c>
      <c r="AC140" s="134"/>
      <c r="AD140" s="134">
        <v>44496</v>
      </c>
      <c r="AE140" s="134"/>
      <c r="AF140" s="134">
        <f t="shared" ca="1" si="14"/>
        <v>44963</v>
      </c>
      <c r="AG140" s="126">
        <f t="shared" ca="1" si="11"/>
        <v>467</v>
      </c>
      <c r="AH140" s="126" t="str">
        <f t="shared" si="12"/>
        <v/>
      </c>
      <c r="AI140" s="134"/>
      <c r="AJ140" s="143" t="s">
        <v>1222</v>
      </c>
      <c r="AK140" s="129">
        <v>12.065</v>
      </c>
      <c r="AL140" s="129">
        <v>12.074999999999999</v>
      </c>
      <c r="AM140" s="129">
        <v>12.099999999999998</v>
      </c>
      <c r="AN140" s="129">
        <v>12.104999999999999</v>
      </c>
      <c r="AO140" s="126" t="str">
        <f t="shared" si="13"/>
        <v/>
      </c>
      <c r="AR140" s="99" t="s">
        <v>136</v>
      </c>
    </row>
    <row r="141" spans="1:44" s="99" customFormat="1" ht="21" customHeight="1" x14ac:dyDescent="0.35">
      <c r="A141" s="99">
        <v>421</v>
      </c>
      <c r="B141" s="126" t="str">
        <f t="shared" si="10"/>
        <v>0-304L/FH-001X770</v>
      </c>
      <c r="C141" s="126" t="s">
        <v>2741</v>
      </c>
      <c r="D141" s="126" t="s">
        <v>13</v>
      </c>
      <c r="E141" s="143" t="s">
        <v>2749</v>
      </c>
      <c r="F141" s="143" t="s">
        <v>2750</v>
      </c>
      <c r="G141" s="126" t="s">
        <v>230</v>
      </c>
      <c r="H141" s="126" t="s">
        <v>65</v>
      </c>
      <c r="I141" s="127">
        <v>2.89</v>
      </c>
      <c r="J141" s="127">
        <v>0.9</v>
      </c>
      <c r="K141" s="127"/>
      <c r="L141" s="127"/>
      <c r="M141" s="144">
        <v>770</v>
      </c>
      <c r="N141" s="129">
        <v>12.055</v>
      </c>
      <c r="O141" s="129">
        <v>12.07</v>
      </c>
      <c r="P141" s="129"/>
      <c r="Q141" s="130"/>
      <c r="R141" s="131"/>
      <c r="S141" s="131"/>
      <c r="T141" s="132">
        <v>44605</v>
      </c>
      <c r="U141" s="132"/>
      <c r="V141" s="132"/>
      <c r="W141" s="132"/>
      <c r="X141" s="132"/>
      <c r="Y141" s="133"/>
      <c r="Z141" s="126" t="s">
        <v>64</v>
      </c>
      <c r="AA141" s="134" t="s">
        <v>154</v>
      </c>
      <c r="AB141" s="134" t="s">
        <v>1190</v>
      </c>
      <c r="AC141" s="134"/>
      <c r="AD141" s="134">
        <v>44496</v>
      </c>
      <c r="AE141" s="134"/>
      <c r="AF141" s="134">
        <f t="shared" ca="1" si="14"/>
        <v>44963</v>
      </c>
      <c r="AG141" s="126">
        <f t="shared" ca="1" si="11"/>
        <v>467</v>
      </c>
      <c r="AH141" s="126" t="str">
        <f t="shared" si="12"/>
        <v/>
      </c>
      <c r="AI141" s="134"/>
      <c r="AJ141" s="143" t="s">
        <v>2751</v>
      </c>
      <c r="AK141" s="129">
        <v>12.055</v>
      </c>
      <c r="AL141" s="129">
        <v>12.065</v>
      </c>
      <c r="AM141" s="129">
        <v>12.089999999999998</v>
      </c>
      <c r="AN141" s="129">
        <v>12.094999999999999</v>
      </c>
      <c r="AO141" s="126" t="str">
        <f t="shared" si="13"/>
        <v/>
      </c>
      <c r="AR141" s="99" t="s">
        <v>136</v>
      </c>
    </row>
    <row r="142" spans="1:44" s="99" customFormat="1" ht="21" customHeight="1" x14ac:dyDescent="0.35">
      <c r="A142" s="99">
        <v>422</v>
      </c>
      <c r="B142" s="126" t="str">
        <f t="shared" si="10"/>
        <v>0-304L/1D-003X768</v>
      </c>
      <c r="C142" s="126" t="s">
        <v>2742</v>
      </c>
      <c r="D142" s="126" t="s">
        <v>11</v>
      </c>
      <c r="E142" s="143" t="s">
        <v>2754</v>
      </c>
      <c r="F142" s="143" t="s">
        <v>2755</v>
      </c>
      <c r="G142" s="126" t="s">
        <v>230</v>
      </c>
      <c r="H142" s="126" t="s">
        <v>139</v>
      </c>
      <c r="I142" s="127">
        <v>3.44</v>
      </c>
      <c r="J142" s="127"/>
      <c r="K142" s="127"/>
      <c r="L142" s="127"/>
      <c r="M142" s="144">
        <v>768</v>
      </c>
      <c r="N142" s="129">
        <v>12.2</v>
      </c>
      <c r="O142" s="129">
        <v>12.2</v>
      </c>
      <c r="P142" s="129"/>
      <c r="Q142" s="130"/>
      <c r="R142" s="131"/>
      <c r="S142" s="131"/>
      <c r="T142" s="132">
        <v>44605</v>
      </c>
      <c r="U142" s="132"/>
      <c r="V142" s="132"/>
      <c r="W142" s="132"/>
      <c r="X142" s="132"/>
      <c r="Y142" s="133"/>
      <c r="Z142" s="126" t="s">
        <v>64</v>
      </c>
      <c r="AA142" s="134" t="s">
        <v>154</v>
      </c>
      <c r="AB142" s="134" t="s">
        <v>1330</v>
      </c>
      <c r="AC142" s="134"/>
      <c r="AD142" s="134">
        <v>44516</v>
      </c>
      <c r="AE142" s="134"/>
      <c r="AF142" s="134">
        <f t="shared" ca="1" si="14"/>
        <v>44963</v>
      </c>
      <c r="AG142" s="126">
        <f t="shared" ca="1" si="11"/>
        <v>447</v>
      </c>
      <c r="AH142" s="126" t="str">
        <f t="shared" si="12"/>
        <v/>
      </c>
      <c r="AI142" s="134"/>
      <c r="AJ142" s="143" t="s">
        <v>2756</v>
      </c>
      <c r="AK142" s="129">
        <v>12.2</v>
      </c>
      <c r="AL142" s="129">
        <v>12.21</v>
      </c>
      <c r="AM142" s="129">
        <v>12.234999999999999</v>
      </c>
      <c r="AN142" s="129">
        <v>12.24</v>
      </c>
      <c r="AO142" s="126" t="str">
        <f t="shared" si="13"/>
        <v/>
      </c>
      <c r="AR142" s="99" t="s">
        <v>136</v>
      </c>
    </row>
    <row r="143" spans="1:44" s="99" customFormat="1" ht="21" customHeight="1" x14ac:dyDescent="0.35">
      <c r="A143" s="99">
        <v>421</v>
      </c>
      <c r="B143" s="126" t="str">
        <f t="shared" si="10"/>
        <v>0-304L/FH-001X770</v>
      </c>
      <c r="C143" s="126" t="s">
        <v>2741</v>
      </c>
      <c r="D143" s="126" t="s">
        <v>13</v>
      </c>
      <c r="E143" s="143" t="s">
        <v>2738</v>
      </c>
      <c r="F143" s="143" t="s">
        <v>2739</v>
      </c>
      <c r="G143" s="126" t="s">
        <v>230</v>
      </c>
      <c r="H143" s="126" t="s">
        <v>65</v>
      </c>
      <c r="I143" s="127">
        <v>2.92</v>
      </c>
      <c r="J143" s="127">
        <v>0.9</v>
      </c>
      <c r="K143" s="127"/>
      <c r="L143" s="127"/>
      <c r="M143" s="144">
        <v>770</v>
      </c>
      <c r="N143" s="129">
        <v>8.2850000000000001</v>
      </c>
      <c r="O143" s="129">
        <v>8.2799999999999994</v>
      </c>
      <c r="P143" s="129"/>
      <c r="Q143" s="130"/>
      <c r="R143" s="131"/>
      <c r="S143" s="131"/>
      <c r="T143" s="132">
        <v>44604</v>
      </c>
      <c r="U143" s="132"/>
      <c r="V143" s="132"/>
      <c r="W143" s="132"/>
      <c r="X143" s="132"/>
      <c r="Y143" s="133"/>
      <c r="Z143" s="126" t="s">
        <v>64</v>
      </c>
      <c r="AA143" s="134" t="s">
        <v>154</v>
      </c>
      <c r="AB143" s="134" t="s">
        <v>1190</v>
      </c>
      <c r="AC143" s="134"/>
      <c r="AD143" s="134">
        <v>44496</v>
      </c>
      <c r="AE143" s="134"/>
      <c r="AF143" s="134">
        <f t="shared" ca="1" si="14"/>
        <v>44963</v>
      </c>
      <c r="AG143" s="126">
        <f t="shared" ca="1" si="11"/>
        <v>467</v>
      </c>
      <c r="AH143" s="126" t="str">
        <f t="shared" si="12"/>
        <v/>
      </c>
      <c r="AI143" s="134"/>
      <c r="AJ143" s="143" t="s">
        <v>2740</v>
      </c>
      <c r="AK143" s="129">
        <v>8.2850000000000001</v>
      </c>
      <c r="AL143" s="129">
        <v>8.2949999999999999</v>
      </c>
      <c r="AM143" s="129">
        <v>8.3199999999999985</v>
      </c>
      <c r="AN143" s="129">
        <v>8.3249999999999993</v>
      </c>
      <c r="AO143" s="126" t="str">
        <f t="shared" si="13"/>
        <v/>
      </c>
      <c r="AR143" s="99" t="s">
        <v>136</v>
      </c>
    </row>
    <row r="144" spans="1:44" s="99" customFormat="1" ht="21" customHeight="1" x14ac:dyDescent="0.35">
      <c r="A144" s="99">
        <v>424</v>
      </c>
      <c r="B144" s="126" t="str">
        <f t="shared" si="10"/>
        <v>0-304/1D-003X771</v>
      </c>
      <c r="C144" s="126" t="s">
        <v>2742</v>
      </c>
      <c r="D144" s="126" t="s">
        <v>11</v>
      </c>
      <c r="E144" s="143" t="s">
        <v>2757</v>
      </c>
      <c r="F144" s="143" t="s">
        <v>2758</v>
      </c>
      <c r="G144" s="126">
        <v>304</v>
      </c>
      <c r="H144" s="126" t="s">
        <v>139</v>
      </c>
      <c r="I144" s="127">
        <v>3.24</v>
      </c>
      <c r="J144" s="127"/>
      <c r="K144" s="127"/>
      <c r="L144" s="127"/>
      <c r="M144" s="144">
        <v>771</v>
      </c>
      <c r="N144" s="129">
        <v>10.555</v>
      </c>
      <c r="O144" s="129">
        <v>10.555</v>
      </c>
      <c r="P144" s="129"/>
      <c r="Q144" s="130"/>
      <c r="R144" s="131"/>
      <c r="S144" s="131"/>
      <c r="T144" s="132">
        <v>44605</v>
      </c>
      <c r="U144" s="132"/>
      <c r="V144" s="132"/>
      <c r="W144" s="132"/>
      <c r="X144" s="132"/>
      <c r="Y144" s="133" t="s">
        <v>1395</v>
      </c>
      <c r="Z144" s="126" t="s">
        <v>64</v>
      </c>
      <c r="AA144" s="134" t="s">
        <v>154</v>
      </c>
      <c r="AB144" s="134" t="s">
        <v>1330</v>
      </c>
      <c r="AC144" s="134"/>
      <c r="AD144" s="134">
        <v>44554</v>
      </c>
      <c r="AE144" s="134"/>
      <c r="AF144" s="134">
        <f t="shared" ca="1" si="14"/>
        <v>44963</v>
      </c>
      <c r="AG144" s="126">
        <f t="shared" ca="1" si="11"/>
        <v>409</v>
      </c>
      <c r="AH144" s="126" t="str">
        <f t="shared" si="12"/>
        <v/>
      </c>
      <c r="AI144" s="134"/>
      <c r="AJ144" s="143" t="s">
        <v>2745</v>
      </c>
      <c r="AK144" s="129">
        <v>10.555</v>
      </c>
      <c r="AL144" s="129">
        <v>10.565</v>
      </c>
      <c r="AM144" s="129">
        <v>10.589999999999998</v>
      </c>
      <c r="AN144" s="129">
        <v>10.594999999999999</v>
      </c>
      <c r="AO144" s="126" t="str">
        <f t="shared" si="13"/>
        <v/>
      </c>
      <c r="AR144" s="99" t="s">
        <v>136</v>
      </c>
    </row>
    <row r="145" spans="1:44" s="99" customFormat="1" ht="21" customHeight="1" x14ac:dyDescent="0.35">
      <c r="A145" s="99">
        <v>422</v>
      </c>
      <c r="B145" s="126" t="str">
        <f t="shared" si="10"/>
        <v>0-304L/FH-001X768</v>
      </c>
      <c r="C145" s="126" t="s">
        <v>2741</v>
      </c>
      <c r="D145" s="126" t="s">
        <v>13</v>
      </c>
      <c r="E145" s="143" t="s">
        <v>2754</v>
      </c>
      <c r="F145" s="143" t="s">
        <v>2755</v>
      </c>
      <c r="G145" s="126" t="s">
        <v>230</v>
      </c>
      <c r="H145" s="126" t="s">
        <v>65</v>
      </c>
      <c r="I145" s="127">
        <v>3.44</v>
      </c>
      <c r="J145" s="127">
        <v>1.45</v>
      </c>
      <c r="K145" s="127"/>
      <c r="L145" s="127"/>
      <c r="M145" s="144">
        <v>768</v>
      </c>
      <c r="N145" s="129">
        <v>12.2</v>
      </c>
      <c r="O145" s="129">
        <v>12.19</v>
      </c>
      <c r="P145" s="129"/>
      <c r="Q145" s="130"/>
      <c r="R145" s="131"/>
      <c r="S145" s="131"/>
      <c r="T145" s="132">
        <v>44605</v>
      </c>
      <c r="U145" s="132"/>
      <c r="V145" s="132"/>
      <c r="W145" s="132"/>
      <c r="X145" s="132"/>
      <c r="Y145" s="133"/>
      <c r="Z145" s="126" t="s">
        <v>64</v>
      </c>
      <c r="AA145" s="134" t="s">
        <v>154</v>
      </c>
      <c r="AB145" s="134" t="s">
        <v>1330</v>
      </c>
      <c r="AC145" s="134"/>
      <c r="AD145" s="134">
        <v>44516</v>
      </c>
      <c r="AE145" s="134"/>
      <c r="AF145" s="134">
        <f t="shared" ca="1" si="14"/>
        <v>44963</v>
      </c>
      <c r="AG145" s="126">
        <f t="shared" ca="1" si="11"/>
        <v>447</v>
      </c>
      <c r="AH145" s="126" t="str">
        <f t="shared" si="12"/>
        <v/>
      </c>
      <c r="AI145" s="134"/>
      <c r="AJ145" s="143" t="s">
        <v>2756</v>
      </c>
      <c r="AK145" s="129">
        <v>12.2</v>
      </c>
      <c r="AL145" s="129">
        <v>12.21</v>
      </c>
      <c r="AM145" s="129">
        <v>12.234999999999999</v>
      </c>
      <c r="AN145" s="129">
        <v>12.24</v>
      </c>
      <c r="AO145" s="126" t="str">
        <f t="shared" si="13"/>
        <v/>
      </c>
      <c r="AR145" s="99" t="s">
        <v>136</v>
      </c>
    </row>
    <row r="146" spans="1:44" s="99" customFormat="1" ht="21" customHeight="1" x14ac:dyDescent="0.35">
      <c r="A146" s="99">
        <v>424</v>
      </c>
      <c r="B146" s="126" t="str">
        <f t="shared" si="10"/>
        <v>0-304L/1D-004X768</v>
      </c>
      <c r="C146" s="126" t="s">
        <v>2742</v>
      </c>
      <c r="D146" s="126" t="s">
        <v>11</v>
      </c>
      <c r="E146" s="143" t="s">
        <v>2759</v>
      </c>
      <c r="F146" s="143" t="s">
        <v>2760</v>
      </c>
      <c r="G146" s="126" t="s">
        <v>230</v>
      </c>
      <c r="H146" s="126" t="s">
        <v>139</v>
      </c>
      <c r="I146" s="127">
        <v>3.5</v>
      </c>
      <c r="J146" s="127"/>
      <c r="K146" s="127"/>
      <c r="L146" s="127"/>
      <c r="M146" s="144">
        <v>768</v>
      </c>
      <c r="N146" s="129">
        <v>10.43</v>
      </c>
      <c r="O146" s="129">
        <v>10.43</v>
      </c>
      <c r="P146" s="129"/>
      <c r="Q146" s="130"/>
      <c r="R146" s="131"/>
      <c r="S146" s="131"/>
      <c r="T146" s="132">
        <v>44605</v>
      </c>
      <c r="U146" s="132"/>
      <c r="V146" s="132"/>
      <c r="W146" s="132"/>
      <c r="X146" s="132"/>
      <c r="Y146" s="133" t="s">
        <v>1395</v>
      </c>
      <c r="Z146" s="126" t="s">
        <v>64</v>
      </c>
      <c r="AA146" s="134" t="s">
        <v>154</v>
      </c>
      <c r="AB146" s="134" t="s">
        <v>1516</v>
      </c>
      <c r="AC146" s="134"/>
      <c r="AD146" s="134">
        <v>44554</v>
      </c>
      <c r="AE146" s="134"/>
      <c r="AF146" s="134">
        <f t="shared" ca="1" si="14"/>
        <v>44963</v>
      </c>
      <c r="AG146" s="126">
        <f t="shared" ca="1" si="11"/>
        <v>409</v>
      </c>
      <c r="AH146" s="126" t="str">
        <f t="shared" si="12"/>
        <v/>
      </c>
      <c r="AI146" s="134"/>
      <c r="AJ146" s="143" t="s">
        <v>1641</v>
      </c>
      <c r="AK146" s="129">
        <v>10.43</v>
      </c>
      <c r="AL146" s="129">
        <v>10.44</v>
      </c>
      <c r="AM146" s="129">
        <v>10.464999999999998</v>
      </c>
      <c r="AN146" s="129">
        <v>10.469999999999999</v>
      </c>
      <c r="AO146" s="126" t="str">
        <f t="shared" si="13"/>
        <v/>
      </c>
      <c r="AR146" s="99" t="s">
        <v>136</v>
      </c>
    </row>
    <row r="147" spans="1:44" s="99" customFormat="1" ht="21" customHeight="1" x14ac:dyDescent="0.35">
      <c r="A147" s="99">
        <v>424</v>
      </c>
      <c r="B147" s="126" t="str">
        <f t="shared" si="10"/>
        <v>0-304/FH-001X770</v>
      </c>
      <c r="C147" s="126" t="s">
        <v>2741</v>
      </c>
      <c r="D147" s="126" t="s">
        <v>13</v>
      </c>
      <c r="E147" s="143" t="s">
        <v>2743</v>
      </c>
      <c r="F147" s="143" t="s">
        <v>2744</v>
      </c>
      <c r="G147" s="126">
        <v>304</v>
      </c>
      <c r="H147" s="126" t="s">
        <v>65</v>
      </c>
      <c r="I147" s="127">
        <v>3.25</v>
      </c>
      <c r="J147" s="127">
        <v>1.2</v>
      </c>
      <c r="K147" s="127"/>
      <c r="L147" s="127"/>
      <c r="M147" s="144">
        <v>770</v>
      </c>
      <c r="N147" s="129">
        <v>10.555</v>
      </c>
      <c r="O147" s="129">
        <v>10.55</v>
      </c>
      <c r="P147" s="129"/>
      <c r="Q147" s="130"/>
      <c r="R147" s="131"/>
      <c r="S147" s="131"/>
      <c r="T147" s="132">
        <v>44605</v>
      </c>
      <c r="U147" s="132"/>
      <c r="V147" s="132"/>
      <c r="W147" s="132"/>
      <c r="X147" s="132"/>
      <c r="Y147" s="133" t="s">
        <v>1395</v>
      </c>
      <c r="Z147" s="126" t="s">
        <v>64</v>
      </c>
      <c r="AA147" s="134" t="s">
        <v>154</v>
      </c>
      <c r="AB147" s="134" t="s">
        <v>1330</v>
      </c>
      <c r="AC147" s="134"/>
      <c r="AD147" s="134">
        <v>44554</v>
      </c>
      <c r="AE147" s="134"/>
      <c r="AF147" s="134">
        <f t="shared" ca="1" si="14"/>
        <v>44963</v>
      </c>
      <c r="AG147" s="126">
        <f t="shared" ca="1" si="11"/>
        <v>409</v>
      </c>
      <c r="AH147" s="126" t="str">
        <f t="shared" si="12"/>
        <v/>
      </c>
      <c r="AI147" s="134"/>
      <c r="AJ147" s="143" t="s">
        <v>2745</v>
      </c>
      <c r="AK147" s="129">
        <v>10.555</v>
      </c>
      <c r="AL147" s="129">
        <v>10.565</v>
      </c>
      <c r="AM147" s="129">
        <v>10.589999999999998</v>
      </c>
      <c r="AN147" s="129">
        <v>10.594999999999999</v>
      </c>
      <c r="AO147" s="126" t="str">
        <f t="shared" si="13"/>
        <v/>
      </c>
      <c r="AR147" s="99" t="s">
        <v>136</v>
      </c>
    </row>
    <row r="148" spans="1:44" s="99" customFormat="1" ht="21" customHeight="1" x14ac:dyDescent="0.35">
      <c r="A148" s="99">
        <v>424</v>
      </c>
      <c r="B148" s="126" t="str">
        <f t="shared" si="10"/>
        <v>0-304L/1D-004X768</v>
      </c>
      <c r="C148" s="126" t="s">
        <v>2742</v>
      </c>
      <c r="D148" s="126" t="s">
        <v>11</v>
      </c>
      <c r="E148" s="143" t="s">
        <v>1639</v>
      </c>
      <c r="F148" s="143" t="s">
        <v>2761</v>
      </c>
      <c r="G148" s="126" t="s">
        <v>230</v>
      </c>
      <c r="H148" s="126" t="s">
        <v>139</v>
      </c>
      <c r="I148" s="127">
        <v>3.5</v>
      </c>
      <c r="J148" s="127"/>
      <c r="K148" s="127"/>
      <c r="L148" s="127"/>
      <c r="M148" s="144">
        <v>768</v>
      </c>
      <c r="N148" s="129">
        <v>10.435</v>
      </c>
      <c r="O148" s="129">
        <v>10.435</v>
      </c>
      <c r="P148" s="129"/>
      <c r="Q148" s="130"/>
      <c r="R148" s="131"/>
      <c r="S148" s="131"/>
      <c r="T148" s="132">
        <v>44605</v>
      </c>
      <c r="U148" s="132"/>
      <c r="V148" s="132"/>
      <c r="W148" s="132"/>
      <c r="X148" s="132"/>
      <c r="Y148" s="133" t="s">
        <v>1395</v>
      </c>
      <c r="Z148" s="126" t="s">
        <v>64</v>
      </c>
      <c r="AA148" s="134" t="s">
        <v>154</v>
      </c>
      <c r="AB148" s="134" t="s">
        <v>1516</v>
      </c>
      <c r="AC148" s="134"/>
      <c r="AD148" s="134">
        <v>44554</v>
      </c>
      <c r="AE148" s="134"/>
      <c r="AF148" s="134">
        <f t="shared" ca="1" si="14"/>
        <v>44963</v>
      </c>
      <c r="AG148" s="126">
        <f t="shared" ca="1" si="11"/>
        <v>409</v>
      </c>
      <c r="AH148" s="126" t="str">
        <f t="shared" si="12"/>
        <v/>
      </c>
      <c r="AI148" s="134"/>
      <c r="AJ148" s="143" t="s">
        <v>1641</v>
      </c>
      <c r="AK148" s="129">
        <v>10.435</v>
      </c>
      <c r="AL148" s="129">
        <v>10.445</v>
      </c>
      <c r="AM148" s="129">
        <v>10.469999999999999</v>
      </c>
      <c r="AN148" s="129">
        <v>10.475</v>
      </c>
      <c r="AO148" s="126" t="str">
        <f t="shared" si="13"/>
        <v/>
      </c>
      <c r="AR148" s="99" t="s">
        <v>136</v>
      </c>
    </row>
    <row r="149" spans="1:44" s="99" customFormat="1" ht="21" customHeight="1" x14ac:dyDescent="0.35">
      <c r="A149" s="99">
        <v>424</v>
      </c>
      <c r="B149" s="126" t="str">
        <f t="shared" si="10"/>
        <v>0-304/FH-001X771</v>
      </c>
      <c r="C149" s="126" t="s">
        <v>2741</v>
      </c>
      <c r="D149" s="126" t="s">
        <v>13</v>
      </c>
      <c r="E149" s="143" t="s">
        <v>2757</v>
      </c>
      <c r="F149" s="143" t="s">
        <v>2758</v>
      </c>
      <c r="G149" s="126">
        <v>304</v>
      </c>
      <c r="H149" s="126" t="s">
        <v>65</v>
      </c>
      <c r="I149" s="127">
        <v>3.24</v>
      </c>
      <c r="J149" s="127">
        <v>1.2</v>
      </c>
      <c r="K149" s="127"/>
      <c r="L149" s="127"/>
      <c r="M149" s="144">
        <v>771</v>
      </c>
      <c r="N149" s="129">
        <v>10.555</v>
      </c>
      <c r="O149" s="129">
        <v>10.57</v>
      </c>
      <c r="P149" s="129"/>
      <c r="Q149" s="130"/>
      <c r="R149" s="131"/>
      <c r="S149" s="131"/>
      <c r="T149" s="132">
        <v>44605</v>
      </c>
      <c r="U149" s="132"/>
      <c r="V149" s="132"/>
      <c r="W149" s="132"/>
      <c r="X149" s="132"/>
      <c r="Y149" s="133" t="s">
        <v>1395</v>
      </c>
      <c r="Z149" s="126" t="s">
        <v>64</v>
      </c>
      <c r="AA149" s="134" t="s">
        <v>154</v>
      </c>
      <c r="AB149" s="134" t="s">
        <v>1330</v>
      </c>
      <c r="AC149" s="134"/>
      <c r="AD149" s="134">
        <v>44554</v>
      </c>
      <c r="AE149" s="134"/>
      <c r="AF149" s="134">
        <f t="shared" ca="1" si="14"/>
        <v>44963</v>
      </c>
      <c r="AG149" s="126">
        <f t="shared" ca="1" si="11"/>
        <v>409</v>
      </c>
      <c r="AH149" s="126" t="str">
        <f t="shared" si="12"/>
        <v/>
      </c>
      <c r="AI149" s="134"/>
      <c r="AJ149" s="143" t="s">
        <v>2745</v>
      </c>
      <c r="AK149" s="129">
        <v>10.555</v>
      </c>
      <c r="AL149" s="129">
        <v>10.565</v>
      </c>
      <c r="AM149" s="129">
        <v>10.589999999999998</v>
      </c>
      <c r="AN149" s="129">
        <v>10.594999999999999</v>
      </c>
      <c r="AO149" s="126" t="str">
        <f t="shared" si="13"/>
        <v/>
      </c>
      <c r="AR149" s="99" t="s">
        <v>136</v>
      </c>
    </row>
    <row r="150" spans="1:44" s="99" customFormat="1" ht="21" customHeight="1" x14ac:dyDescent="0.35">
      <c r="A150" s="99">
        <v>421</v>
      </c>
      <c r="B150" s="126" t="str">
        <f t="shared" si="10"/>
        <v>0-304L/1D-003X770</v>
      </c>
      <c r="C150" s="126" t="s">
        <v>2742</v>
      </c>
      <c r="D150" s="126" t="s">
        <v>11</v>
      </c>
      <c r="E150" s="143" t="s">
        <v>2762</v>
      </c>
      <c r="F150" s="143" t="s">
        <v>2763</v>
      </c>
      <c r="G150" s="126" t="s">
        <v>230</v>
      </c>
      <c r="H150" s="126" t="s">
        <v>139</v>
      </c>
      <c r="I150" s="127">
        <v>2.95</v>
      </c>
      <c r="J150" s="127"/>
      <c r="K150" s="127"/>
      <c r="L150" s="127"/>
      <c r="M150" s="144">
        <v>770</v>
      </c>
      <c r="N150" s="129">
        <v>12.185</v>
      </c>
      <c r="O150" s="129">
        <v>12.185</v>
      </c>
      <c r="P150" s="129"/>
      <c r="Q150" s="130"/>
      <c r="R150" s="131"/>
      <c r="S150" s="131"/>
      <c r="T150" s="132">
        <v>44605</v>
      </c>
      <c r="U150" s="132"/>
      <c r="V150" s="132"/>
      <c r="W150" s="132"/>
      <c r="X150" s="132"/>
      <c r="Y150" s="133"/>
      <c r="Z150" s="126" t="s">
        <v>64</v>
      </c>
      <c r="AA150" s="134" t="s">
        <v>154</v>
      </c>
      <c r="AB150" s="134" t="s">
        <v>1246</v>
      </c>
      <c r="AC150" s="134"/>
      <c r="AD150" s="134">
        <v>44496</v>
      </c>
      <c r="AE150" s="134"/>
      <c r="AF150" s="134">
        <f t="shared" ca="1" si="14"/>
        <v>44963</v>
      </c>
      <c r="AG150" s="126">
        <f t="shared" ca="1" si="11"/>
        <v>467</v>
      </c>
      <c r="AH150" s="126" t="str">
        <f t="shared" si="12"/>
        <v/>
      </c>
      <c r="AI150" s="134"/>
      <c r="AJ150" s="143" t="s">
        <v>2764</v>
      </c>
      <c r="AK150" s="129">
        <v>12.185</v>
      </c>
      <c r="AL150" s="129">
        <v>12.195</v>
      </c>
      <c r="AM150" s="129">
        <v>12.219999999999999</v>
      </c>
      <c r="AN150" s="129">
        <v>12.225</v>
      </c>
      <c r="AO150" s="126" t="str">
        <f t="shared" si="13"/>
        <v/>
      </c>
      <c r="AR150" s="99" t="s">
        <v>136</v>
      </c>
    </row>
    <row r="151" spans="1:44" s="99" customFormat="1" ht="21" customHeight="1" x14ac:dyDescent="0.35">
      <c r="A151" s="99">
        <v>424</v>
      </c>
      <c r="B151" s="126" t="str">
        <f t="shared" si="10"/>
        <v>0-304L/FH-001X768</v>
      </c>
      <c r="C151" s="126" t="s">
        <v>2741</v>
      </c>
      <c r="D151" s="126" t="s">
        <v>13</v>
      </c>
      <c r="E151" s="143" t="s">
        <v>2759</v>
      </c>
      <c r="F151" s="143" t="s">
        <v>2760</v>
      </c>
      <c r="G151" s="126" t="s">
        <v>230</v>
      </c>
      <c r="H151" s="126" t="s">
        <v>65</v>
      </c>
      <c r="I151" s="127">
        <v>3.5</v>
      </c>
      <c r="J151" s="127">
        <v>1.45</v>
      </c>
      <c r="K151" s="127"/>
      <c r="L151" s="127"/>
      <c r="M151" s="144">
        <v>768</v>
      </c>
      <c r="N151" s="129">
        <v>10.43</v>
      </c>
      <c r="O151" s="129">
        <v>10.43</v>
      </c>
      <c r="P151" s="129"/>
      <c r="Q151" s="130"/>
      <c r="R151" s="131"/>
      <c r="S151" s="131"/>
      <c r="T151" s="132">
        <v>44605</v>
      </c>
      <c r="U151" s="132"/>
      <c r="V151" s="132"/>
      <c r="W151" s="132"/>
      <c r="X151" s="132"/>
      <c r="Y151" s="133" t="s">
        <v>1395</v>
      </c>
      <c r="Z151" s="126" t="s">
        <v>64</v>
      </c>
      <c r="AA151" s="134" t="s">
        <v>154</v>
      </c>
      <c r="AB151" s="134" t="s">
        <v>1516</v>
      </c>
      <c r="AC151" s="134"/>
      <c r="AD151" s="134">
        <v>44554</v>
      </c>
      <c r="AE151" s="134"/>
      <c r="AF151" s="134">
        <f t="shared" ca="1" si="14"/>
        <v>44963</v>
      </c>
      <c r="AG151" s="126">
        <f t="shared" ca="1" si="11"/>
        <v>409</v>
      </c>
      <c r="AH151" s="126" t="str">
        <f t="shared" si="12"/>
        <v/>
      </c>
      <c r="AI151" s="134"/>
      <c r="AJ151" s="143" t="s">
        <v>1641</v>
      </c>
      <c r="AK151" s="129">
        <v>10.43</v>
      </c>
      <c r="AL151" s="129">
        <v>10.44</v>
      </c>
      <c r="AM151" s="129">
        <v>10.464999999999998</v>
      </c>
      <c r="AN151" s="129">
        <v>10.469999999999999</v>
      </c>
      <c r="AO151" s="126" t="str">
        <f t="shared" si="13"/>
        <v/>
      </c>
      <c r="AR151" s="99" t="s">
        <v>136</v>
      </c>
    </row>
    <row r="152" spans="1:44" s="99" customFormat="1" ht="21" customHeight="1" x14ac:dyDescent="0.35">
      <c r="A152" s="99">
        <v>424</v>
      </c>
      <c r="B152" s="126" t="str">
        <f t="shared" si="10"/>
        <v>0-304L/1D-004X768</v>
      </c>
      <c r="C152" s="126" t="s">
        <v>2742</v>
      </c>
      <c r="D152" s="126" t="s">
        <v>11</v>
      </c>
      <c r="E152" s="143" t="s">
        <v>2765</v>
      </c>
      <c r="F152" s="143" t="s">
        <v>2766</v>
      </c>
      <c r="G152" s="126" t="s">
        <v>230</v>
      </c>
      <c r="H152" s="126" t="s">
        <v>139</v>
      </c>
      <c r="I152" s="127">
        <v>3.98</v>
      </c>
      <c r="J152" s="127"/>
      <c r="K152" s="127"/>
      <c r="L152" s="127"/>
      <c r="M152" s="144">
        <v>768</v>
      </c>
      <c r="N152" s="129">
        <v>10.305</v>
      </c>
      <c r="O152" s="129">
        <v>10.305</v>
      </c>
      <c r="P152" s="129"/>
      <c r="Q152" s="130"/>
      <c r="R152" s="131"/>
      <c r="S152" s="131"/>
      <c r="T152" s="132">
        <v>44605</v>
      </c>
      <c r="U152" s="132"/>
      <c r="V152" s="132"/>
      <c r="W152" s="132"/>
      <c r="X152" s="132"/>
      <c r="Y152" s="133" t="s">
        <v>1395</v>
      </c>
      <c r="Z152" s="126" t="s">
        <v>64</v>
      </c>
      <c r="AA152" s="134" t="s">
        <v>154</v>
      </c>
      <c r="AB152" s="134" t="s">
        <v>1516</v>
      </c>
      <c r="AC152" s="134"/>
      <c r="AD152" s="134">
        <v>44554</v>
      </c>
      <c r="AE152" s="134"/>
      <c r="AF152" s="134">
        <f t="shared" ca="1" si="14"/>
        <v>44963</v>
      </c>
      <c r="AG152" s="126">
        <f t="shared" ca="1" si="11"/>
        <v>409</v>
      </c>
      <c r="AH152" s="126" t="str">
        <f t="shared" si="12"/>
        <v/>
      </c>
      <c r="AI152" s="134"/>
      <c r="AJ152" s="143" t="s">
        <v>2767</v>
      </c>
      <c r="AK152" s="129">
        <v>10.305</v>
      </c>
      <c r="AL152" s="129">
        <v>10.315</v>
      </c>
      <c r="AM152" s="129">
        <v>10.339999999999998</v>
      </c>
      <c r="AN152" s="129">
        <v>10.344999999999999</v>
      </c>
      <c r="AO152" s="126" t="str">
        <f t="shared" si="13"/>
        <v/>
      </c>
      <c r="AR152" s="99" t="s">
        <v>136</v>
      </c>
    </row>
    <row r="153" spans="1:44" s="99" customFormat="1" ht="21" customHeight="1" x14ac:dyDescent="0.35">
      <c r="A153" s="99">
        <v>421</v>
      </c>
      <c r="B153" s="126" t="str">
        <f t="shared" si="10"/>
        <v>0-304L/FH-001X770</v>
      </c>
      <c r="C153" s="126" t="s">
        <v>2741</v>
      </c>
      <c r="D153" s="126" t="s">
        <v>13</v>
      </c>
      <c r="E153" s="143" t="s">
        <v>2752</v>
      </c>
      <c r="F153" s="143" t="s">
        <v>2753</v>
      </c>
      <c r="G153" s="126" t="s">
        <v>230</v>
      </c>
      <c r="H153" s="126" t="s">
        <v>65</v>
      </c>
      <c r="I153" s="127">
        <v>2.89</v>
      </c>
      <c r="J153" s="127">
        <v>1</v>
      </c>
      <c r="K153" s="127"/>
      <c r="L153" s="127"/>
      <c r="M153" s="144">
        <v>770</v>
      </c>
      <c r="N153" s="129">
        <v>12.065</v>
      </c>
      <c r="O153" s="129">
        <v>12.08</v>
      </c>
      <c r="P153" s="129"/>
      <c r="Q153" s="130"/>
      <c r="R153" s="131"/>
      <c r="S153" s="131"/>
      <c r="T153" s="132">
        <v>44605</v>
      </c>
      <c r="U153" s="132"/>
      <c r="V153" s="132"/>
      <c r="W153" s="132"/>
      <c r="X153" s="132"/>
      <c r="Y153" s="133"/>
      <c r="Z153" s="126" t="s">
        <v>64</v>
      </c>
      <c r="AA153" s="134" t="s">
        <v>154</v>
      </c>
      <c r="AB153" s="134" t="s">
        <v>1190</v>
      </c>
      <c r="AC153" s="134"/>
      <c r="AD153" s="134">
        <v>44496</v>
      </c>
      <c r="AE153" s="134"/>
      <c r="AF153" s="134">
        <f t="shared" ca="1" si="14"/>
        <v>44963</v>
      </c>
      <c r="AG153" s="126">
        <f t="shared" ca="1" si="11"/>
        <v>467</v>
      </c>
      <c r="AH153" s="126" t="str">
        <f t="shared" si="12"/>
        <v/>
      </c>
      <c r="AI153" s="134"/>
      <c r="AJ153" s="143" t="s">
        <v>1222</v>
      </c>
      <c r="AK153" s="129">
        <v>12.065</v>
      </c>
      <c r="AL153" s="129">
        <v>12.074999999999999</v>
      </c>
      <c r="AM153" s="129">
        <v>12.099999999999998</v>
      </c>
      <c r="AN153" s="129">
        <v>12.104999999999999</v>
      </c>
      <c r="AO153" s="126" t="str">
        <f t="shared" si="13"/>
        <v/>
      </c>
      <c r="AR153" s="99" t="s">
        <v>136</v>
      </c>
    </row>
    <row r="154" spans="1:44" s="99" customFormat="1" ht="21" customHeight="1" x14ac:dyDescent="0.35">
      <c r="A154" s="99">
        <v>424</v>
      </c>
      <c r="B154" s="126" t="str">
        <f t="shared" si="10"/>
        <v>0-304L/1D-003X772</v>
      </c>
      <c r="C154" s="126" t="s">
        <v>2768</v>
      </c>
      <c r="D154" s="126" t="s">
        <v>11</v>
      </c>
      <c r="E154" s="143" t="s">
        <v>2769</v>
      </c>
      <c r="F154" s="143" t="s">
        <v>2770</v>
      </c>
      <c r="G154" s="126" t="s">
        <v>230</v>
      </c>
      <c r="H154" s="126" t="s">
        <v>139</v>
      </c>
      <c r="I154" s="127">
        <v>3.37</v>
      </c>
      <c r="J154" s="127"/>
      <c r="K154" s="127"/>
      <c r="L154" s="127"/>
      <c r="M154" s="144">
        <v>772</v>
      </c>
      <c r="N154" s="129">
        <v>10.465</v>
      </c>
      <c r="O154" s="129">
        <v>10.465</v>
      </c>
      <c r="P154" s="129"/>
      <c r="Q154" s="130"/>
      <c r="R154" s="131"/>
      <c r="S154" s="131"/>
      <c r="T154" s="132">
        <v>44606</v>
      </c>
      <c r="U154" s="132"/>
      <c r="V154" s="132"/>
      <c r="W154" s="132"/>
      <c r="X154" s="132"/>
      <c r="Y154" s="133" t="s">
        <v>1395</v>
      </c>
      <c r="Z154" s="126" t="s">
        <v>64</v>
      </c>
      <c r="AA154" s="134" t="s">
        <v>154</v>
      </c>
      <c r="AB154" s="134" t="s">
        <v>1516</v>
      </c>
      <c r="AC154" s="134"/>
      <c r="AD154" s="134">
        <v>44554</v>
      </c>
      <c r="AE154" s="134"/>
      <c r="AF154" s="134">
        <f t="shared" ca="1" si="14"/>
        <v>44963</v>
      </c>
      <c r="AG154" s="126">
        <f t="shared" ca="1" si="11"/>
        <v>409</v>
      </c>
      <c r="AH154" s="126" t="str">
        <f t="shared" si="12"/>
        <v/>
      </c>
      <c r="AI154" s="134"/>
      <c r="AJ154" s="143" t="s">
        <v>2608</v>
      </c>
      <c r="AK154" s="129">
        <v>10.465</v>
      </c>
      <c r="AL154" s="129">
        <v>10.475</v>
      </c>
      <c r="AM154" s="129">
        <v>10.499999999999998</v>
      </c>
      <c r="AN154" s="129">
        <v>10.504999999999999</v>
      </c>
      <c r="AO154" s="126" t="str">
        <f t="shared" si="13"/>
        <v/>
      </c>
      <c r="AR154" s="99" t="s">
        <v>136</v>
      </c>
    </row>
    <row r="155" spans="1:44" s="99" customFormat="1" ht="21" customHeight="1" x14ac:dyDescent="0.35">
      <c r="A155" s="99">
        <v>421</v>
      </c>
      <c r="B155" s="126" t="str">
        <f t="shared" si="10"/>
        <v>0-304L/FH-000X770</v>
      </c>
      <c r="C155" s="126" t="s">
        <v>2771</v>
      </c>
      <c r="D155" s="126" t="s">
        <v>13</v>
      </c>
      <c r="E155" s="143" t="s">
        <v>2762</v>
      </c>
      <c r="F155" s="143" t="s">
        <v>2763</v>
      </c>
      <c r="G155" s="126" t="s">
        <v>230</v>
      </c>
      <c r="H155" s="126" t="s">
        <v>65</v>
      </c>
      <c r="I155" s="127">
        <v>2.95</v>
      </c>
      <c r="J155" s="127">
        <v>0.09</v>
      </c>
      <c r="K155" s="127"/>
      <c r="L155" s="127"/>
      <c r="M155" s="144">
        <v>770</v>
      </c>
      <c r="N155" s="129">
        <v>12.185</v>
      </c>
      <c r="O155" s="129">
        <v>12.23</v>
      </c>
      <c r="P155" s="129"/>
      <c r="Q155" s="130"/>
      <c r="R155" s="131"/>
      <c r="S155" s="131"/>
      <c r="T155" s="132">
        <v>44605</v>
      </c>
      <c r="U155" s="132"/>
      <c r="V155" s="132"/>
      <c r="W155" s="132"/>
      <c r="X155" s="132"/>
      <c r="Y155" s="133"/>
      <c r="Z155" s="126" t="s">
        <v>64</v>
      </c>
      <c r="AA155" s="134" t="s">
        <v>154</v>
      </c>
      <c r="AB155" s="134" t="s">
        <v>1246</v>
      </c>
      <c r="AC155" s="134"/>
      <c r="AD155" s="134">
        <v>44496</v>
      </c>
      <c r="AE155" s="134"/>
      <c r="AF155" s="134">
        <f t="shared" ca="1" si="14"/>
        <v>44963</v>
      </c>
      <c r="AG155" s="126">
        <f t="shared" ca="1" si="11"/>
        <v>467</v>
      </c>
      <c r="AH155" s="126" t="str">
        <f t="shared" si="12"/>
        <v/>
      </c>
      <c r="AI155" s="134"/>
      <c r="AJ155" s="143" t="s">
        <v>2764</v>
      </c>
      <c r="AK155" s="129">
        <v>12.185</v>
      </c>
      <c r="AL155" s="129">
        <v>12.195</v>
      </c>
      <c r="AM155" s="129">
        <v>12.219999999999999</v>
      </c>
      <c r="AN155" s="129">
        <v>12.225</v>
      </c>
      <c r="AO155" s="126" t="str">
        <f t="shared" si="13"/>
        <v/>
      </c>
      <c r="AR155" s="99" t="s">
        <v>136</v>
      </c>
    </row>
    <row r="156" spans="1:44" s="99" customFormat="1" ht="21" customHeight="1" x14ac:dyDescent="0.35">
      <c r="A156" s="99">
        <v>421</v>
      </c>
      <c r="B156" s="126" t="str">
        <f t="shared" si="10"/>
        <v>0-304L/1D-003X770</v>
      </c>
      <c r="C156" s="126" t="s">
        <v>2768</v>
      </c>
      <c r="D156" s="126" t="s">
        <v>11</v>
      </c>
      <c r="E156" s="143" t="s">
        <v>2772</v>
      </c>
      <c r="F156" s="143" t="s">
        <v>2773</v>
      </c>
      <c r="G156" s="126" t="s">
        <v>230</v>
      </c>
      <c r="H156" s="126" t="s">
        <v>139</v>
      </c>
      <c r="I156" s="127">
        <v>3</v>
      </c>
      <c r="J156" s="127"/>
      <c r="K156" s="127"/>
      <c r="L156" s="127"/>
      <c r="M156" s="144">
        <v>770</v>
      </c>
      <c r="N156" s="129">
        <v>10.47</v>
      </c>
      <c r="O156" s="129">
        <v>10.47</v>
      </c>
      <c r="P156" s="129"/>
      <c r="Q156" s="130"/>
      <c r="R156" s="131"/>
      <c r="S156" s="131"/>
      <c r="T156" s="132">
        <v>44606</v>
      </c>
      <c r="U156" s="132"/>
      <c r="V156" s="132"/>
      <c r="W156" s="132"/>
      <c r="X156" s="132"/>
      <c r="Y156" s="133"/>
      <c r="Z156" s="126" t="s">
        <v>64</v>
      </c>
      <c r="AA156" s="134" t="s">
        <v>154</v>
      </c>
      <c r="AB156" s="134" t="s">
        <v>1190</v>
      </c>
      <c r="AC156" s="134"/>
      <c r="AD156" s="134">
        <v>44496</v>
      </c>
      <c r="AE156" s="134"/>
      <c r="AF156" s="134">
        <f t="shared" ca="1" si="14"/>
        <v>44963</v>
      </c>
      <c r="AG156" s="126">
        <f t="shared" ca="1" si="11"/>
        <v>467</v>
      </c>
      <c r="AH156" s="126" t="str">
        <f t="shared" si="12"/>
        <v/>
      </c>
      <c r="AI156" s="134"/>
      <c r="AJ156" s="143" t="s">
        <v>2774</v>
      </c>
      <c r="AK156" s="129">
        <v>10.47</v>
      </c>
      <c r="AL156" s="129">
        <v>10.48</v>
      </c>
      <c r="AM156" s="129">
        <v>10.504999999999999</v>
      </c>
      <c r="AN156" s="129">
        <v>10.51</v>
      </c>
      <c r="AO156" s="126" t="str">
        <f t="shared" si="13"/>
        <v/>
      </c>
      <c r="AR156" s="99" t="s">
        <v>136</v>
      </c>
    </row>
    <row r="157" spans="1:44" s="99" customFormat="1" ht="21" customHeight="1" x14ac:dyDescent="0.35">
      <c r="A157" s="99">
        <v>424</v>
      </c>
      <c r="B157" s="126" t="str">
        <f t="shared" si="10"/>
        <v>0-304L/FH-002X768</v>
      </c>
      <c r="C157" s="126" t="s">
        <v>2771</v>
      </c>
      <c r="D157" s="126" t="s">
        <v>13</v>
      </c>
      <c r="E157" s="143" t="s">
        <v>2765</v>
      </c>
      <c r="F157" s="143" t="s">
        <v>2766</v>
      </c>
      <c r="G157" s="126" t="s">
        <v>230</v>
      </c>
      <c r="H157" s="126" t="s">
        <v>65</v>
      </c>
      <c r="I157" s="127">
        <v>3.98</v>
      </c>
      <c r="J157" s="127">
        <v>2</v>
      </c>
      <c r="K157" s="127"/>
      <c r="L157" s="127"/>
      <c r="M157" s="144">
        <v>768</v>
      </c>
      <c r="N157" s="129">
        <v>10.305</v>
      </c>
      <c r="O157" s="129">
        <v>10.33</v>
      </c>
      <c r="P157" s="129"/>
      <c r="Q157" s="130"/>
      <c r="R157" s="131"/>
      <c r="S157" s="131"/>
      <c r="T157" s="132">
        <v>44605</v>
      </c>
      <c r="U157" s="132"/>
      <c r="V157" s="132"/>
      <c r="W157" s="132"/>
      <c r="X157" s="132"/>
      <c r="Y157" s="133" t="s">
        <v>1395</v>
      </c>
      <c r="Z157" s="126" t="s">
        <v>64</v>
      </c>
      <c r="AA157" s="134" t="s">
        <v>154</v>
      </c>
      <c r="AB157" s="134" t="s">
        <v>1516</v>
      </c>
      <c r="AC157" s="134"/>
      <c r="AD157" s="134">
        <v>44554</v>
      </c>
      <c r="AE157" s="134"/>
      <c r="AF157" s="134">
        <f t="shared" ca="1" si="14"/>
        <v>44963</v>
      </c>
      <c r="AG157" s="126">
        <f t="shared" ca="1" si="11"/>
        <v>409</v>
      </c>
      <c r="AH157" s="126" t="str">
        <f t="shared" si="12"/>
        <v/>
      </c>
      <c r="AI157" s="134"/>
      <c r="AJ157" s="143" t="s">
        <v>2767</v>
      </c>
      <c r="AK157" s="129">
        <v>10.305</v>
      </c>
      <c r="AL157" s="129">
        <v>10.315</v>
      </c>
      <c r="AM157" s="129">
        <v>10.339999999999998</v>
      </c>
      <c r="AN157" s="129">
        <v>10.344999999999999</v>
      </c>
      <c r="AO157" s="126" t="str">
        <f t="shared" si="13"/>
        <v/>
      </c>
      <c r="AR157" s="99" t="s">
        <v>136</v>
      </c>
    </row>
    <row r="158" spans="1:44" s="99" customFormat="1" ht="21" customHeight="1" x14ac:dyDescent="0.35">
      <c r="A158" s="99">
        <v>421</v>
      </c>
      <c r="B158" s="126" t="str">
        <f t="shared" si="10"/>
        <v>0-304L/1D-003X770</v>
      </c>
      <c r="C158" s="126" t="s">
        <v>2768</v>
      </c>
      <c r="D158" s="126" t="s">
        <v>11</v>
      </c>
      <c r="E158" s="143" t="s">
        <v>2775</v>
      </c>
      <c r="F158" s="143" t="s">
        <v>2776</v>
      </c>
      <c r="G158" s="126" t="s">
        <v>230</v>
      </c>
      <c r="H158" s="126" t="s">
        <v>139</v>
      </c>
      <c r="I158" s="127">
        <v>2.92</v>
      </c>
      <c r="J158" s="127"/>
      <c r="K158" s="127"/>
      <c r="L158" s="127"/>
      <c r="M158" s="144">
        <v>770</v>
      </c>
      <c r="N158" s="129">
        <v>10.475</v>
      </c>
      <c r="O158" s="129">
        <v>10.475</v>
      </c>
      <c r="P158" s="129"/>
      <c r="Q158" s="130"/>
      <c r="R158" s="131"/>
      <c r="S158" s="131"/>
      <c r="T158" s="132">
        <v>44606</v>
      </c>
      <c r="U158" s="132"/>
      <c r="V158" s="132"/>
      <c r="W158" s="132"/>
      <c r="X158" s="132"/>
      <c r="Y158" s="133"/>
      <c r="Z158" s="126" t="s">
        <v>64</v>
      </c>
      <c r="AA158" s="134" t="s">
        <v>154</v>
      </c>
      <c r="AB158" s="134" t="s">
        <v>1246</v>
      </c>
      <c r="AC158" s="134"/>
      <c r="AD158" s="134">
        <v>44496</v>
      </c>
      <c r="AE158" s="134"/>
      <c r="AF158" s="134">
        <f t="shared" ca="1" si="14"/>
        <v>44963</v>
      </c>
      <c r="AG158" s="126">
        <f t="shared" ca="1" si="11"/>
        <v>467</v>
      </c>
      <c r="AH158" s="126" t="str">
        <f t="shared" si="12"/>
        <v/>
      </c>
      <c r="AI158" s="134"/>
      <c r="AJ158" s="143" t="s">
        <v>2777</v>
      </c>
      <c r="AK158" s="129">
        <v>10.475</v>
      </c>
      <c r="AL158" s="129">
        <v>10.484999999999999</v>
      </c>
      <c r="AM158" s="129">
        <v>10.509999999999998</v>
      </c>
      <c r="AN158" s="129">
        <v>10.514999999999999</v>
      </c>
      <c r="AO158" s="126" t="str">
        <f t="shared" si="13"/>
        <v/>
      </c>
      <c r="AR158" s="99" t="s">
        <v>136</v>
      </c>
    </row>
    <row r="159" spans="1:44" s="99" customFormat="1" ht="21" customHeight="1" x14ac:dyDescent="0.35">
      <c r="A159" s="99">
        <v>424</v>
      </c>
      <c r="B159" s="126" t="str">
        <f t="shared" si="10"/>
        <v>0-304L/FH-001X768</v>
      </c>
      <c r="C159" s="126" t="s">
        <v>2771</v>
      </c>
      <c r="D159" s="126" t="s">
        <v>13</v>
      </c>
      <c r="E159" s="143" t="s">
        <v>1639</v>
      </c>
      <c r="F159" s="143" t="s">
        <v>2761</v>
      </c>
      <c r="G159" s="126" t="s">
        <v>230</v>
      </c>
      <c r="H159" s="126" t="s">
        <v>65</v>
      </c>
      <c r="I159" s="127">
        <v>3.5</v>
      </c>
      <c r="J159" s="127">
        <v>1.45</v>
      </c>
      <c r="K159" s="127"/>
      <c r="L159" s="127"/>
      <c r="M159" s="144">
        <v>768</v>
      </c>
      <c r="N159" s="129">
        <v>10.435</v>
      </c>
      <c r="O159" s="129">
        <v>10.43</v>
      </c>
      <c r="P159" s="129"/>
      <c r="Q159" s="130"/>
      <c r="R159" s="131"/>
      <c r="S159" s="131"/>
      <c r="T159" s="132">
        <v>44605</v>
      </c>
      <c r="U159" s="132"/>
      <c r="V159" s="132"/>
      <c r="W159" s="132"/>
      <c r="X159" s="132"/>
      <c r="Y159" s="133" t="s">
        <v>1395</v>
      </c>
      <c r="Z159" s="126" t="s">
        <v>64</v>
      </c>
      <c r="AA159" s="134" t="s">
        <v>154</v>
      </c>
      <c r="AB159" s="134" t="s">
        <v>1516</v>
      </c>
      <c r="AC159" s="134"/>
      <c r="AD159" s="134">
        <v>44554</v>
      </c>
      <c r="AE159" s="134"/>
      <c r="AF159" s="134">
        <f t="shared" ca="1" si="14"/>
        <v>44963</v>
      </c>
      <c r="AG159" s="126">
        <f t="shared" ca="1" si="11"/>
        <v>409</v>
      </c>
      <c r="AH159" s="126" t="str">
        <f t="shared" si="12"/>
        <v/>
      </c>
      <c r="AI159" s="134"/>
      <c r="AJ159" s="143" t="s">
        <v>1641</v>
      </c>
      <c r="AK159" s="129">
        <v>10.435</v>
      </c>
      <c r="AL159" s="129">
        <v>10.445</v>
      </c>
      <c r="AM159" s="129">
        <v>10.469999999999999</v>
      </c>
      <c r="AN159" s="129">
        <v>10.475</v>
      </c>
      <c r="AO159" s="126" t="str">
        <f t="shared" si="13"/>
        <v/>
      </c>
      <c r="AR159" s="99" t="s">
        <v>136</v>
      </c>
    </row>
    <row r="160" spans="1:44" s="99" customFormat="1" ht="21" customHeight="1" x14ac:dyDescent="0.35">
      <c r="A160" s="99">
        <v>424</v>
      </c>
      <c r="B160" s="126" t="str">
        <f t="shared" si="10"/>
        <v>0-304L/1D-004X773</v>
      </c>
      <c r="C160" s="126" t="s">
        <v>2768</v>
      </c>
      <c r="D160" s="126" t="s">
        <v>11</v>
      </c>
      <c r="E160" s="143" t="s">
        <v>2778</v>
      </c>
      <c r="F160" s="143" t="s">
        <v>2779</v>
      </c>
      <c r="G160" s="126" t="s">
        <v>230</v>
      </c>
      <c r="H160" s="126" t="s">
        <v>139</v>
      </c>
      <c r="I160" s="127">
        <v>3.78</v>
      </c>
      <c r="J160" s="127"/>
      <c r="K160" s="127"/>
      <c r="L160" s="127"/>
      <c r="M160" s="144">
        <v>773</v>
      </c>
      <c r="N160" s="129">
        <v>10.39</v>
      </c>
      <c r="O160" s="129">
        <v>10.39</v>
      </c>
      <c r="P160" s="129"/>
      <c r="Q160" s="130"/>
      <c r="R160" s="131"/>
      <c r="S160" s="131"/>
      <c r="T160" s="132">
        <v>44606</v>
      </c>
      <c r="U160" s="132"/>
      <c r="V160" s="132"/>
      <c r="W160" s="132"/>
      <c r="X160" s="132"/>
      <c r="Y160" s="133" t="s">
        <v>1395</v>
      </c>
      <c r="Z160" s="126" t="s">
        <v>64</v>
      </c>
      <c r="AA160" s="134" t="s">
        <v>154</v>
      </c>
      <c r="AB160" s="134" t="s">
        <v>1330</v>
      </c>
      <c r="AC160" s="134"/>
      <c r="AD160" s="134">
        <v>44554</v>
      </c>
      <c r="AE160" s="134"/>
      <c r="AF160" s="134">
        <f t="shared" ca="1" si="14"/>
        <v>44963</v>
      </c>
      <c r="AG160" s="126">
        <f t="shared" ca="1" si="11"/>
        <v>409</v>
      </c>
      <c r="AH160" s="126" t="str">
        <f t="shared" si="12"/>
        <v/>
      </c>
      <c r="AI160" s="134"/>
      <c r="AJ160" s="143" t="s">
        <v>1382</v>
      </c>
      <c r="AK160" s="129">
        <v>10.39</v>
      </c>
      <c r="AL160" s="129">
        <v>10.4</v>
      </c>
      <c r="AM160" s="129">
        <v>10.424999999999999</v>
      </c>
      <c r="AN160" s="129">
        <v>10.43</v>
      </c>
      <c r="AO160" s="126" t="str">
        <f t="shared" si="13"/>
        <v/>
      </c>
      <c r="AR160" s="99" t="s">
        <v>136</v>
      </c>
    </row>
    <row r="161" spans="1:44" s="99" customFormat="1" ht="21" customHeight="1" x14ac:dyDescent="0.35">
      <c r="A161" s="99">
        <v>424</v>
      </c>
      <c r="B161" s="126" t="str">
        <f t="shared" si="10"/>
        <v>0-304L/FH-001X772</v>
      </c>
      <c r="C161" s="126" t="s">
        <v>2771</v>
      </c>
      <c r="D161" s="126" t="s">
        <v>13</v>
      </c>
      <c r="E161" s="143" t="s">
        <v>2769</v>
      </c>
      <c r="F161" s="143" t="s">
        <v>2770</v>
      </c>
      <c r="G161" s="126" t="s">
        <v>230</v>
      </c>
      <c r="H161" s="126" t="s">
        <v>65</v>
      </c>
      <c r="I161" s="127">
        <v>3.37</v>
      </c>
      <c r="J161" s="127">
        <v>1.35</v>
      </c>
      <c r="K161" s="127"/>
      <c r="L161" s="127"/>
      <c r="M161" s="144">
        <v>772</v>
      </c>
      <c r="N161" s="129">
        <v>10.465</v>
      </c>
      <c r="O161" s="129">
        <v>10.475</v>
      </c>
      <c r="P161" s="129"/>
      <c r="Q161" s="130"/>
      <c r="R161" s="131"/>
      <c r="S161" s="131"/>
      <c r="T161" s="132">
        <v>44606</v>
      </c>
      <c r="U161" s="132"/>
      <c r="V161" s="132"/>
      <c r="W161" s="132"/>
      <c r="X161" s="132"/>
      <c r="Y161" s="133" t="s">
        <v>1395</v>
      </c>
      <c r="Z161" s="126" t="s">
        <v>64</v>
      </c>
      <c r="AA161" s="134" t="s">
        <v>154</v>
      </c>
      <c r="AB161" s="134" t="s">
        <v>1516</v>
      </c>
      <c r="AC161" s="134"/>
      <c r="AD161" s="134">
        <v>44554</v>
      </c>
      <c r="AE161" s="134"/>
      <c r="AF161" s="134">
        <f t="shared" ca="1" si="14"/>
        <v>44963</v>
      </c>
      <c r="AG161" s="126">
        <f t="shared" ca="1" si="11"/>
        <v>409</v>
      </c>
      <c r="AH161" s="126" t="str">
        <f t="shared" si="12"/>
        <v/>
      </c>
      <c r="AI161" s="134"/>
      <c r="AJ161" s="143" t="s">
        <v>2608</v>
      </c>
      <c r="AK161" s="129">
        <v>10.465</v>
      </c>
      <c r="AL161" s="129">
        <v>10.475</v>
      </c>
      <c r="AM161" s="129">
        <v>10.499999999999998</v>
      </c>
      <c r="AN161" s="129">
        <v>10.504999999999999</v>
      </c>
      <c r="AO161" s="126" t="str">
        <f t="shared" si="13"/>
        <v/>
      </c>
      <c r="AR161" s="99" t="s">
        <v>136</v>
      </c>
    </row>
    <row r="162" spans="1:44" s="99" customFormat="1" ht="21" customHeight="1" x14ac:dyDescent="0.35">
      <c r="A162" s="99">
        <v>421</v>
      </c>
      <c r="B162" s="126" t="str">
        <f t="shared" si="10"/>
        <v>0-304L/1D-003X770</v>
      </c>
      <c r="C162" s="126" t="s">
        <v>2768</v>
      </c>
      <c r="D162" s="126" t="s">
        <v>11</v>
      </c>
      <c r="E162" s="143" t="s">
        <v>2780</v>
      </c>
      <c r="F162" s="143" t="s">
        <v>2781</v>
      </c>
      <c r="G162" s="126" t="s">
        <v>230</v>
      </c>
      <c r="H162" s="126" t="s">
        <v>139</v>
      </c>
      <c r="I162" s="127">
        <v>2.96</v>
      </c>
      <c r="J162" s="127"/>
      <c r="K162" s="127"/>
      <c r="L162" s="127"/>
      <c r="M162" s="144">
        <v>770</v>
      </c>
      <c r="N162" s="129">
        <v>10.455</v>
      </c>
      <c r="O162" s="129">
        <v>10.455</v>
      </c>
      <c r="P162" s="129"/>
      <c r="Q162" s="130"/>
      <c r="R162" s="131"/>
      <c r="S162" s="131"/>
      <c r="T162" s="132">
        <v>44606</v>
      </c>
      <c r="U162" s="132"/>
      <c r="V162" s="132"/>
      <c r="W162" s="132"/>
      <c r="X162" s="132"/>
      <c r="Y162" s="133"/>
      <c r="Z162" s="126" t="s">
        <v>64</v>
      </c>
      <c r="AA162" s="134" t="s">
        <v>154</v>
      </c>
      <c r="AB162" s="134" t="s">
        <v>1239</v>
      </c>
      <c r="AC162" s="134"/>
      <c r="AD162" s="134">
        <v>44496</v>
      </c>
      <c r="AE162" s="134"/>
      <c r="AF162" s="134">
        <f t="shared" ca="1" si="14"/>
        <v>44963</v>
      </c>
      <c r="AG162" s="126">
        <f t="shared" ca="1" si="11"/>
        <v>467</v>
      </c>
      <c r="AH162" s="126" t="str">
        <f t="shared" si="12"/>
        <v/>
      </c>
      <c r="AI162" s="134"/>
      <c r="AJ162" s="143" t="s">
        <v>2782</v>
      </c>
      <c r="AK162" s="129">
        <v>10.455</v>
      </c>
      <c r="AL162" s="129">
        <v>10.465</v>
      </c>
      <c r="AM162" s="129">
        <v>10.489999999999998</v>
      </c>
      <c r="AN162" s="129">
        <v>10.494999999999999</v>
      </c>
      <c r="AO162" s="126" t="str">
        <f t="shared" si="13"/>
        <v/>
      </c>
      <c r="AR162" s="99" t="s">
        <v>136</v>
      </c>
    </row>
    <row r="163" spans="1:44" s="99" customFormat="1" ht="21" customHeight="1" x14ac:dyDescent="0.35">
      <c r="A163" s="99">
        <v>421</v>
      </c>
      <c r="B163" s="126" t="str">
        <f t="shared" si="10"/>
        <v>0-304L/FH-001X770</v>
      </c>
      <c r="C163" s="126" t="s">
        <v>2771</v>
      </c>
      <c r="D163" s="126" t="s">
        <v>13</v>
      </c>
      <c r="E163" s="143" t="s">
        <v>2775</v>
      </c>
      <c r="F163" s="143" t="s">
        <v>2776</v>
      </c>
      <c r="G163" s="126" t="s">
        <v>230</v>
      </c>
      <c r="H163" s="126" t="s">
        <v>65</v>
      </c>
      <c r="I163" s="127">
        <v>2.92</v>
      </c>
      <c r="J163" s="127">
        <v>0.9</v>
      </c>
      <c r="K163" s="127"/>
      <c r="L163" s="127"/>
      <c r="M163" s="144">
        <v>770</v>
      </c>
      <c r="N163" s="129">
        <v>10.475</v>
      </c>
      <c r="O163" s="129">
        <v>10.494999999999999</v>
      </c>
      <c r="P163" s="129"/>
      <c r="Q163" s="130"/>
      <c r="R163" s="131"/>
      <c r="S163" s="131"/>
      <c r="T163" s="132">
        <v>44606</v>
      </c>
      <c r="U163" s="132"/>
      <c r="V163" s="132"/>
      <c r="W163" s="132"/>
      <c r="X163" s="132"/>
      <c r="Y163" s="133"/>
      <c r="Z163" s="126" t="s">
        <v>64</v>
      </c>
      <c r="AA163" s="134" t="s">
        <v>154</v>
      </c>
      <c r="AB163" s="134" t="s">
        <v>1246</v>
      </c>
      <c r="AC163" s="134"/>
      <c r="AD163" s="134">
        <v>44496</v>
      </c>
      <c r="AE163" s="134"/>
      <c r="AF163" s="134">
        <f t="shared" ca="1" si="14"/>
        <v>44963</v>
      </c>
      <c r="AG163" s="126">
        <f t="shared" ca="1" si="11"/>
        <v>467</v>
      </c>
      <c r="AH163" s="126" t="str">
        <f t="shared" si="12"/>
        <v/>
      </c>
      <c r="AI163" s="134"/>
      <c r="AJ163" s="143" t="s">
        <v>2777</v>
      </c>
      <c r="AK163" s="129">
        <v>10.475</v>
      </c>
      <c r="AL163" s="129">
        <v>10.484999999999999</v>
      </c>
      <c r="AM163" s="129">
        <v>10.509999999999998</v>
      </c>
      <c r="AN163" s="129">
        <v>10.514999999999999</v>
      </c>
      <c r="AO163" s="126" t="str">
        <f t="shared" si="13"/>
        <v/>
      </c>
      <c r="AR163" s="99" t="s">
        <v>136</v>
      </c>
    </row>
    <row r="164" spans="1:44" s="99" customFormat="1" ht="21" customHeight="1" x14ac:dyDescent="0.35">
      <c r="A164" s="99">
        <v>421</v>
      </c>
      <c r="B164" s="126" t="str">
        <f t="shared" si="10"/>
        <v>0-304L/1D-003X770</v>
      </c>
      <c r="C164" s="126" t="s">
        <v>2768</v>
      </c>
      <c r="D164" s="126" t="s">
        <v>11</v>
      </c>
      <c r="E164" s="143" t="s">
        <v>2783</v>
      </c>
      <c r="F164" s="143" t="s">
        <v>2784</v>
      </c>
      <c r="G164" s="126" t="s">
        <v>230</v>
      </c>
      <c r="H164" s="126" t="s">
        <v>139</v>
      </c>
      <c r="I164" s="127">
        <v>2.99</v>
      </c>
      <c r="J164" s="127"/>
      <c r="K164" s="127"/>
      <c r="L164" s="127"/>
      <c r="M164" s="144">
        <v>770</v>
      </c>
      <c r="N164" s="129">
        <v>10.48</v>
      </c>
      <c r="O164" s="129">
        <v>10.48</v>
      </c>
      <c r="P164" s="129"/>
      <c r="Q164" s="130"/>
      <c r="R164" s="131"/>
      <c r="S164" s="131"/>
      <c r="T164" s="132">
        <v>44606</v>
      </c>
      <c r="U164" s="132"/>
      <c r="V164" s="132"/>
      <c r="W164" s="132"/>
      <c r="X164" s="132"/>
      <c r="Y164" s="133"/>
      <c r="Z164" s="126" t="s">
        <v>64</v>
      </c>
      <c r="AA164" s="134" t="s">
        <v>154</v>
      </c>
      <c r="AB164" s="134" t="s">
        <v>1246</v>
      </c>
      <c r="AC164" s="134"/>
      <c r="AD164" s="134">
        <v>44496</v>
      </c>
      <c r="AE164" s="134"/>
      <c r="AF164" s="134">
        <f t="shared" ca="1" si="14"/>
        <v>44963</v>
      </c>
      <c r="AG164" s="126">
        <f t="shared" ca="1" si="11"/>
        <v>467</v>
      </c>
      <c r="AH164" s="126" t="str">
        <f t="shared" si="12"/>
        <v/>
      </c>
      <c r="AI164" s="134"/>
      <c r="AJ164" s="143" t="s">
        <v>2785</v>
      </c>
      <c r="AK164" s="129">
        <v>10.48</v>
      </c>
      <c r="AL164" s="129">
        <v>10.49</v>
      </c>
      <c r="AM164" s="129">
        <v>10.514999999999999</v>
      </c>
      <c r="AN164" s="129">
        <v>10.52</v>
      </c>
      <c r="AO164" s="126" t="str">
        <f t="shared" si="13"/>
        <v/>
      </c>
      <c r="AR164" s="99" t="s">
        <v>136</v>
      </c>
    </row>
    <row r="165" spans="1:44" s="99" customFormat="1" ht="21" customHeight="1" x14ac:dyDescent="0.35">
      <c r="A165" s="99">
        <v>421</v>
      </c>
      <c r="B165" s="126" t="str">
        <f t="shared" si="10"/>
        <v>0-304L/FH-001X770</v>
      </c>
      <c r="C165" s="126" t="s">
        <v>2771</v>
      </c>
      <c r="D165" s="126" t="s">
        <v>13</v>
      </c>
      <c r="E165" s="143" t="s">
        <v>2772</v>
      </c>
      <c r="F165" s="143" t="s">
        <v>2773</v>
      </c>
      <c r="G165" s="126" t="s">
        <v>230</v>
      </c>
      <c r="H165" s="126" t="s">
        <v>65</v>
      </c>
      <c r="I165" s="127">
        <v>3</v>
      </c>
      <c r="J165" s="127">
        <v>1</v>
      </c>
      <c r="K165" s="127"/>
      <c r="L165" s="127"/>
      <c r="M165" s="144">
        <v>770</v>
      </c>
      <c r="N165" s="129">
        <v>10.47</v>
      </c>
      <c r="O165" s="129">
        <v>10.49</v>
      </c>
      <c r="P165" s="129"/>
      <c r="Q165" s="130"/>
      <c r="R165" s="131"/>
      <c r="S165" s="131"/>
      <c r="T165" s="132">
        <v>44606</v>
      </c>
      <c r="U165" s="132"/>
      <c r="V165" s="132"/>
      <c r="W165" s="132"/>
      <c r="X165" s="132"/>
      <c r="Y165" s="133"/>
      <c r="Z165" s="126" t="s">
        <v>64</v>
      </c>
      <c r="AA165" s="134" t="s">
        <v>154</v>
      </c>
      <c r="AB165" s="134" t="s">
        <v>1190</v>
      </c>
      <c r="AC165" s="134"/>
      <c r="AD165" s="134">
        <v>44496</v>
      </c>
      <c r="AE165" s="134"/>
      <c r="AF165" s="134">
        <f t="shared" ca="1" si="14"/>
        <v>44963</v>
      </c>
      <c r="AG165" s="126">
        <f t="shared" ca="1" si="11"/>
        <v>467</v>
      </c>
      <c r="AH165" s="126" t="str">
        <f t="shared" si="12"/>
        <v/>
      </c>
      <c r="AI165" s="134"/>
      <c r="AJ165" s="143" t="s">
        <v>2774</v>
      </c>
      <c r="AK165" s="129">
        <v>10.47</v>
      </c>
      <c r="AL165" s="129">
        <v>10.48</v>
      </c>
      <c r="AM165" s="129">
        <v>10.504999999999999</v>
      </c>
      <c r="AN165" s="129">
        <v>10.51</v>
      </c>
      <c r="AO165" s="126" t="str">
        <f t="shared" si="13"/>
        <v/>
      </c>
      <c r="AR165" s="99" t="s">
        <v>136</v>
      </c>
    </row>
    <row r="166" spans="1:44" s="99" customFormat="1" ht="21" customHeight="1" x14ac:dyDescent="0.35">
      <c r="A166" s="99">
        <v>424</v>
      </c>
      <c r="B166" s="126" t="str">
        <f t="shared" si="10"/>
        <v>0-304L/1D-003X771</v>
      </c>
      <c r="C166" s="126" t="s">
        <v>2768</v>
      </c>
      <c r="D166" s="126" t="s">
        <v>11</v>
      </c>
      <c r="E166" s="143" t="s">
        <v>2786</v>
      </c>
      <c r="F166" s="143" t="s">
        <v>2787</v>
      </c>
      <c r="G166" s="126" t="s">
        <v>230</v>
      </c>
      <c r="H166" s="126" t="s">
        <v>139</v>
      </c>
      <c r="I166" s="127">
        <v>3.34</v>
      </c>
      <c r="J166" s="127"/>
      <c r="K166" s="127"/>
      <c r="L166" s="127"/>
      <c r="M166" s="144">
        <v>771</v>
      </c>
      <c r="N166" s="129">
        <v>10.44</v>
      </c>
      <c r="O166" s="129">
        <v>10.44</v>
      </c>
      <c r="P166" s="129"/>
      <c r="Q166" s="130"/>
      <c r="R166" s="131"/>
      <c r="S166" s="131"/>
      <c r="T166" s="132">
        <v>44606</v>
      </c>
      <c r="U166" s="132"/>
      <c r="V166" s="132"/>
      <c r="W166" s="132"/>
      <c r="X166" s="132"/>
      <c r="Y166" s="133" t="s">
        <v>1395</v>
      </c>
      <c r="Z166" s="126" t="s">
        <v>64</v>
      </c>
      <c r="AA166" s="134" t="s">
        <v>154</v>
      </c>
      <c r="AB166" s="134" t="s">
        <v>1330</v>
      </c>
      <c r="AC166" s="134"/>
      <c r="AD166" s="134">
        <v>44554</v>
      </c>
      <c r="AE166" s="134"/>
      <c r="AF166" s="134">
        <f t="shared" ca="1" si="14"/>
        <v>44963</v>
      </c>
      <c r="AG166" s="126">
        <f t="shared" ca="1" si="11"/>
        <v>409</v>
      </c>
      <c r="AH166" s="126" t="str">
        <f t="shared" si="12"/>
        <v/>
      </c>
      <c r="AI166" s="134"/>
      <c r="AJ166" s="143" t="s">
        <v>2788</v>
      </c>
      <c r="AK166" s="129">
        <v>10.44</v>
      </c>
      <c r="AL166" s="129">
        <v>10.45</v>
      </c>
      <c r="AM166" s="129">
        <v>10.474999999999998</v>
      </c>
      <c r="AN166" s="129">
        <v>10.479999999999999</v>
      </c>
      <c r="AO166" s="126" t="str">
        <f t="shared" si="13"/>
        <v/>
      </c>
      <c r="AR166" s="99" t="s">
        <v>136</v>
      </c>
    </row>
    <row r="167" spans="1:44" s="99" customFormat="1" ht="21" customHeight="1" x14ac:dyDescent="0.35">
      <c r="A167" s="99">
        <v>421</v>
      </c>
      <c r="B167" s="126" t="str">
        <f t="shared" si="10"/>
        <v>0-304L/FH-001X770</v>
      </c>
      <c r="C167" s="126" t="s">
        <v>2771</v>
      </c>
      <c r="D167" s="126" t="s">
        <v>13</v>
      </c>
      <c r="E167" s="143" t="s">
        <v>2780</v>
      </c>
      <c r="F167" s="143" t="s">
        <v>2781</v>
      </c>
      <c r="G167" s="126" t="s">
        <v>230</v>
      </c>
      <c r="H167" s="126" t="s">
        <v>65</v>
      </c>
      <c r="I167" s="127">
        <v>2.96</v>
      </c>
      <c r="J167" s="127">
        <v>1.1499999999999999</v>
      </c>
      <c r="K167" s="127"/>
      <c r="L167" s="127"/>
      <c r="M167" s="144">
        <v>770</v>
      </c>
      <c r="N167" s="129">
        <v>10.455</v>
      </c>
      <c r="O167" s="129">
        <v>10.47</v>
      </c>
      <c r="P167" s="129"/>
      <c r="Q167" s="130"/>
      <c r="R167" s="131"/>
      <c r="S167" s="131"/>
      <c r="T167" s="132">
        <v>44606</v>
      </c>
      <c r="U167" s="132"/>
      <c r="V167" s="132"/>
      <c r="W167" s="132"/>
      <c r="X167" s="132"/>
      <c r="Y167" s="133"/>
      <c r="Z167" s="126" t="s">
        <v>64</v>
      </c>
      <c r="AA167" s="134" t="s">
        <v>154</v>
      </c>
      <c r="AB167" s="134" t="s">
        <v>1239</v>
      </c>
      <c r="AC167" s="134"/>
      <c r="AD167" s="134">
        <v>44496</v>
      </c>
      <c r="AE167" s="134"/>
      <c r="AF167" s="134">
        <f t="shared" ca="1" si="14"/>
        <v>44963</v>
      </c>
      <c r="AG167" s="126">
        <f t="shared" ca="1" si="11"/>
        <v>467</v>
      </c>
      <c r="AH167" s="126" t="str">
        <f t="shared" si="12"/>
        <v/>
      </c>
      <c r="AI167" s="134"/>
      <c r="AJ167" s="143" t="s">
        <v>2782</v>
      </c>
      <c r="AK167" s="129">
        <v>10.455</v>
      </c>
      <c r="AL167" s="129">
        <v>10.465</v>
      </c>
      <c r="AM167" s="129">
        <v>10.489999999999998</v>
      </c>
      <c r="AN167" s="129">
        <v>10.494999999999999</v>
      </c>
      <c r="AO167" s="126" t="str">
        <f t="shared" si="13"/>
        <v/>
      </c>
      <c r="AR167" s="99" t="s">
        <v>136</v>
      </c>
    </row>
    <row r="168" spans="1:44" s="99" customFormat="1" ht="21" customHeight="1" x14ac:dyDescent="0.35">
      <c r="A168" s="99">
        <v>424</v>
      </c>
      <c r="B168" s="126" t="str">
        <f t="shared" si="10"/>
        <v>0-304L/1D-004X774</v>
      </c>
      <c r="C168" s="126" t="s">
        <v>2768</v>
      </c>
      <c r="D168" s="126" t="s">
        <v>11</v>
      </c>
      <c r="E168" s="143" t="s">
        <v>2789</v>
      </c>
      <c r="F168" s="143" t="s">
        <v>2790</v>
      </c>
      <c r="G168" s="126" t="s">
        <v>230</v>
      </c>
      <c r="H168" s="126" t="s">
        <v>139</v>
      </c>
      <c r="I168" s="127">
        <v>3.5</v>
      </c>
      <c r="J168" s="127"/>
      <c r="K168" s="127"/>
      <c r="L168" s="127"/>
      <c r="M168" s="144">
        <v>774</v>
      </c>
      <c r="N168" s="129">
        <v>9.9949999999999992</v>
      </c>
      <c r="O168" s="129">
        <v>9.9949999999999992</v>
      </c>
      <c r="P168" s="129"/>
      <c r="Q168" s="130"/>
      <c r="R168" s="131"/>
      <c r="S168" s="131"/>
      <c r="T168" s="132">
        <v>44606</v>
      </c>
      <c r="U168" s="132"/>
      <c r="V168" s="132"/>
      <c r="W168" s="132"/>
      <c r="X168" s="132"/>
      <c r="Y168" s="133" t="s">
        <v>1395</v>
      </c>
      <c r="Z168" s="126" t="s">
        <v>64</v>
      </c>
      <c r="AA168" s="134" t="s">
        <v>154</v>
      </c>
      <c r="AB168" s="134" t="s">
        <v>1330</v>
      </c>
      <c r="AC168" s="134"/>
      <c r="AD168" s="134">
        <v>44554</v>
      </c>
      <c r="AE168" s="134"/>
      <c r="AF168" s="134">
        <f t="shared" ca="1" si="14"/>
        <v>44963</v>
      </c>
      <c r="AG168" s="126">
        <f t="shared" ca="1" si="11"/>
        <v>409</v>
      </c>
      <c r="AH168" s="126" t="str">
        <f t="shared" si="12"/>
        <v/>
      </c>
      <c r="AI168" s="134"/>
      <c r="AJ168" s="143" t="s">
        <v>1367</v>
      </c>
      <c r="AK168" s="129">
        <v>9.9949999999999992</v>
      </c>
      <c r="AL168" s="129">
        <v>10.005000000000001</v>
      </c>
      <c r="AM168" s="129">
        <v>10.029999999999999</v>
      </c>
      <c r="AN168" s="129">
        <v>10.035</v>
      </c>
      <c r="AO168" s="126" t="str">
        <f t="shared" si="13"/>
        <v/>
      </c>
      <c r="AR168" s="99" t="s">
        <v>136</v>
      </c>
    </row>
    <row r="169" spans="1:44" s="99" customFormat="1" ht="21" customHeight="1" x14ac:dyDescent="0.35">
      <c r="A169" s="99">
        <v>421</v>
      </c>
      <c r="B169" s="126" t="str">
        <f t="shared" si="10"/>
        <v>0-304L/FH-001X770</v>
      </c>
      <c r="C169" s="126" t="s">
        <v>2771</v>
      </c>
      <c r="D169" s="126" t="s">
        <v>13</v>
      </c>
      <c r="E169" s="143" t="s">
        <v>2783</v>
      </c>
      <c r="F169" s="143" t="s">
        <v>2784</v>
      </c>
      <c r="G169" s="126" t="s">
        <v>230</v>
      </c>
      <c r="H169" s="126" t="s">
        <v>65</v>
      </c>
      <c r="I169" s="127">
        <v>2.99</v>
      </c>
      <c r="J169" s="127">
        <v>1.1499999999999999</v>
      </c>
      <c r="K169" s="127"/>
      <c r="L169" s="127"/>
      <c r="M169" s="144">
        <v>770</v>
      </c>
      <c r="N169" s="129">
        <v>10.48</v>
      </c>
      <c r="O169" s="129">
        <v>10.484999999999999</v>
      </c>
      <c r="P169" s="129"/>
      <c r="Q169" s="130"/>
      <c r="R169" s="131"/>
      <c r="S169" s="131"/>
      <c r="T169" s="132">
        <v>44606</v>
      </c>
      <c r="U169" s="132"/>
      <c r="V169" s="132"/>
      <c r="W169" s="132"/>
      <c r="X169" s="132"/>
      <c r="Y169" s="133"/>
      <c r="Z169" s="126" t="s">
        <v>64</v>
      </c>
      <c r="AA169" s="134" t="s">
        <v>154</v>
      </c>
      <c r="AB169" s="134" t="s">
        <v>1246</v>
      </c>
      <c r="AC169" s="134"/>
      <c r="AD169" s="134">
        <v>44496</v>
      </c>
      <c r="AE169" s="134"/>
      <c r="AF169" s="134">
        <f t="shared" ca="1" si="14"/>
        <v>44963</v>
      </c>
      <c r="AG169" s="126">
        <f t="shared" ca="1" si="11"/>
        <v>467</v>
      </c>
      <c r="AH169" s="126" t="str">
        <f t="shared" si="12"/>
        <v/>
      </c>
      <c r="AI169" s="134"/>
      <c r="AJ169" s="143" t="s">
        <v>2785</v>
      </c>
      <c r="AK169" s="129">
        <v>10.48</v>
      </c>
      <c r="AL169" s="129">
        <v>10.49</v>
      </c>
      <c r="AM169" s="129">
        <v>10.514999999999999</v>
      </c>
      <c r="AN169" s="129">
        <v>10.52</v>
      </c>
      <c r="AO169" s="126" t="str">
        <f t="shared" si="13"/>
        <v/>
      </c>
      <c r="AR169" s="99" t="s">
        <v>136</v>
      </c>
    </row>
    <row r="170" spans="1:44" s="99" customFormat="1" ht="21" customHeight="1" x14ac:dyDescent="0.35">
      <c r="A170" s="99">
        <v>422</v>
      </c>
      <c r="B170" s="126" t="str">
        <f t="shared" si="10"/>
        <v>0-304L/1D-003X768</v>
      </c>
      <c r="C170" s="126" t="s">
        <v>2768</v>
      </c>
      <c r="D170" s="126" t="s">
        <v>11</v>
      </c>
      <c r="E170" s="143" t="s">
        <v>2791</v>
      </c>
      <c r="F170" s="143" t="s">
        <v>2792</v>
      </c>
      <c r="G170" s="126" t="s">
        <v>230</v>
      </c>
      <c r="H170" s="126" t="s">
        <v>139</v>
      </c>
      <c r="I170" s="127">
        <v>2.8</v>
      </c>
      <c r="J170" s="127"/>
      <c r="K170" s="127"/>
      <c r="L170" s="127"/>
      <c r="M170" s="144">
        <v>768</v>
      </c>
      <c r="N170" s="129">
        <v>9.99</v>
      </c>
      <c r="O170" s="129">
        <v>9.99</v>
      </c>
      <c r="P170" s="129"/>
      <c r="Q170" s="130"/>
      <c r="R170" s="131"/>
      <c r="S170" s="131"/>
      <c r="T170" s="132">
        <v>44606</v>
      </c>
      <c r="U170" s="132"/>
      <c r="V170" s="132"/>
      <c r="W170" s="132"/>
      <c r="X170" s="132"/>
      <c r="Y170" s="133"/>
      <c r="Z170" s="126" t="s">
        <v>64</v>
      </c>
      <c r="AA170" s="134" t="s">
        <v>154</v>
      </c>
      <c r="AB170" s="134" t="s">
        <v>1330</v>
      </c>
      <c r="AC170" s="134"/>
      <c r="AD170" s="134">
        <v>44516</v>
      </c>
      <c r="AE170" s="134"/>
      <c r="AF170" s="134">
        <f t="shared" ca="1" si="14"/>
        <v>44963</v>
      </c>
      <c r="AG170" s="126">
        <f t="shared" ca="1" si="11"/>
        <v>447</v>
      </c>
      <c r="AH170" s="126" t="str">
        <f t="shared" si="12"/>
        <v/>
      </c>
      <c r="AI170" s="134"/>
      <c r="AJ170" s="143" t="s">
        <v>2793</v>
      </c>
      <c r="AK170" s="129">
        <v>9.99</v>
      </c>
      <c r="AL170" s="129">
        <v>10</v>
      </c>
      <c r="AM170" s="129">
        <v>10.024999999999999</v>
      </c>
      <c r="AN170" s="129">
        <v>10.029999999999999</v>
      </c>
      <c r="AO170" s="126" t="str">
        <f t="shared" si="13"/>
        <v/>
      </c>
      <c r="AR170" s="99" t="s">
        <v>136</v>
      </c>
    </row>
    <row r="171" spans="1:44" s="99" customFormat="1" ht="21" customHeight="1" x14ac:dyDescent="0.35">
      <c r="A171" s="99">
        <v>424</v>
      </c>
      <c r="B171" s="126" t="str">
        <f t="shared" si="10"/>
        <v>0-304L/FH-001X771</v>
      </c>
      <c r="C171" s="126" t="s">
        <v>2771</v>
      </c>
      <c r="D171" s="126" t="s">
        <v>13</v>
      </c>
      <c r="E171" s="143" t="s">
        <v>2786</v>
      </c>
      <c r="F171" s="143" t="s">
        <v>2787</v>
      </c>
      <c r="G171" s="126" t="s">
        <v>230</v>
      </c>
      <c r="H171" s="126" t="s">
        <v>65</v>
      </c>
      <c r="I171" s="127">
        <v>3.34</v>
      </c>
      <c r="J171" s="127">
        <v>1.1499999999999999</v>
      </c>
      <c r="K171" s="127"/>
      <c r="L171" s="127"/>
      <c r="M171" s="144">
        <v>771</v>
      </c>
      <c r="N171" s="129">
        <v>10.44</v>
      </c>
      <c r="O171" s="129">
        <v>10.455</v>
      </c>
      <c r="P171" s="129"/>
      <c r="Q171" s="130"/>
      <c r="R171" s="131"/>
      <c r="S171" s="131"/>
      <c r="T171" s="132">
        <v>44606</v>
      </c>
      <c r="U171" s="132"/>
      <c r="V171" s="132"/>
      <c r="W171" s="132"/>
      <c r="X171" s="132"/>
      <c r="Y171" s="133" t="s">
        <v>1395</v>
      </c>
      <c r="Z171" s="126" t="s">
        <v>64</v>
      </c>
      <c r="AA171" s="134" t="s">
        <v>154</v>
      </c>
      <c r="AB171" s="134" t="s">
        <v>1330</v>
      </c>
      <c r="AC171" s="134"/>
      <c r="AD171" s="134">
        <v>44554</v>
      </c>
      <c r="AE171" s="134"/>
      <c r="AF171" s="134">
        <f t="shared" ca="1" si="14"/>
        <v>44963</v>
      </c>
      <c r="AG171" s="126">
        <f t="shared" ca="1" si="11"/>
        <v>409</v>
      </c>
      <c r="AH171" s="126" t="str">
        <f t="shared" si="12"/>
        <v/>
      </c>
      <c r="AI171" s="134"/>
      <c r="AJ171" s="143" t="s">
        <v>2788</v>
      </c>
      <c r="AK171" s="129">
        <v>10.44</v>
      </c>
      <c r="AL171" s="129">
        <v>10.45</v>
      </c>
      <c r="AM171" s="129">
        <v>10.474999999999998</v>
      </c>
      <c r="AN171" s="129">
        <v>10.479999999999999</v>
      </c>
      <c r="AO171" s="126" t="str">
        <f t="shared" si="13"/>
        <v/>
      </c>
      <c r="AR171" s="99" t="s">
        <v>136</v>
      </c>
    </row>
    <row r="172" spans="1:44" s="99" customFormat="1" ht="21" customHeight="1" x14ac:dyDescent="0.35">
      <c r="A172" s="99">
        <v>421</v>
      </c>
      <c r="B172" s="126" t="str">
        <f t="shared" si="10"/>
        <v>0-304L/1D-003X770</v>
      </c>
      <c r="C172" s="126" t="s">
        <v>2768</v>
      </c>
      <c r="D172" s="126" t="s">
        <v>11</v>
      </c>
      <c r="E172" s="143" t="s">
        <v>2794</v>
      </c>
      <c r="F172" s="143" t="s">
        <v>2795</v>
      </c>
      <c r="G172" s="126" t="s">
        <v>230</v>
      </c>
      <c r="H172" s="126" t="s">
        <v>139</v>
      </c>
      <c r="I172" s="127">
        <v>2.92</v>
      </c>
      <c r="J172" s="127"/>
      <c r="K172" s="127"/>
      <c r="L172" s="127"/>
      <c r="M172" s="144">
        <v>770</v>
      </c>
      <c r="N172" s="129">
        <v>10.51</v>
      </c>
      <c r="O172" s="129">
        <v>10.51</v>
      </c>
      <c r="P172" s="129"/>
      <c r="Q172" s="130"/>
      <c r="R172" s="131"/>
      <c r="S172" s="131"/>
      <c r="T172" s="132">
        <v>44606</v>
      </c>
      <c r="U172" s="132"/>
      <c r="V172" s="132"/>
      <c r="W172" s="132"/>
      <c r="X172" s="132"/>
      <c r="Y172" s="133"/>
      <c r="Z172" s="126" t="s">
        <v>64</v>
      </c>
      <c r="AA172" s="134" t="s">
        <v>154</v>
      </c>
      <c r="AB172" s="134" t="s">
        <v>1246</v>
      </c>
      <c r="AC172" s="134"/>
      <c r="AD172" s="134">
        <v>44496</v>
      </c>
      <c r="AE172" s="134"/>
      <c r="AF172" s="134">
        <f t="shared" ca="1" si="14"/>
        <v>44963</v>
      </c>
      <c r="AG172" s="126">
        <f t="shared" ca="1" si="11"/>
        <v>467</v>
      </c>
      <c r="AH172" s="126" t="str">
        <f t="shared" si="12"/>
        <v/>
      </c>
      <c r="AI172" s="134"/>
      <c r="AJ172" s="143" t="s">
        <v>2777</v>
      </c>
      <c r="AK172" s="129">
        <v>10.51</v>
      </c>
      <c r="AL172" s="129">
        <v>10.52</v>
      </c>
      <c r="AM172" s="129">
        <v>10.544999999999998</v>
      </c>
      <c r="AN172" s="129">
        <v>10.549999999999999</v>
      </c>
      <c r="AO172" s="126" t="str">
        <f t="shared" si="13"/>
        <v/>
      </c>
      <c r="AR172" s="99" t="s">
        <v>136</v>
      </c>
    </row>
    <row r="173" spans="1:44" s="99" customFormat="1" ht="21" customHeight="1" x14ac:dyDescent="0.35">
      <c r="A173" s="99">
        <v>424</v>
      </c>
      <c r="B173" s="126" t="str">
        <f t="shared" si="10"/>
        <v>0-304L/FH-001X774</v>
      </c>
      <c r="C173" s="126" t="s">
        <v>2771</v>
      </c>
      <c r="D173" s="126" t="s">
        <v>13</v>
      </c>
      <c r="E173" s="143" t="s">
        <v>2789</v>
      </c>
      <c r="F173" s="143" t="s">
        <v>2790</v>
      </c>
      <c r="G173" s="126" t="s">
        <v>230</v>
      </c>
      <c r="H173" s="126" t="s">
        <v>65</v>
      </c>
      <c r="I173" s="127">
        <v>3.5</v>
      </c>
      <c r="J173" s="127">
        <v>1.45</v>
      </c>
      <c r="K173" s="127"/>
      <c r="L173" s="127"/>
      <c r="M173" s="144">
        <v>774</v>
      </c>
      <c r="N173" s="129">
        <v>9.9949999999999992</v>
      </c>
      <c r="O173" s="129">
        <v>10.005000000000001</v>
      </c>
      <c r="P173" s="129"/>
      <c r="Q173" s="130"/>
      <c r="R173" s="131"/>
      <c r="S173" s="131"/>
      <c r="T173" s="132">
        <v>44606</v>
      </c>
      <c r="U173" s="132"/>
      <c r="V173" s="132"/>
      <c r="W173" s="132"/>
      <c r="X173" s="132"/>
      <c r="Y173" s="133" t="s">
        <v>1395</v>
      </c>
      <c r="Z173" s="126" t="s">
        <v>64</v>
      </c>
      <c r="AA173" s="134" t="s">
        <v>154</v>
      </c>
      <c r="AB173" s="134" t="s">
        <v>1330</v>
      </c>
      <c r="AC173" s="134"/>
      <c r="AD173" s="134">
        <v>44554</v>
      </c>
      <c r="AE173" s="134"/>
      <c r="AF173" s="134">
        <f t="shared" ca="1" si="14"/>
        <v>44963</v>
      </c>
      <c r="AG173" s="126">
        <f t="shared" ca="1" si="11"/>
        <v>409</v>
      </c>
      <c r="AH173" s="126" t="str">
        <f t="shared" si="12"/>
        <v/>
      </c>
      <c r="AI173" s="134"/>
      <c r="AJ173" s="143" t="s">
        <v>1367</v>
      </c>
      <c r="AK173" s="129">
        <v>9.9949999999999992</v>
      </c>
      <c r="AL173" s="129">
        <v>10.005000000000001</v>
      </c>
      <c r="AM173" s="129">
        <v>10.029999999999999</v>
      </c>
      <c r="AN173" s="129">
        <v>10.035</v>
      </c>
      <c r="AO173" s="126" t="str">
        <f t="shared" si="13"/>
        <v/>
      </c>
      <c r="AR173" s="99" t="s">
        <v>136</v>
      </c>
    </row>
    <row r="174" spans="1:44" s="99" customFormat="1" ht="21" customHeight="1" x14ac:dyDescent="0.35">
      <c r="A174" s="99">
        <v>421</v>
      </c>
      <c r="B174" s="126" t="str">
        <f t="shared" si="10"/>
        <v>0-304L/1D-003X770</v>
      </c>
      <c r="C174" s="126" t="s">
        <v>2768</v>
      </c>
      <c r="D174" s="126" t="s">
        <v>11</v>
      </c>
      <c r="E174" s="143" t="s">
        <v>2796</v>
      </c>
      <c r="F174" s="143" t="s">
        <v>2797</v>
      </c>
      <c r="G174" s="126" t="s">
        <v>230</v>
      </c>
      <c r="H174" s="126" t="s">
        <v>139</v>
      </c>
      <c r="I174" s="127">
        <v>2.95</v>
      </c>
      <c r="J174" s="127"/>
      <c r="K174" s="127"/>
      <c r="L174" s="127"/>
      <c r="M174" s="144">
        <v>770</v>
      </c>
      <c r="N174" s="129">
        <v>10.145</v>
      </c>
      <c r="O174" s="129">
        <v>10.145</v>
      </c>
      <c r="P174" s="129"/>
      <c r="Q174" s="130"/>
      <c r="R174" s="131"/>
      <c r="S174" s="131"/>
      <c r="T174" s="132">
        <v>44606</v>
      </c>
      <c r="U174" s="132"/>
      <c r="V174" s="132"/>
      <c r="W174" s="132"/>
      <c r="X174" s="132"/>
      <c r="Y174" s="133"/>
      <c r="Z174" s="126" t="s">
        <v>64</v>
      </c>
      <c r="AA174" s="134" t="s">
        <v>154</v>
      </c>
      <c r="AB174" s="134" t="s">
        <v>1246</v>
      </c>
      <c r="AC174" s="134"/>
      <c r="AD174" s="134">
        <v>44496</v>
      </c>
      <c r="AE174" s="134"/>
      <c r="AF174" s="134">
        <f t="shared" ca="1" si="14"/>
        <v>44963</v>
      </c>
      <c r="AG174" s="126">
        <f t="shared" ca="1" si="11"/>
        <v>467</v>
      </c>
      <c r="AH174" s="126" t="str">
        <f t="shared" si="12"/>
        <v/>
      </c>
      <c r="AI174" s="134"/>
      <c r="AJ174" s="143" t="s">
        <v>2798</v>
      </c>
      <c r="AK174" s="129">
        <v>10.145</v>
      </c>
      <c r="AL174" s="129">
        <v>10.154999999999999</v>
      </c>
      <c r="AM174" s="129">
        <v>10.179999999999998</v>
      </c>
      <c r="AN174" s="129">
        <v>10.184999999999999</v>
      </c>
      <c r="AO174" s="126" t="str">
        <f t="shared" si="13"/>
        <v/>
      </c>
      <c r="AR174" s="99" t="s">
        <v>136</v>
      </c>
    </row>
    <row r="175" spans="1:44" s="99" customFormat="1" ht="21" customHeight="1" x14ac:dyDescent="0.35">
      <c r="A175" s="99">
        <v>424</v>
      </c>
      <c r="B175" s="126" t="str">
        <f t="shared" si="10"/>
        <v>0-304L/FH-002X773</v>
      </c>
      <c r="C175" s="126" t="s">
        <v>2771</v>
      </c>
      <c r="D175" s="126" t="s">
        <v>13</v>
      </c>
      <c r="E175" s="143" t="s">
        <v>2778</v>
      </c>
      <c r="F175" s="143" t="s">
        <v>2779</v>
      </c>
      <c r="G175" s="126" t="s">
        <v>230</v>
      </c>
      <c r="H175" s="126" t="s">
        <v>65</v>
      </c>
      <c r="I175" s="127">
        <v>3.78</v>
      </c>
      <c r="J175" s="127">
        <v>1.9</v>
      </c>
      <c r="K175" s="127"/>
      <c r="L175" s="127"/>
      <c r="M175" s="144">
        <v>773</v>
      </c>
      <c r="N175" s="129">
        <v>10.39</v>
      </c>
      <c r="O175" s="129">
        <v>10.4</v>
      </c>
      <c r="P175" s="129"/>
      <c r="Q175" s="130"/>
      <c r="R175" s="131"/>
      <c r="S175" s="131"/>
      <c r="T175" s="132">
        <v>44606</v>
      </c>
      <c r="U175" s="132"/>
      <c r="V175" s="132"/>
      <c r="W175" s="132"/>
      <c r="X175" s="132"/>
      <c r="Y175" s="133" t="s">
        <v>1395</v>
      </c>
      <c r="Z175" s="126" t="s">
        <v>64</v>
      </c>
      <c r="AA175" s="134" t="s">
        <v>154</v>
      </c>
      <c r="AB175" s="134" t="s">
        <v>1330</v>
      </c>
      <c r="AC175" s="134"/>
      <c r="AD175" s="134">
        <v>44554</v>
      </c>
      <c r="AE175" s="134"/>
      <c r="AF175" s="134">
        <f t="shared" ca="1" si="14"/>
        <v>44963</v>
      </c>
      <c r="AG175" s="126">
        <f t="shared" ca="1" si="11"/>
        <v>409</v>
      </c>
      <c r="AH175" s="126" t="str">
        <f t="shared" si="12"/>
        <v/>
      </c>
      <c r="AI175" s="134"/>
      <c r="AJ175" s="143" t="s">
        <v>1382</v>
      </c>
      <c r="AK175" s="129">
        <v>10.39</v>
      </c>
      <c r="AL175" s="129">
        <v>10.4</v>
      </c>
      <c r="AM175" s="129">
        <v>10.424999999999999</v>
      </c>
      <c r="AN175" s="129">
        <v>10.43</v>
      </c>
      <c r="AO175" s="126" t="str">
        <f t="shared" si="13"/>
        <v/>
      </c>
      <c r="AR175" s="99" t="s">
        <v>136</v>
      </c>
    </row>
    <row r="176" spans="1:44" s="99" customFormat="1" ht="21" customHeight="1" x14ac:dyDescent="0.35">
      <c r="A176" s="99">
        <v>421</v>
      </c>
      <c r="B176" s="126" t="str">
        <f t="shared" si="10"/>
        <v>0-304L/1D-004X770</v>
      </c>
      <c r="C176" s="126" t="s">
        <v>2768</v>
      </c>
      <c r="D176" s="126" t="s">
        <v>11</v>
      </c>
      <c r="E176" s="143" t="s">
        <v>2799</v>
      </c>
      <c r="F176" s="143" t="s">
        <v>2800</v>
      </c>
      <c r="G176" s="126" t="s">
        <v>230</v>
      </c>
      <c r="H176" s="126" t="s">
        <v>139</v>
      </c>
      <c r="I176" s="127">
        <v>3.5</v>
      </c>
      <c r="J176" s="127"/>
      <c r="K176" s="127"/>
      <c r="L176" s="127"/>
      <c r="M176" s="144">
        <v>770</v>
      </c>
      <c r="N176" s="129">
        <v>8.9499999999999993</v>
      </c>
      <c r="O176" s="129">
        <v>8.9499999999999993</v>
      </c>
      <c r="P176" s="129"/>
      <c r="Q176" s="130"/>
      <c r="R176" s="131"/>
      <c r="S176" s="131"/>
      <c r="T176" s="132">
        <v>44606</v>
      </c>
      <c r="U176" s="132"/>
      <c r="V176" s="132"/>
      <c r="W176" s="132"/>
      <c r="X176" s="132"/>
      <c r="Y176" s="133"/>
      <c r="Z176" s="126" t="s">
        <v>64</v>
      </c>
      <c r="AA176" s="134" t="s">
        <v>154</v>
      </c>
      <c r="AB176" s="134" t="s">
        <v>1246</v>
      </c>
      <c r="AC176" s="134"/>
      <c r="AD176" s="134">
        <v>44496</v>
      </c>
      <c r="AE176" s="134"/>
      <c r="AF176" s="134">
        <f t="shared" ca="1" si="14"/>
        <v>44963</v>
      </c>
      <c r="AG176" s="126">
        <f t="shared" ca="1" si="11"/>
        <v>467</v>
      </c>
      <c r="AH176" s="126" t="str">
        <f t="shared" si="12"/>
        <v/>
      </c>
      <c r="AI176" s="134"/>
      <c r="AJ176" s="143" t="s">
        <v>2801</v>
      </c>
      <c r="AK176" s="129">
        <v>8.9499999999999993</v>
      </c>
      <c r="AL176" s="129">
        <v>8.9600000000000009</v>
      </c>
      <c r="AM176" s="129">
        <v>8.9849999999999994</v>
      </c>
      <c r="AN176" s="129">
        <v>8.99</v>
      </c>
      <c r="AO176" s="126" t="str">
        <f t="shared" si="13"/>
        <v/>
      </c>
      <c r="AR176" s="99" t="s">
        <v>136</v>
      </c>
    </row>
    <row r="177" spans="1:59" s="99" customFormat="1" ht="21" customHeight="1" x14ac:dyDescent="0.35">
      <c r="A177" s="99">
        <v>421</v>
      </c>
      <c r="B177" s="126" t="str">
        <f t="shared" si="10"/>
        <v>0-304L/FH-001X770</v>
      </c>
      <c r="C177" s="126" t="s">
        <v>2802</v>
      </c>
      <c r="D177" s="126" t="s">
        <v>13</v>
      </c>
      <c r="E177" s="143" t="s">
        <v>2794</v>
      </c>
      <c r="F177" s="143" t="s">
        <v>2795</v>
      </c>
      <c r="G177" s="126" t="s">
        <v>230</v>
      </c>
      <c r="H177" s="126" t="s">
        <v>65</v>
      </c>
      <c r="I177" s="127">
        <v>2.92</v>
      </c>
      <c r="J177" s="127">
        <v>1</v>
      </c>
      <c r="K177" s="127"/>
      <c r="L177" s="127"/>
      <c r="M177" s="144">
        <v>770</v>
      </c>
      <c r="N177" s="129">
        <v>10.51</v>
      </c>
      <c r="O177" s="129">
        <v>10.545</v>
      </c>
      <c r="P177" s="129"/>
      <c r="Q177" s="130"/>
      <c r="R177" s="131"/>
      <c r="S177" s="131"/>
      <c r="T177" s="132">
        <v>44606</v>
      </c>
      <c r="U177" s="132"/>
      <c r="V177" s="132"/>
      <c r="W177" s="132"/>
      <c r="X177" s="132"/>
      <c r="Y177" s="133"/>
      <c r="Z177" s="126" t="s">
        <v>64</v>
      </c>
      <c r="AA177" s="134" t="s">
        <v>154</v>
      </c>
      <c r="AB177" s="134" t="s">
        <v>1246</v>
      </c>
      <c r="AC177" s="134"/>
      <c r="AD177" s="134">
        <v>44496</v>
      </c>
      <c r="AE177" s="134"/>
      <c r="AF177" s="134">
        <f t="shared" ca="1" si="14"/>
        <v>44963</v>
      </c>
      <c r="AG177" s="126">
        <f t="shared" ca="1" si="11"/>
        <v>467</v>
      </c>
      <c r="AH177" s="126" t="str">
        <f t="shared" si="12"/>
        <v/>
      </c>
      <c r="AI177" s="134"/>
      <c r="AJ177" s="143" t="s">
        <v>2777</v>
      </c>
      <c r="AK177" s="129">
        <v>10.51</v>
      </c>
      <c r="AL177" s="129">
        <v>10.52</v>
      </c>
      <c r="AM177" s="129">
        <v>10.544999999999998</v>
      </c>
      <c r="AN177" s="129">
        <v>10.549999999999999</v>
      </c>
      <c r="AO177" s="126" t="str">
        <f t="shared" si="13"/>
        <v/>
      </c>
      <c r="AR177" s="99" t="s">
        <v>136</v>
      </c>
    </row>
    <row r="178" spans="1:59" s="99" customFormat="1" ht="21" customHeight="1" x14ac:dyDescent="0.35">
      <c r="A178" s="99">
        <v>421</v>
      </c>
      <c r="B178" s="126" t="str">
        <f t="shared" si="10"/>
        <v>0-304L/1D-003X770</v>
      </c>
      <c r="C178" s="126" t="s">
        <v>2803</v>
      </c>
      <c r="D178" s="126" t="s">
        <v>11</v>
      </c>
      <c r="E178" s="143" t="s">
        <v>2804</v>
      </c>
      <c r="F178" s="143" t="s">
        <v>2805</v>
      </c>
      <c r="G178" s="126" t="s">
        <v>230</v>
      </c>
      <c r="H178" s="126" t="s">
        <v>139</v>
      </c>
      <c r="I178" s="127">
        <v>2.74</v>
      </c>
      <c r="J178" s="127"/>
      <c r="K178" s="127"/>
      <c r="L178" s="127"/>
      <c r="M178" s="144">
        <v>770</v>
      </c>
      <c r="N178" s="129">
        <v>10.555</v>
      </c>
      <c r="O178" s="129">
        <v>10.555</v>
      </c>
      <c r="P178" s="129"/>
      <c r="Q178" s="130"/>
      <c r="R178" s="131"/>
      <c r="S178" s="131"/>
      <c r="T178" s="132">
        <v>44607</v>
      </c>
      <c r="U178" s="132"/>
      <c r="V178" s="132"/>
      <c r="W178" s="132"/>
      <c r="X178" s="132"/>
      <c r="Y178" s="133"/>
      <c r="Z178" s="126" t="s">
        <v>64</v>
      </c>
      <c r="AA178" s="134" t="s">
        <v>154</v>
      </c>
      <c r="AB178" s="134" t="s">
        <v>1190</v>
      </c>
      <c r="AC178" s="134"/>
      <c r="AD178" s="134">
        <v>44496</v>
      </c>
      <c r="AE178" s="134"/>
      <c r="AF178" s="134">
        <f t="shared" ca="1" si="14"/>
        <v>44963</v>
      </c>
      <c r="AG178" s="126">
        <f t="shared" ca="1" si="11"/>
        <v>467</v>
      </c>
      <c r="AH178" s="126" t="str">
        <f t="shared" si="12"/>
        <v/>
      </c>
      <c r="AI178" s="134"/>
      <c r="AJ178" s="143" t="s">
        <v>2579</v>
      </c>
      <c r="AK178" s="129">
        <v>10.555</v>
      </c>
      <c r="AL178" s="129">
        <v>10.565</v>
      </c>
      <c r="AM178" s="129">
        <v>10.589999999999998</v>
      </c>
      <c r="AN178" s="129">
        <v>10.594999999999999</v>
      </c>
      <c r="AO178" s="126" t="str">
        <f t="shared" si="13"/>
        <v/>
      </c>
      <c r="AR178" s="99" t="s">
        <v>136</v>
      </c>
    </row>
    <row r="179" spans="1:59" s="99" customFormat="1" ht="21" customHeight="1" x14ac:dyDescent="0.35">
      <c r="A179" s="99">
        <v>421</v>
      </c>
      <c r="B179" s="126" t="str">
        <f t="shared" si="10"/>
        <v>0-304L/FH-001X770</v>
      </c>
      <c r="C179" s="126" t="s">
        <v>2802</v>
      </c>
      <c r="D179" s="126" t="s">
        <v>13</v>
      </c>
      <c r="E179" s="143" t="s">
        <v>2796</v>
      </c>
      <c r="F179" s="143" t="s">
        <v>2797</v>
      </c>
      <c r="G179" s="126" t="s">
        <v>230</v>
      </c>
      <c r="H179" s="126" t="s">
        <v>65</v>
      </c>
      <c r="I179" s="127">
        <v>2.95</v>
      </c>
      <c r="J179" s="127">
        <v>0.9</v>
      </c>
      <c r="K179" s="127"/>
      <c r="L179" s="127"/>
      <c r="M179" s="144">
        <v>770</v>
      </c>
      <c r="N179" s="129">
        <v>10.145</v>
      </c>
      <c r="O179" s="129">
        <v>10.16</v>
      </c>
      <c r="P179" s="129"/>
      <c r="Q179" s="130"/>
      <c r="R179" s="131"/>
      <c r="S179" s="131"/>
      <c r="T179" s="132">
        <v>44606</v>
      </c>
      <c r="U179" s="132"/>
      <c r="V179" s="132"/>
      <c r="W179" s="132"/>
      <c r="X179" s="132"/>
      <c r="Y179" s="133"/>
      <c r="Z179" s="126" t="s">
        <v>64</v>
      </c>
      <c r="AA179" s="134" t="s">
        <v>154</v>
      </c>
      <c r="AB179" s="134" t="s">
        <v>1246</v>
      </c>
      <c r="AC179" s="134"/>
      <c r="AD179" s="134">
        <v>44496</v>
      </c>
      <c r="AE179" s="134"/>
      <c r="AF179" s="134">
        <f t="shared" ca="1" si="14"/>
        <v>44963</v>
      </c>
      <c r="AG179" s="126">
        <f t="shared" ca="1" si="11"/>
        <v>467</v>
      </c>
      <c r="AH179" s="126" t="str">
        <f t="shared" si="12"/>
        <v/>
      </c>
      <c r="AI179" s="134"/>
      <c r="AJ179" s="143" t="s">
        <v>2798</v>
      </c>
      <c r="AK179" s="129">
        <v>10.145</v>
      </c>
      <c r="AL179" s="129">
        <v>10.154999999999999</v>
      </c>
      <c r="AM179" s="129">
        <v>10.179999999999998</v>
      </c>
      <c r="AN179" s="129">
        <v>10.184999999999999</v>
      </c>
      <c r="AO179" s="126" t="str">
        <f t="shared" si="13"/>
        <v/>
      </c>
      <c r="AR179" s="99" t="s">
        <v>136</v>
      </c>
    </row>
    <row r="180" spans="1:59" s="99" customFormat="1" ht="21" customHeight="1" x14ac:dyDescent="0.35">
      <c r="A180" s="99">
        <v>421</v>
      </c>
      <c r="B180" s="126" t="str">
        <f t="shared" si="10"/>
        <v>0-304L/1D-003X770</v>
      </c>
      <c r="C180" s="126" t="s">
        <v>2803</v>
      </c>
      <c r="D180" s="126" t="s">
        <v>11</v>
      </c>
      <c r="E180" s="143" t="s">
        <v>2806</v>
      </c>
      <c r="F180" s="143" t="s">
        <v>2807</v>
      </c>
      <c r="G180" s="126" t="s">
        <v>230</v>
      </c>
      <c r="H180" s="126" t="s">
        <v>139</v>
      </c>
      <c r="I180" s="127">
        <v>2.81</v>
      </c>
      <c r="J180" s="127"/>
      <c r="K180" s="127"/>
      <c r="L180" s="127"/>
      <c r="M180" s="144">
        <v>770</v>
      </c>
      <c r="N180" s="129">
        <v>12.195</v>
      </c>
      <c r="O180" s="129">
        <v>12.195</v>
      </c>
      <c r="P180" s="129"/>
      <c r="Q180" s="130"/>
      <c r="R180" s="131"/>
      <c r="S180" s="131"/>
      <c r="T180" s="132">
        <v>44607</v>
      </c>
      <c r="U180" s="132"/>
      <c r="V180" s="132"/>
      <c r="W180" s="132"/>
      <c r="X180" s="132"/>
      <c r="Y180" s="133"/>
      <c r="Z180" s="126" t="s">
        <v>64</v>
      </c>
      <c r="AA180" s="134" t="s">
        <v>154</v>
      </c>
      <c r="AB180" s="134" t="s">
        <v>1190</v>
      </c>
      <c r="AC180" s="134"/>
      <c r="AD180" s="134">
        <v>44496</v>
      </c>
      <c r="AE180" s="134"/>
      <c r="AF180" s="134">
        <f t="shared" ca="1" si="14"/>
        <v>44963</v>
      </c>
      <c r="AG180" s="126">
        <f t="shared" ca="1" si="11"/>
        <v>467</v>
      </c>
      <c r="AH180" s="126" t="str">
        <f t="shared" si="12"/>
        <v/>
      </c>
      <c r="AI180" s="134"/>
      <c r="AJ180" s="143" t="s">
        <v>1191</v>
      </c>
      <c r="AK180" s="129">
        <v>12.195</v>
      </c>
      <c r="AL180" s="129">
        <v>12.205</v>
      </c>
      <c r="AM180" s="129">
        <v>12.229999999999999</v>
      </c>
      <c r="AN180" s="129">
        <v>12.234999999999999</v>
      </c>
      <c r="AO180" s="126" t="str">
        <f t="shared" si="13"/>
        <v/>
      </c>
      <c r="AR180" s="99" t="s">
        <v>136</v>
      </c>
    </row>
    <row r="181" spans="1:59" s="99" customFormat="1" ht="21" customHeight="1" x14ac:dyDescent="0.35">
      <c r="A181" s="99">
        <v>421</v>
      </c>
      <c r="B181" s="126" t="str">
        <f t="shared" si="10"/>
        <v>0-304L/FH-001X770</v>
      </c>
      <c r="C181" s="126" t="s">
        <v>2802</v>
      </c>
      <c r="D181" s="126" t="s">
        <v>13</v>
      </c>
      <c r="E181" s="143" t="s">
        <v>2804</v>
      </c>
      <c r="F181" s="143" t="s">
        <v>2805</v>
      </c>
      <c r="G181" s="126" t="s">
        <v>230</v>
      </c>
      <c r="H181" s="126" t="s">
        <v>65</v>
      </c>
      <c r="I181" s="127">
        <v>2.74</v>
      </c>
      <c r="J181" s="127">
        <v>0.8</v>
      </c>
      <c r="K181" s="127"/>
      <c r="L181" s="127"/>
      <c r="M181" s="144">
        <v>770</v>
      </c>
      <c r="N181" s="129">
        <v>10.555</v>
      </c>
      <c r="O181" s="129">
        <v>10.555</v>
      </c>
      <c r="P181" s="129"/>
      <c r="Q181" s="130"/>
      <c r="R181" s="131"/>
      <c r="S181" s="131"/>
      <c r="T181" s="132">
        <v>44607</v>
      </c>
      <c r="U181" s="132"/>
      <c r="V181" s="132"/>
      <c r="W181" s="132"/>
      <c r="X181" s="132"/>
      <c r="Y181" s="133"/>
      <c r="Z181" s="126" t="s">
        <v>64</v>
      </c>
      <c r="AA181" s="134" t="s">
        <v>154</v>
      </c>
      <c r="AB181" s="134" t="s">
        <v>1190</v>
      </c>
      <c r="AC181" s="134"/>
      <c r="AD181" s="134">
        <v>44496</v>
      </c>
      <c r="AE181" s="134"/>
      <c r="AF181" s="134">
        <f t="shared" ca="1" si="14"/>
        <v>44963</v>
      </c>
      <c r="AG181" s="126">
        <f t="shared" ca="1" si="11"/>
        <v>467</v>
      </c>
      <c r="AH181" s="126" t="str">
        <f t="shared" si="12"/>
        <v/>
      </c>
      <c r="AI181" s="134"/>
      <c r="AJ181" s="143" t="s">
        <v>2579</v>
      </c>
      <c r="AK181" s="129">
        <v>10.555</v>
      </c>
      <c r="AL181" s="129">
        <v>10.565</v>
      </c>
      <c r="AM181" s="129">
        <v>10.589999999999998</v>
      </c>
      <c r="AN181" s="129">
        <v>10.594999999999999</v>
      </c>
      <c r="AO181" s="126" t="str">
        <f t="shared" si="13"/>
        <v/>
      </c>
      <c r="AR181" s="99" t="s">
        <v>136</v>
      </c>
    </row>
    <row r="182" spans="1:59" s="99" customFormat="1" ht="21" customHeight="1" x14ac:dyDescent="0.35">
      <c r="A182" s="99">
        <v>424</v>
      </c>
      <c r="B182" s="126" t="str">
        <f t="shared" si="10"/>
        <v>0-304L/1D-004X774</v>
      </c>
      <c r="C182" s="126" t="s">
        <v>2803</v>
      </c>
      <c r="D182" s="126" t="s">
        <v>11</v>
      </c>
      <c r="E182" s="143" t="s">
        <v>2808</v>
      </c>
      <c r="F182" s="143" t="s">
        <v>2809</v>
      </c>
      <c r="G182" s="126" t="s">
        <v>230</v>
      </c>
      <c r="H182" s="126" t="s">
        <v>139</v>
      </c>
      <c r="I182" s="127">
        <v>3.78</v>
      </c>
      <c r="J182" s="127"/>
      <c r="K182" s="127"/>
      <c r="L182" s="127"/>
      <c r="M182" s="144">
        <v>774</v>
      </c>
      <c r="N182" s="129">
        <v>10.4</v>
      </c>
      <c r="O182" s="129">
        <v>10.4</v>
      </c>
      <c r="P182" s="129"/>
      <c r="Q182" s="130"/>
      <c r="R182" s="131"/>
      <c r="S182" s="131"/>
      <c r="T182" s="132">
        <v>44607</v>
      </c>
      <c r="U182" s="132"/>
      <c r="V182" s="132"/>
      <c r="W182" s="132"/>
      <c r="X182" s="132"/>
      <c r="Y182" s="133" t="s">
        <v>1395</v>
      </c>
      <c r="Z182" s="126" t="s">
        <v>64</v>
      </c>
      <c r="AA182" s="134" t="s">
        <v>154</v>
      </c>
      <c r="AB182" s="134" t="s">
        <v>1330</v>
      </c>
      <c r="AC182" s="134"/>
      <c r="AD182" s="134">
        <v>44554</v>
      </c>
      <c r="AE182" s="134"/>
      <c r="AF182" s="134">
        <f t="shared" ca="1" si="14"/>
        <v>44963</v>
      </c>
      <c r="AG182" s="126">
        <f t="shared" ca="1" si="11"/>
        <v>409</v>
      </c>
      <c r="AH182" s="126" t="str">
        <f t="shared" si="12"/>
        <v/>
      </c>
      <c r="AI182" s="134"/>
      <c r="AJ182" s="143" t="s">
        <v>2670</v>
      </c>
      <c r="AK182" s="129">
        <v>10.4</v>
      </c>
      <c r="AL182" s="129">
        <v>10.41</v>
      </c>
      <c r="AM182" s="129">
        <v>10.434999999999999</v>
      </c>
      <c r="AN182" s="129">
        <v>10.44</v>
      </c>
      <c r="AO182" s="126" t="str">
        <f t="shared" si="13"/>
        <v/>
      </c>
      <c r="AR182" s="99" t="s">
        <v>136</v>
      </c>
    </row>
    <row r="183" spans="1:59" s="99" customFormat="1" ht="21" customHeight="1" x14ac:dyDescent="0.35">
      <c r="A183" s="99">
        <v>421</v>
      </c>
      <c r="B183" s="126" t="str">
        <f t="shared" si="10"/>
        <v>0-304L/FH-001X770</v>
      </c>
      <c r="C183" s="126" t="s">
        <v>2802</v>
      </c>
      <c r="D183" s="126" t="s">
        <v>13</v>
      </c>
      <c r="E183" s="143" t="s">
        <v>2806</v>
      </c>
      <c r="F183" s="143" t="s">
        <v>2807</v>
      </c>
      <c r="G183" s="126" t="s">
        <v>230</v>
      </c>
      <c r="H183" s="126" t="s">
        <v>65</v>
      </c>
      <c r="I183" s="127">
        <v>2.81</v>
      </c>
      <c r="J183" s="127">
        <v>0.9</v>
      </c>
      <c r="K183" s="127"/>
      <c r="L183" s="127"/>
      <c r="M183" s="144">
        <v>770</v>
      </c>
      <c r="N183" s="129">
        <v>12.195</v>
      </c>
      <c r="O183" s="129">
        <v>12.225</v>
      </c>
      <c r="P183" s="129"/>
      <c r="Q183" s="130"/>
      <c r="R183" s="131"/>
      <c r="S183" s="131"/>
      <c r="T183" s="132">
        <v>44607</v>
      </c>
      <c r="U183" s="132"/>
      <c r="V183" s="132"/>
      <c r="W183" s="132"/>
      <c r="X183" s="132"/>
      <c r="Y183" s="133"/>
      <c r="Z183" s="126" t="s">
        <v>64</v>
      </c>
      <c r="AA183" s="134" t="s">
        <v>154</v>
      </c>
      <c r="AB183" s="134" t="s">
        <v>1190</v>
      </c>
      <c r="AC183" s="134"/>
      <c r="AD183" s="134">
        <v>44496</v>
      </c>
      <c r="AE183" s="134"/>
      <c r="AF183" s="134">
        <f t="shared" ca="1" si="14"/>
        <v>44963</v>
      </c>
      <c r="AG183" s="126">
        <f t="shared" ca="1" si="11"/>
        <v>467</v>
      </c>
      <c r="AH183" s="126" t="str">
        <f t="shared" si="12"/>
        <v/>
      </c>
      <c r="AI183" s="134"/>
      <c r="AJ183" s="143" t="s">
        <v>1191</v>
      </c>
      <c r="AK183" s="129">
        <v>12.195</v>
      </c>
      <c r="AL183" s="129">
        <v>12.205</v>
      </c>
      <c r="AM183" s="129">
        <v>12.229999999999999</v>
      </c>
      <c r="AN183" s="129">
        <v>12.234999999999999</v>
      </c>
      <c r="AO183" s="126" t="str">
        <f t="shared" si="13"/>
        <v/>
      </c>
      <c r="AR183" s="99" t="s">
        <v>136</v>
      </c>
    </row>
    <row r="184" spans="1:59" s="99" customFormat="1" ht="21" customHeight="1" x14ac:dyDescent="0.35">
      <c r="A184" s="99">
        <v>402</v>
      </c>
      <c r="B184" s="126" t="str">
        <f t="shared" si="10"/>
        <v>0-304/304L/2B-002X770</v>
      </c>
      <c r="C184" s="126" t="s">
        <v>2810</v>
      </c>
      <c r="D184" s="126" t="s">
        <v>403</v>
      </c>
      <c r="E184" s="143" t="s">
        <v>2811</v>
      </c>
      <c r="F184" s="143" t="s">
        <v>2812</v>
      </c>
      <c r="G184" s="126" t="s">
        <v>377</v>
      </c>
      <c r="H184" s="126" t="s">
        <v>116</v>
      </c>
      <c r="I184" s="127">
        <v>3.8</v>
      </c>
      <c r="J184" s="127">
        <v>1.5</v>
      </c>
      <c r="K184" s="127">
        <v>1.49</v>
      </c>
      <c r="L184" s="127">
        <v>1.52</v>
      </c>
      <c r="M184" s="144">
        <v>770</v>
      </c>
      <c r="N184" s="129">
        <v>3.9649999999999999</v>
      </c>
      <c r="O184" s="129">
        <v>3.9649999999999999</v>
      </c>
      <c r="P184" s="129"/>
      <c r="Q184" s="130" t="s">
        <v>117</v>
      </c>
      <c r="R184" s="131" t="s">
        <v>2813</v>
      </c>
      <c r="S184" s="131" t="s">
        <v>2814</v>
      </c>
      <c r="T184" s="132" t="s">
        <v>2815</v>
      </c>
      <c r="U184" s="132">
        <v>44396</v>
      </c>
      <c r="V184" s="132">
        <v>44402</v>
      </c>
      <c r="W184" s="132">
        <v>44403</v>
      </c>
      <c r="X184" s="132"/>
      <c r="Y184" s="133"/>
      <c r="Z184" s="126" t="s">
        <v>64</v>
      </c>
      <c r="AA184" s="134" t="s">
        <v>154</v>
      </c>
      <c r="AB184" s="134" t="s">
        <v>2816</v>
      </c>
      <c r="AC184" s="134"/>
      <c r="AD184" s="134">
        <v>44388</v>
      </c>
      <c r="AE184" s="134"/>
      <c r="AF184" s="134">
        <f t="shared" ca="1" si="14"/>
        <v>44963</v>
      </c>
      <c r="AG184" s="126">
        <f t="shared" ca="1" si="11"/>
        <v>575</v>
      </c>
      <c r="AH184" s="126">
        <f t="shared" ca="1" si="12"/>
        <v>561</v>
      </c>
      <c r="AI184" s="134"/>
      <c r="AJ184" s="143" t="s">
        <v>2817</v>
      </c>
      <c r="AK184" s="129">
        <v>12.175000000000001</v>
      </c>
      <c r="AL184" s="129">
        <v>12.185</v>
      </c>
      <c r="AM184" s="129">
        <v>12.209999999999999</v>
      </c>
      <c r="AN184" s="129">
        <v>12.215</v>
      </c>
      <c r="AO184" s="126">
        <f t="shared" ca="1" si="13"/>
        <v>567</v>
      </c>
      <c r="AR184" s="99" t="s">
        <v>136</v>
      </c>
      <c r="BG184" s="135" t="s">
        <v>137</v>
      </c>
    </row>
    <row r="185" spans="1:59" s="99" customFormat="1" ht="21" customHeight="1" x14ac:dyDescent="0.35">
      <c r="A185" s="99">
        <v>424</v>
      </c>
      <c r="B185" s="126" t="str">
        <f t="shared" si="10"/>
        <v>0-304L/FH-002X774</v>
      </c>
      <c r="C185" s="126" t="s">
        <v>2802</v>
      </c>
      <c r="D185" s="126" t="s">
        <v>13</v>
      </c>
      <c r="E185" s="143" t="s">
        <v>2808</v>
      </c>
      <c r="F185" s="143" t="s">
        <v>2809</v>
      </c>
      <c r="G185" s="126" t="s">
        <v>230</v>
      </c>
      <c r="H185" s="126" t="s">
        <v>65</v>
      </c>
      <c r="I185" s="127">
        <v>3.78</v>
      </c>
      <c r="J185" s="127">
        <v>1.5</v>
      </c>
      <c r="K185" s="127"/>
      <c r="L185" s="127"/>
      <c r="M185" s="144">
        <v>774</v>
      </c>
      <c r="N185" s="129">
        <v>10.4</v>
      </c>
      <c r="O185" s="129">
        <v>10.404999999999999</v>
      </c>
      <c r="P185" s="129"/>
      <c r="Q185" s="130"/>
      <c r="R185" s="131"/>
      <c r="S185" s="131"/>
      <c r="T185" s="132">
        <v>44607</v>
      </c>
      <c r="U185" s="132"/>
      <c r="V185" s="132"/>
      <c r="W185" s="132"/>
      <c r="X185" s="132"/>
      <c r="Y185" s="133" t="s">
        <v>1395</v>
      </c>
      <c r="Z185" s="126" t="s">
        <v>64</v>
      </c>
      <c r="AA185" s="134" t="s">
        <v>154</v>
      </c>
      <c r="AB185" s="134" t="s">
        <v>1330</v>
      </c>
      <c r="AC185" s="134"/>
      <c r="AD185" s="134">
        <v>44554</v>
      </c>
      <c r="AE185" s="134"/>
      <c r="AF185" s="134">
        <f t="shared" ca="1" si="14"/>
        <v>44963</v>
      </c>
      <c r="AG185" s="126">
        <f t="shared" ca="1" si="11"/>
        <v>409</v>
      </c>
      <c r="AH185" s="126" t="str">
        <f t="shared" si="12"/>
        <v/>
      </c>
      <c r="AI185" s="134"/>
      <c r="AJ185" s="143" t="s">
        <v>2670</v>
      </c>
      <c r="AK185" s="129">
        <v>10.4</v>
      </c>
      <c r="AL185" s="129">
        <v>10.41</v>
      </c>
      <c r="AM185" s="129">
        <v>10.434999999999999</v>
      </c>
      <c r="AN185" s="129">
        <v>10.44</v>
      </c>
      <c r="AO185" s="126" t="str">
        <f t="shared" si="13"/>
        <v/>
      </c>
      <c r="AR185" s="99" t="s">
        <v>136</v>
      </c>
    </row>
    <row r="186" spans="1:59" s="99" customFormat="1" ht="21" customHeight="1" x14ac:dyDescent="0.35">
      <c r="A186" s="99">
        <v>421</v>
      </c>
      <c r="B186" s="126" t="str">
        <f t="shared" si="10"/>
        <v>0-304L/1D-003X770</v>
      </c>
      <c r="C186" s="126" t="s">
        <v>2803</v>
      </c>
      <c r="D186" s="126" t="s">
        <v>11</v>
      </c>
      <c r="E186" s="143" t="s">
        <v>2818</v>
      </c>
      <c r="F186" s="143" t="s">
        <v>2819</v>
      </c>
      <c r="G186" s="126" t="s">
        <v>230</v>
      </c>
      <c r="H186" s="126" t="s">
        <v>139</v>
      </c>
      <c r="I186" s="127">
        <v>2.79</v>
      </c>
      <c r="J186" s="127"/>
      <c r="K186" s="127"/>
      <c r="L186" s="127"/>
      <c r="M186" s="144">
        <v>770</v>
      </c>
      <c r="N186" s="129">
        <v>10.515000000000001</v>
      </c>
      <c r="O186" s="129">
        <v>10.515000000000001</v>
      </c>
      <c r="P186" s="129"/>
      <c r="Q186" s="130"/>
      <c r="R186" s="131"/>
      <c r="S186" s="131"/>
      <c r="T186" s="132">
        <v>44607</v>
      </c>
      <c r="U186" s="132"/>
      <c r="V186" s="132"/>
      <c r="W186" s="132"/>
      <c r="X186" s="132"/>
      <c r="Y186" s="133"/>
      <c r="Z186" s="126" t="s">
        <v>64</v>
      </c>
      <c r="AA186" s="134" t="s">
        <v>154</v>
      </c>
      <c r="AB186" s="134" t="s">
        <v>1239</v>
      </c>
      <c r="AC186" s="134"/>
      <c r="AD186" s="134">
        <v>44496</v>
      </c>
      <c r="AE186" s="134"/>
      <c r="AF186" s="134">
        <f t="shared" ca="1" si="14"/>
        <v>44963</v>
      </c>
      <c r="AG186" s="126">
        <f t="shared" ca="1" si="11"/>
        <v>467</v>
      </c>
      <c r="AH186" s="126" t="str">
        <f t="shared" si="12"/>
        <v/>
      </c>
      <c r="AI186" s="134"/>
      <c r="AJ186" s="143" t="s">
        <v>2820</v>
      </c>
      <c r="AK186" s="129">
        <v>10.515000000000001</v>
      </c>
      <c r="AL186" s="129">
        <v>10.525</v>
      </c>
      <c r="AM186" s="129">
        <v>10.549999999999999</v>
      </c>
      <c r="AN186" s="129">
        <v>10.555</v>
      </c>
      <c r="AO186" s="126" t="str">
        <f t="shared" si="13"/>
        <v/>
      </c>
      <c r="AR186" s="99" t="s">
        <v>136</v>
      </c>
    </row>
    <row r="187" spans="1:59" s="99" customFormat="1" ht="21" customHeight="1" x14ac:dyDescent="0.35">
      <c r="A187" s="99">
        <v>422</v>
      </c>
      <c r="B187" s="126" t="str">
        <f t="shared" si="10"/>
        <v>0-304L/FH-001X768</v>
      </c>
      <c r="C187" s="126" t="s">
        <v>2802</v>
      </c>
      <c r="D187" s="126" t="s">
        <v>13</v>
      </c>
      <c r="E187" s="143" t="s">
        <v>2791</v>
      </c>
      <c r="F187" s="143" t="s">
        <v>2792</v>
      </c>
      <c r="G187" s="126" t="s">
        <v>230</v>
      </c>
      <c r="H187" s="126" t="s">
        <v>65</v>
      </c>
      <c r="I187" s="127">
        <v>2.8</v>
      </c>
      <c r="J187" s="127">
        <v>0.8</v>
      </c>
      <c r="K187" s="127"/>
      <c r="L187" s="127"/>
      <c r="M187" s="144">
        <v>768</v>
      </c>
      <c r="N187" s="129">
        <v>9.99</v>
      </c>
      <c r="O187" s="129">
        <v>9.9949999999999992</v>
      </c>
      <c r="P187" s="129"/>
      <c r="Q187" s="130"/>
      <c r="R187" s="131"/>
      <c r="S187" s="131"/>
      <c r="T187" s="132">
        <v>44606</v>
      </c>
      <c r="U187" s="132"/>
      <c r="V187" s="132"/>
      <c r="W187" s="132"/>
      <c r="X187" s="132"/>
      <c r="Y187" s="133"/>
      <c r="Z187" s="126" t="s">
        <v>64</v>
      </c>
      <c r="AA187" s="134" t="s">
        <v>154</v>
      </c>
      <c r="AB187" s="134" t="s">
        <v>1330</v>
      </c>
      <c r="AC187" s="134"/>
      <c r="AD187" s="134">
        <v>44516</v>
      </c>
      <c r="AE187" s="134"/>
      <c r="AF187" s="134">
        <f t="shared" ca="1" si="14"/>
        <v>44963</v>
      </c>
      <c r="AG187" s="126">
        <f t="shared" ca="1" si="11"/>
        <v>447</v>
      </c>
      <c r="AH187" s="126" t="str">
        <f t="shared" si="12"/>
        <v/>
      </c>
      <c r="AI187" s="134"/>
      <c r="AJ187" s="143" t="s">
        <v>2793</v>
      </c>
      <c r="AK187" s="129">
        <v>9.99</v>
      </c>
      <c r="AL187" s="129">
        <v>10</v>
      </c>
      <c r="AM187" s="129">
        <v>10.024999999999999</v>
      </c>
      <c r="AN187" s="129">
        <v>10.029999999999999</v>
      </c>
      <c r="AO187" s="126" t="str">
        <f t="shared" si="13"/>
        <v/>
      </c>
      <c r="AR187" s="99" t="s">
        <v>136</v>
      </c>
    </row>
    <row r="188" spans="1:59" s="99" customFormat="1" ht="21" customHeight="1" x14ac:dyDescent="0.35">
      <c r="A188" s="99">
        <v>424</v>
      </c>
      <c r="B188" s="126" t="str">
        <f t="shared" si="10"/>
        <v>0-304/1D-004X771</v>
      </c>
      <c r="C188" s="126" t="s">
        <v>2803</v>
      </c>
      <c r="D188" s="126" t="s">
        <v>11</v>
      </c>
      <c r="E188" s="143" t="s">
        <v>2821</v>
      </c>
      <c r="F188" s="143" t="s">
        <v>2822</v>
      </c>
      <c r="G188" s="126">
        <v>304</v>
      </c>
      <c r="H188" s="126" t="s">
        <v>139</v>
      </c>
      <c r="I188" s="127">
        <v>3.9</v>
      </c>
      <c r="J188" s="127"/>
      <c r="K188" s="127"/>
      <c r="L188" s="127"/>
      <c r="M188" s="144">
        <v>771</v>
      </c>
      <c r="N188" s="129">
        <v>10.225</v>
      </c>
      <c r="O188" s="129">
        <v>10.225</v>
      </c>
      <c r="P188" s="129"/>
      <c r="Q188" s="130"/>
      <c r="R188" s="131"/>
      <c r="S188" s="131"/>
      <c r="T188" s="132">
        <v>44607</v>
      </c>
      <c r="U188" s="132"/>
      <c r="V188" s="132"/>
      <c r="W188" s="132"/>
      <c r="X188" s="132"/>
      <c r="Y188" s="133" t="s">
        <v>1395</v>
      </c>
      <c r="Z188" s="126" t="s">
        <v>64</v>
      </c>
      <c r="AA188" s="134" t="s">
        <v>154</v>
      </c>
      <c r="AB188" s="134" t="s">
        <v>1516</v>
      </c>
      <c r="AC188" s="134"/>
      <c r="AD188" s="134">
        <v>44554</v>
      </c>
      <c r="AE188" s="134"/>
      <c r="AF188" s="134">
        <f t="shared" ca="1" si="14"/>
        <v>44963</v>
      </c>
      <c r="AG188" s="126">
        <f t="shared" ca="1" si="11"/>
        <v>409</v>
      </c>
      <c r="AH188" s="126" t="str">
        <f t="shared" si="12"/>
        <v/>
      </c>
      <c r="AI188" s="134"/>
      <c r="AJ188" s="143" t="s">
        <v>1736</v>
      </c>
      <c r="AK188" s="129">
        <v>10.225</v>
      </c>
      <c r="AL188" s="129">
        <v>10.234999999999999</v>
      </c>
      <c r="AM188" s="129">
        <v>10.259999999999998</v>
      </c>
      <c r="AN188" s="129">
        <v>10.264999999999999</v>
      </c>
      <c r="AO188" s="126" t="str">
        <f t="shared" si="13"/>
        <v/>
      </c>
      <c r="AR188" s="99" t="s">
        <v>136</v>
      </c>
    </row>
    <row r="189" spans="1:59" s="99" customFormat="1" ht="21" customHeight="1" x14ac:dyDescent="0.35">
      <c r="A189" s="99">
        <v>421</v>
      </c>
      <c r="B189" s="126" t="str">
        <f t="shared" si="10"/>
        <v>0-304L/FH-001X770</v>
      </c>
      <c r="C189" s="126" t="s">
        <v>2802</v>
      </c>
      <c r="D189" s="126" t="s">
        <v>13</v>
      </c>
      <c r="E189" s="143" t="s">
        <v>2799</v>
      </c>
      <c r="F189" s="143" t="s">
        <v>2800</v>
      </c>
      <c r="G189" s="126" t="s">
        <v>230</v>
      </c>
      <c r="H189" s="126" t="s">
        <v>65</v>
      </c>
      <c r="I189" s="127">
        <v>3.5</v>
      </c>
      <c r="J189" s="127">
        <v>1.2</v>
      </c>
      <c r="K189" s="127"/>
      <c r="L189" s="127"/>
      <c r="M189" s="144">
        <v>770</v>
      </c>
      <c r="N189" s="129">
        <v>8.9499999999999993</v>
      </c>
      <c r="O189" s="129">
        <v>8.9600000000000009</v>
      </c>
      <c r="P189" s="129"/>
      <c r="Q189" s="130"/>
      <c r="R189" s="131"/>
      <c r="S189" s="131"/>
      <c r="T189" s="132">
        <v>44606</v>
      </c>
      <c r="U189" s="132"/>
      <c r="V189" s="132"/>
      <c r="W189" s="132"/>
      <c r="X189" s="132"/>
      <c r="Y189" s="133"/>
      <c r="Z189" s="126" t="s">
        <v>64</v>
      </c>
      <c r="AA189" s="134" t="s">
        <v>154</v>
      </c>
      <c r="AB189" s="134" t="s">
        <v>1246</v>
      </c>
      <c r="AC189" s="134"/>
      <c r="AD189" s="134">
        <v>44496</v>
      </c>
      <c r="AE189" s="134"/>
      <c r="AF189" s="134">
        <f t="shared" ca="1" si="14"/>
        <v>44963</v>
      </c>
      <c r="AG189" s="126">
        <f t="shared" ca="1" si="11"/>
        <v>467</v>
      </c>
      <c r="AH189" s="126" t="str">
        <f t="shared" si="12"/>
        <v/>
      </c>
      <c r="AI189" s="134"/>
      <c r="AJ189" s="143" t="s">
        <v>2801</v>
      </c>
      <c r="AK189" s="129">
        <v>8.9499999999999993</v>
      </c>
      <c r="AL189" s="129">
        <v>8.9600000000000009</v>
      </c>
      <c r="AM189" s="129">
        <v>8.9849999999999994</v>
      </c>
      <c r="AN189" s="129">
        <v>8.99</v>
      </c>
      <c r="AO189" s="126" t="str">
        <f t="shared" si="13"/>
        <v/>
      </c>
      <c r="AR189" s="99" t="s">
        <v>136</v>
      </c>
    </row>
    <row r="190" spans="1:59" s="99" customFormat="1" ht="21" customHeight="1" x14ac:dyDescent="0.35">
      <c r="A190" s="99">
        <v>422</v>
      </c>
      <c r="B190" s="126" t="str">
        <f t="shared" si="10"/>
        <v>0-304L/1D-003X770</v>
      </c>
      <c r="C190" s="126" t="s">
        <v>2803</v>
      </c>
      <c r="D190" s="126" t="s">
        <v>11</v>
      </c>
      <c r="E190" s="143" t="s">
        <v>2823</v>
      </c>
      <c r="F190" s="143" t="s">
        <v>2824</v>
      </c>
      <c r="G190" s="126" t="s">
        <v>230</v>
      </c>
      <c r="H190" s="126" t="s">
        <v>139</v>
      </c>
      <c r="I190" s="127">
        <v>2.88</v>
      </c>
      <c r="J190" s="127"/>
      <c r="K190" s="127"/>
      <c r="L190" s="127"/>
      <c r="M190" s="144">
        <v>770</v>
      </c>
      <c r="N190" s="129">
        <v>8.2850000000000001</v>
      </c>
      <c r="O190" s="129">
        <v>8.2850000000000001</v>
      </c>
      <c r="P190" s="129"/>
      <c r="Q190" s="130"/>
      <c r="R190" s="131"/>
      <c r="S190" s="131"/>
      <c r="T190" s="132">
        <v>44607</v>
      </c>
      <c r="U190" s="132"/>
      <c r="V190" s="132"/>
      <c r="W190" s="132"/>
      <c r="X190" s="132"/>
      <c r="Y190" s="133"/>
      <c r="Z190" s="126" t="s">
        <v>64</v>
      </c>
      <c r="AA190" s="134" t="s">
        <v>154</v>
      </c>
      <c r="AB190" s="134" t="s">
        <v>1330</v>
      </c>
      <c r="AC190" s="134"/>
      <c r="AD190" s="134">
        <v>44516</v>
      </c>
      <c r="AE190" s="134"/>
      <c r="AF190" s="134">
        <f t="shared" ca="1" si="14"/>
        <v>44963</v>
      </c>
      <c r="AG190" s="126">
        <f t="shared" ca="1" si="11"/>
        <v>447</v>
      </c>
      <c r="AH190" s="126" t="str">
        <f t="shared" si="12"/>
        <v/>
      </c>
      <c r="AI190" s="134"/>
      <c r="AJ190" s="143" t="s">
        <v>2688</v>
      </c>
      <c r="AK190" s="129">
        <v>8.2850000000000001</v>
      </c>
      <c r="AL190" s="129">
        <v>8.2949999999999999</v>
      </c>
      <c r="AM190" s="129">
        <v>8.3199999999999985</v>
      </c>
      <c r="AN190" s="129">
        <v>8.3249999999999993</v>
      </c>
      <c r="AO190" s="126" t="str">
        <f t="shared" si="13"/>
        <v/>
      </c>
      <c r="AR190" s="99" t="s">
        <v>136</v>
      </c>
    </row>
    <row r="191" spans="1:59" s="99" customFormat="1" ht="21" customHeight="1" x14ac:dyDescent="0.35">
      <c r="A191" s="99">
        <v>421</v>
      </c>
      <c r="B191" s="126" t="str">
        <f t="shared" si="10"/>
        <v>0-304L/FH-001X770</v>
      </c>
      <c r="C191" s="126" t="s">
        <v>2802</v>
      </c>
      <c r="D191" s="126" t="s">
        <v>13</v>
      </c>
      <c r="E191" s="143" t="s">
        <v>2818</v>
      </c>
      <c r="F191" s="143" t="s">
        <v>2819</v>
      </c>
      <c r="G191" s="126" t="s">
        <v>230</v>
      </c>
      <c r="H191" s="126" t="s">
        <v>65</v>
      </c>
      <c r="I191" s="127">
        <v>2.79</v>
      </c>
      <c r="J191" s="127">
        <v>0.8</v>
      </c>
      <c r="K191" s="127"/>
      <c r="L191" s="127"/>
      <c r="M191" s="144">
        <v>770</v>
      </c>
      <c r="N191" s="129">
        <v>10.515000000000001</v>
      </c>
      <c r="O191" s="129">
        <v>10.535</v>
      </c>
      <c r="P191" s="129"/>
      <c r="Q191" s="130"/>
      <c r="R191" s="131"/>
      <c r="S191" s="131"/>
      <c r="T191" s="132">
        <v>44607</v>
      </c>
      <c r="U191" s="132"/>
      <c r="V191" s="132"/>
      <c r="W191" s="132"/>
      <c r="X191" s="132"/>
      <c r="Y191" s="133"/>
      <c r="Z191" s="126" t="s">
        <v>64</v>
      </c>
      <c r="AA191" s="134" t="s">
        <v>154</v>
      </c>
      <c r="AB191" s="134" t="s">
        <v>1239</v>
      </c>
      <c r="AC191" s="134"/>
      <c r="AD191" s="134">
        <v>44496</v>
      </c>
      <c r="AE191" s="134"/>
      <c r="AF191" s="134">
        <f t="shared" ca="1" si="14"/>
        <v>44963</v>
      </c>
      <c r="AG191" s="126">
        <f t="shared" ca="1" si="11"/>
        <v>467</v>
      </c>
      <c r="AH191" s="126" t="str">
        <f t="shared" si="12"/>
        <v/>
      </c>
      <c r="AI191" s="134"/>
      <c r="AJ191" s="143" t="s">
        <v>2820</v>
      </c>
      <c r="AK191" s="129">
        <v>10.515000000000001</v>
      </c>
      <c r="AL191" s="129">
        <v>10.525</v>
      </c>
      <c r="AM191" s="129">
        <v>10.549999999999999</v>
      </c>
      <c r="AN191" s="129">
        <v>10.555</v>
      </c>
      <c r="AO191" s="126" t="str">
        <f t="shared" si="13"/>
        <v/>
      </c>
      <c r="AR191" s="99" t="s">
        <v>136</v>
      </c>
    </row>
    <row r="192" spans="1:59" s="99" customFormat="1" ht="21" customHeight="1" x14ac:dyDescent="0.35">
      <c r="A192" s="99">
        <v>424</v>
      </c>
      <c r="B192" s="126" t="str">
        <f t="shared" si="10"/>
        <v>0-304/1D-004X767</v>
      </c>
      <c r="C192" s="126" t="s">
        <v>2803</v>
      </c>
      <c r="D192" s="126" t="s">
        <v>11</v>
      </c>
      <c r="E192" s="143" t="s">
        <v>1772</v>
      </c>
      <c r="F192" s="143" t="s">
        <v>1773</v>
      </c>
      <c r="G192" s="126">
        <v>304</v>
      </c>
      <c r="H192" s="126" t="s">
        <v>139</v>
      </c>
      <c r="I192" s="127">
        <v>3.89</v>
      </c>
      <c r="J192" s="127"/>
      <c r="K192" s="127"/>
      <c r="L192" s="127"/>
      <c r="M192" s="144">
        <v>767</v>
      </c>
      <c r="N192" s="129">
        <v>10.38</v>
      </c>
      <c r="O192" s="129">
        <v>10.38</v>
      </c>
      <c r="P192" s="129"/>
      <c r="Q192" s="130"/>
      <c r="R192" s="131"/>
      <c r="S192" s="131"/>
      <c r="T192" s="132">
        <v>44607</v>
      </c>
      <c r="U192" s="132"/>
      <c r="V192" s="132"/>
      <c r="W192" s="132"/>
      <c r="X192" s="132"/>
      <c r="Y192" s="133" t="s">
        <v>1395</v>
      </c>
      <c r="Z192" s="126" t="s">
        <v>64</v>
      </c>
      <c r="AA192" s="134" t="s">
        <v>154</v>
      </c>
      <c r="AB192" s="134" t="s">
        <v>1516</v>
      </c>
      <c r="AC192" s="134"/>
      <c r="AD192" s="134">
        <v>44554</v>
      </c>
      <c r="AE192" s="134"/>
      <c r="AF192" s="134">
        <f t="shared" ca="1" si="14"/>
        <v>44963</v>
      </c>
      <c r="AG192" s="126">
        <f t="shared" ca="1" si="11"/>
        <v>409</v>
      </c>
      <c r="AH192" s="126" t="str">
        <f t="shared" si="12"/>
        <v/>
      </c>
      <c r="AI192" s="134"/>
      <c r="AJ192" s="143" t="s">
        <v>1774</v>
      </c>
      <c r="AK192" s="129">
        <v>10.38</v>
      </c>
      <c r="AL192" s="129">
        <v>10.39</v>
      </c>
      <c r="AM192" s="129">
        <v>10.414999999999999</v>
      </c>
      <c r="AN192" s="129">
        <v>10.42</v>
      </c>
      <c r="AO192" s="126" t="str">
        <f t="shared" si="13"/>
        <v/>
      </c>
      <c r="AR192" s="99" t="s">
        <v>136</v>
      </c>
    </row>
    <row r="193" spans="1:59" s="99" customFormat="1" ht="21" customHeight="1" x14ac:dyDescent="0.35">
      <c r="A193" s="99">
        <v>424</v>
      </c>
      <c r="B193" s="126" t="str">
        <f t="shared" si="10"/>
        <v>0-304/FH-002X771</v>
      </c>
      <c r="C193" s="126" t="s">
        <v>2802</v>
      </c>
      <c r="D193" s="126" t="s">
        <v>13</v>
      </c>
      <c r="E193" s="143" t="s">
        <v>2821</v>
      </c>
      <c r="F193" s="143" t="s">
        <v>2822</v>
      </c>
      <c r="G193" s="126">
        <v>304</v>
      </c>
      <c r="H193" s="126" t="s">
        <v>65</v>
      </c>
      <c r="I193" s="127">
        <v>3.9</v>
      </c>
      <c r="J193" s="127">
        <v>2</v>
      </c>
      <c r="K193" s="127"/>
      <c r="L193" s="127"/>
      <c r="M193" s="144">
        <v>771</v>
      </c>
      <c r="N193" s="129">
        <v>10.225</v>
      </c>
      <c r="O193" s="129">
        <v>10.234999999999999</v>
      </c>
      <c r="P193" s="129"/>
      <c r="Q193" s="130"/>
      <c r="R193" s="131"/>
      <c r="S193" s="131"/>
      <c r="T193" s="132">
        <v>44607</v>
      </c>
      <c r="U193" s="132"/>
      <c r="V193" s="132"/>
      <c r="W193" s="132"/>
      <c r="X193" s="132"/>
      <c r="Y193" s="133" t="s">
        <v>1395</v>
      </c>
      <c r="Z193" s="126" t="s">
        <v>64</v>
      </c>
      <c r="AA193" s="134" t="s">
        <v>154</v>
      </c>
      <c r="AB193" s="134" t="s">
        <v>1516</v>
      </c>
      <c r="AC193" s="134"/>
      <c r="AD193" s="134">
        <v>44554</v>
      </c>
      <c r="AE193" s="134"/>
      <c r="AF193" s="134">
        <f t="shared" ca="1" si="14"/>
        <v>44963</v>
      </c>
      <c r="AG193" s="126">
        <f t="shared" ca="1" si="11"/>
        <v>409</v>
      </c>
      <c r="AH193" s="126" t="str">
        <f t="shared" si="12"/>
        <v/>
      </c>
      <c r="AI193" s="134"/>
      <c r="AJ193" s="143" t="s">
        <v>1736</v>
      </c>
      <c r="AK193" s="129">
        <v>10.225</v>
      </c>
      <c r="AL193" s="129">
        <v>10.234999999999999</v>
      </c>
      <c r="AM193" s="129">
        <v>10.259999999999998</v>
      </c>
      <c r="AN193" s="129">
        <v>10.264999999999999</v>
      </c>
      <c r="AO193" s="126" t="str">
        <f t="shared" si="13"/>
        <v/>
      </c>
      <c r="AR193" s="99" t="s">
        <v>136</v>
      </c>
    </row>
    <row r="194" spans="1:59" s="99" customFormat="1" ht="21" customHeight="1" x14ac:dyDescent="0.35">
      <c r="A194" s="99">
        <v>422</v>
      </c>
      <c r="B194" s="126" t="str">
        <f t="shared" si="10"/>
        <v>0-304L/1D-003X766</v>
      </c>
      <c r="C194" s="126" t="s">
        <v>2803</v>
      </c>
      <c r="D194" s="126" t="s">
        <v>11</v>
      </c>
      <c r="E194" s="143" t="s">
        <v>2825</v>
      </c>
      <c r="F194" s="143" t="s">
        <v>2826</v>
      </c>
      <c r="G194" s="126" t="s">
        <v>230</v>
      </c>
      <c r="H194" s="126" t="s">
        <v>139</v>
      </c>
      <c r="I194" s="127">
        <v>2.88</v>
      </c>
      <c r="J194" s="127"/>
      <c r="K194" s="127"/>
      <c r="L194" s="127"/>
      <c r="M194" s="144">
        <v>766</v>
      </c>
      <c r="N194" s="129">
        <v>7.0049999999999999</v>
      </c>
      <c r="O194" s="129">
        <v>7.0049999999999999</v>
      </c>
      <c r="P194" s="129"/>
      <c r="Q194" s="130"/>
      <c r="R194" s="131"/>
      <c r="S194" s="131"/>
      <c r="T194" s="132">
        <v>44607</v>
      </c>
      <c r="U194" s="132"/>
      <c r="V194" s="132"/>
      <c r="W194" s="132"/>
      <c r="X194" s="132"/>
      <c r="Y194" s="133"/>
      <c r="Z194" s="126" t="s">
        <v>64</v>
      </c>
      <c r="AA194" s="134" t="s">
        <v>154</v>
      </c>
      <c r="AB194" s="134" t="s">
        <v>1296</v>
      </c>
      <c r="AC194" s="134"/>
      <c r="AD194" s="134">
        <v>44516</v>
      </c>
      <c r="AE194" s="134"/>
      <c r="AF194" s="134">
        <f t="shared" ca="1" si="14"/>
        <v>44963</v>
      </c>
      <c r="AG194" s="126">
        <f t="shared" ca="1" si="11"/>
        <v>447</v>
      </c>
      <c r="AH194" s="126" t="str">
        <f t="shared" si="12"/>
        <v/>
      </c>
      <c r="AI194" s="134"/>
      <c r="AJ194" s="143" t="s">
        <v>2708</v>
      </c>
      <c r="AK194" s="129">
        <v>7.0049999999999999</v>
      </c>
      <c r="AL194" s="129">
        <v>7.0149999999999997</v>
      </c>
      <c r="AM194" s="129">
        <v>7.04</v>
      </c>
      <c r="AN194" s="129">
        <v>7.0449999999999999</v>
      </c>
      <c r="AO194" s="126" t="str">
        <f t="shared" si="13"/>
        <v/>
      </c>
      <c r="AR194" s="99" t="s">
        <v>136</v>
      </c>
    </row>
    <row r="195" spans="1:59" s="99" customFormat="1" ht="21" customHeight="1" x14ac:dyDescent="0.35">
      <c r="A195" s="99">
        <v>422</v>
      </c>
      <c r="B195" s="126" t="str">
        <f t="shared" si="10"/>
        <v>0-304L/FH-001X770</v>
      </c>
      <c r="C195" s="126" t="s">
        <v>2827</v>
      </c>
      <c r="D195" s="126" t="s">
        <v>13</v>
      </c>
      <c r="E195" s="143" t="s">
        <v>2823</v>
      </c>
      <c r="F195" s="143" t="s">
        <v>2824</v>
      </c>
      <c r="G195" s="126" t="s">
        <v>230</v>
      </c>
      <c r="H195" s="126" t="s">
        <v>65</v>
      </c>
      <c r="I195" s="127">
        <v>2.88</v>
      </c>
      <c r="J195" s="127">
        <v>0.8</v>
      </c>
      <c r="K195" s="127"/>
      <c r="L195" s="127"/>
      <c r="M195" s="144">
        <v>770</v>
      </c>
      <c r="N195" s="129">
        <v>8.2850000000000001</v>
      </c>
      <c r="O195" s="129">
        <v>8.2750000000000004</v>
      </c>
      <c r="P195" s="129"/>
      <c r="Q195" s="130"/>
      <c r="R195" s="131"/>
      <c r="S195" s="131"/>
      <c r="T195" s="132">
        <v>44607</v>
      </c>
      <c r="U195" s="132"/>
      <c r="V195" s="132"/>
      <c r="W195" s="132"/>
      <c r="X195" s="132"/>
      <c r="Y195" s="133"/>
      <c r="Z195" s="126" t="s">
        <v>64</v>
      </c>
      <c r="AA195" s="134" t="s">
        <v>154</v>
      </c>
      <c r="AB195" s="134" t="s">
        <v>1330</v>
      </c>
      <c r="AC195" s="134"/>
      <c r="AD195" s="134">
        <v>44516</v>
      </c>
      <c r="AE195" s="134"/>
      <c r="AF195" s="134">
        <f t="shared" ca="1" si="14"/>
        <v>44963</v>
      </c>
      <c r="AG195" s="126">
        <f t="shared" ca="1" si="11"/>
        <v>447</v>
      </c>
      <c r="AH195" s="126" t="str">
        <f t="shared" si="12"/>
        <v/>
      </c>
      <c r="AI195" s="134"/>
      <c r="AJ195" s="143" t="s">
        <v>2688</v>
      </c>
      <c r="AK195" s="129">
        <v>8.2850000000000001</v>
      </c>
      <c r="AL195" s="129">
        <v>8.2949999999999999</v>
      </c>
      <c r="AM195" s="129">
        <v>8.3199999999999985</v>
      </c>
      <c r="AN195" s="129">
        <v>8.3249999999999993</v>
      </c>
      <c r="AO195" s="126" t="str">
        <f t="shared" si="13"/>
        <v/>
      </c>
      <c r="AR195" s="99" t="s">
        <v>136</v>
      </c>
    </row>
    <row r="196" spans="1:59" s="99" customFormat="1" ht="21" customHeight="1" x14ac:dyDescent="0.35">
      <c r="A196" s="99">
        <v>422</v>
      </c>
      <c r="B196" s="126" t="str">
        <f t="shared" ref="B196:B259" si="15">IF(C196="HOLD RM","HOLD RM",IF(C196="BAL","WIP",IF(C196="HOLD SLT","HOLD SLT",IF(C196="MILL","RM",IF(C196="RE SLT","WIP",IF(C196="RM","RM",IF(C196="RM BAL","RM",IF(C196="RM SLT","RM",IF(C196="RR","WIP",IF(C196="SKP","WIP",IF(C196="SLT","WIP",IF(C196="CTL","WIP",IF(C196="RM SLT RUST","RM SLT RUST",0)))))))))))))&amp;"-"&amp;G196&amp;"/"&amp;IF(H196="2B","2B",IF(H196="NO.1","1D",IF(H196="FH","FH",0)))&amp;"-"&amp;IF(J196="",(TEXT(I196,"0.00")),TEXT(J196,"0.00"))&amp;"X"&amp;M196</f>
        <v>0-304L/1D-003X770</v>
      </c>
      <c r="C196" s="126" t="s">
        <v>2828</v>
      </c>
      <c r="D196" s="126" t="s">
        <v>11</v>
      </c>
      <c r="E196" s="143" t="s">
        <v>2829</v>
      </c>
      <c r="F196" s="143" t="s">
        <v>2830</v>
      </c>
      <c r="G196" s="126" t="s">
        <v>230</v>
      </c>
      <c r="H196" s="126" t="s">
        <v>139</v>
      </c>
      <c r="I196" s="127">
        <v>2.9</v>
      </c>
      <c r="J196" s="127"/>
      <c r="K196" s="127"/>
      <c r="L196" s="127"/>
      <c r="M196" s="144">
        <v>770</v>
      </c>
      <c r="N196" s="129">
        <v>8.4749999999999996</v>
      </c>
      <c r="O196" s="129">
        <v>8.4749999999999996</v>
      </c>
      <c r="P196" s="129"/>
      <c r="Q196" s="130"/>
      <c r="R196" s="131"/>
      <c r="S196" s="131"/>
      <c r="T196" s="132">
        <v>44608</v>
      </c>
      <c r="U196" s="132"/>
      <c r="V196" s="132"/>
      <c r="W196" s="132"/>
      <c r="X196" s="132"/>
      <c r="Y196" s="133"/>
      <c r="Z196" s="126" t="s">
        <v>64</v>
      </c>
      <c r="AA196" s="134" t="s">
        <v>154</v>
      </c>
      <c r="AB196" s="134" t="s">
        <v>1296</v>
      </c>
      <c r="AC196" s="134"/>
      <c r="AD196" s="134">
        <v>44516</v>
      </c>
      <c r="AE196" s="134"/>
      <c r="AF196" s="134">
        <f t="shared" ca="1" si="14"/>
        <v>44963</v>
      </c>
      <c r="AG196" s="126">
        <f t="shared" ref="AG196:AG259" ca="1" si="16">IF(AD196&lt;&gt;0,AF196-AD196,0)</f>
        <v>447</v>
      </c>
      <c r="AH196" s="126" t="str">
        <f t="shared" ref="AH196:AH259" si="17">IF(ISNUMBER(V196)=TRUE,AF196-V196,IF(V196="","",(AF196)-(MID(RIGHT(V196,10),4,2)&amp;"/"&amp;LEFT((RIGHT(V196,10)),2)&amp;"/"&amp;RIGHT(V196,4))))</f>
        <v/>
      </c>
      <c r="AI196" s="134"/>
      <c r="AJ196" s="143" t="s">
        <v>2684</v>
      </c>
      <c r="AK196" s="129">
        <v>8.4749999999999996</v>
      </c>
      <c r="AL196" s="129">
        <v>8.4849999999999994</v>
      </c>
      <c r="AM196" s="129">
        <v>8.509999999999998</v>
      </c>
      <c r="AN196" s="129">
        <v>8.5149999999999988</v>
      </c>
      <c r="AO196" s="126" t="str">
        <f t="shared" ref="AO196:AO259" si="18">IF(ISNUMBER(U196)=TRUE,AF196-U196,IF(U196="","",(AF196)-(MID(RIGHT(U196,10),4,2)&amp;"/"&amp;LEFT((RIGHT(U196,10)),2)&amp;"/"&amp;RIGHT(U196,4))))</f>
        <v/>
      </c>
      <c r="AR196" s="99" t="s">
        <v>136</v>
      </c>
    </row>
    <row r="197" spans="1:59" s="99" customFormat="1" ht="21" customHeight="1" x14ac:dyDescent="0.35">
      <c r="A197" s="99">
        <v>422</v>
      </c>
      <c r="B197" s="126" t="str">
        <f t="shared" si="15"/>
        <v>0-304L/FH-001X766</v>
      </c>
      <c r="C197" s="126" t="s">
        <v>2827</v>
      </c>
      <c r="D197" s="126" t="s">
        <v>13</v>
      </c>
      <c r="E197" s="143" t="s">
        <v>2825</v>
      </c>
      <c r="F197" s="143" t="s">
        <v>2826</v>
      </c>
      <c r="G197" s="126" t="s">
        <v>230</v>
      </c>
      <c r="H197" s="126" t="s">
        <v>65</v>
      </c>
      <c r="I197" s="127">
        <v>2.88</v>
      </c>
      <c r="J197" s="127">
        <v>0.9</v>
      </c>
      <c r="K197" s="127"/>
      <c r="L197" s="127"/>
      <c r="M197" s="144">
        <v>766</v>
      </c>
      <c r="N197" s="129">
        <v>7.0049999999999999</v>
      </c>
      <c r="O197" s="129">
        <v>7.0449999999999999</v>
      </c>
      <c r="P197" s="129"/>
      <c r="Q197" s="130"/>
      <c r="R197" s="131"/>
      <c r="S197" s="131"/>
      <c r="T197" s="132">
        <v>44607</v>
      </c>
      <c r="U197" s="132"/>
      <c r="V197" s="132"/>
      <c r="W197" s="132"/>
      <c r="X197" s="132"/>
      <c r="Y197" s="133"/>
      <c r="Z197" s="126" t="s">
        <v>64</v>
      </c>
      <c r="AA197" s="134" t="s">
        <v>154</v>
      </c>
      <c r="AB197" s="134" t="s">
        <v>1296</v>
      </c>
      <c r="AC197" s="134"/>
      <c r="AD197" s="134">
        <v>44516</v>
      </c>
      <c r="AE197" s="134"/>
      <c r="AF197" s="134">
        <f t="shared" ca="1" si="14"/>
        <v>44963</v>
      </c>
      <c r="AG197" s="126">
        <f t="shared" ca="1" si="16"/>
        <v>447</v>
      </c>
      <c r="AH197" s="126" t="str">
        <f t="shared" si="17"/>
        <v/>
      </c>
      <c r="AI197" s="134"/>
      <c r="AJ197" s="143" t="s">
        <v>2708</v>
      </c>
      <c r="AK197" s="129">
        <v>7.0049999999999999</v>
      </c>
      <c r="AL197" s="129">
        <v>7.0149999999999997</v>
      </c>
      <c r="AM197" s="129">
        <v>7.04</v>
      </c>
      <c r="AN197" s="129">
        <v>7.0449999999999999</v>
      </c>
      <c r="AO197" s="126" t="str">
        <f t="shared" si="18"/>
        <v/>
      </c>
      <c r="AR197" s="99" t="s">
        <v>136</v>
      </c>
    </row>
    <row r="198" spans="1:59" s="99" customFormat="1" ht="21" customHeight="1" x14ac:dyDescent="0.35">
      <c r="A198" s="99">
        <v>421</v>
      </c>
      <c r="B198" s="126" t="str">
        <f t="shared" si="15"/>
        <v>0-304L/2B-001X770</v>
      </c>
      <c r="C198" s="126" t="s">
        <v>2831</v>
      </c>
      <c r="D198" s="126" t="s">
        <v>403</v>
      </c>
      <c r="E198" s="143" t="s">
        <v>1204</v>
      </c>
      <c r="F198" s="143" t="s">
        <v>2832</v>
      </c>
      <c r="G198" s="126" t="s">
        <v>230</v>
      </c>
      <c r="H198" s="126" t="s">
        <v>116</v>
      </c>
      <c r="I198" s="127">
        <v>3.79</v>
      </c>
      <c r="J198" s="127">
        <v>1.2</v>
      </c>
      <c r="K198" s="127"/>
      <c r="L198" s="127"/>
      <c r="M198" s="144">
        <v>770</v>
      </c>
      <c r="N198" s="129">
        <v>9.8450000000000006</v>
      </c>
      <c r="O198" s="129">
        <v>9.8450000000000006</v>
      </c>
      <c r="P198" s="129"/>
      <c r="Q198" s="130" t="s">
        <v>1206</v>
      </c>
      <c r="R198" s="130" t="s">
        <v>1207</v>
      </c>
      <c r="S198" s="131" t="s">
        <v>1208</v>
      </c>
      <c r="T198" s="132" t="s">
        <v>1209</v>
      </c>
      <c r="U198" s="132">
        <v>44506</v>
      </c>
      <c r="V198" s="132">
        <v>44548</v>
      </c>
      <c r="W198" s="132"/>
      <c r="X198" s="132"/>
      <c r="Y198" s="133"/>
      <c r="Z198" s="126" t="s">
        <v>64</v>
      </c>
      <c r="AA198" s="134" t="s">
        <v>154</v>
      </c>
      <c r="AB198" s="134" t="s">
        <v>1190</v>
      </c>
      <c r="AC198" s="134"/>
      <c r="AD198" s="134">
        <v>44496</v>
      </c>
      <c r="AE198" s="134"/>
      <c r="AF198" s="134">
        <f t="shared" ca="1" si="14"/>
        <v>44963</v>
      </c>
      <c r="AG198" s="126">
        <f t="shared" ca="1" si="16"/>
        <v>467</v>
      </c>
      <c r="AH198" s="126">
        <f t="shared" ca="1" si="17"/>
        <v>415</v>
      </c>
      <c r="AI198" s="134"/>
      <c r="AJ198" s="143" t="s">
        <v>1212</v>
      </c>
      <c r="AK198" s="129">
        <v>9.9700000000000006</v>
      </c>
      <c r="AL198" s="129">
        <v>9.98</v>
      </c>
      <c r="AM198" s="129">
        <v>10.004999999999999</v>
      </c>
      <c r="AN198" s="129">
        <v>10.01</v>
      </c>
      <c r="AO198" s="126">
        <f t="shared" ca="1" si="18"/>
        <v>457</v>
      </c>
      <c r="AR198" s="99" t="s">
        <v>136</v>
      </c>
      <c r="BG198" s="135" t="s">
        <v>1213</v>
      </c>
    </row>
    <row r="199" spans="1:59" s="99" customFormat="1" ht="21" customHeight="1" x14ac:dyDescent="0.35">
      <c r="A199" s="99">
        <v>402</v>
      </c>
      <c r="B199" s="126" t="str">
        <f t="shared" si="15"/>
        <v>0-304/304L/FH-001X770</v>
      </c>
      <c r="C199" s="126" t="s">
        <v>2827</v>
      </c>
      <c r="D199" s="126" t="s">
        <v>13</v>
      </c>
      <c r="E199" s="143" t="s">
        <v>2811</v>
      </c>
      <c r="F199" s="143" t="s">
        <v>2812</v>
      </c>
      <c r="G199" s="126" t="s">
        <v>377</v>
      </c>
      <c r="H199" s="126" t="s">
        <v>65</v>
      </c>
      <c r="I199" s="127">
        <v>1.5</v>
      </c>
      <c r="J199" s="127">
        <v>0.8</v>
      </c>
      <c r="K199" s="127"/>
      <c r="L199" s="127"/>
      <c r="M199" s="144">
        <v>770</v>
      </c>
      <c r="N199" s="129">
        <v>3.9649999999999999</v>
      </c>
      <c r="O199" s="129">
        <v>3.9550000000000001</v>
      </c>
      <c r="P199" s="129"/>
      <c r="Q199" s="130" t="s">
        <v>117</v>
      </c>
      <c r="R199" s="131" t="s">
        <v>2813</v>
      </c>
      <c r="S199" s="131" t="s">
        <v>2814</v>
      </c>
      <c r="T199" s="132" t="s">
        <v>2815</v>
      </c>
      <c r="U199" s="132">
        <v>44396</v>
      </c>
      <c r="V199" s="132">
        <v>44402</v>
      </c>
      <c r="W199" s="132">
        <v>44403</v>
      </c>
      <c r="X199" s="132"/>
      <c r="Y199" s="133"/>
      <c r="Z199" s="126" t="s">
        <v>64</v>
      </c>
      <c r="AA199" s="134" t="s">
        <v>154</v>
      </c>
      <c r="AB199" s="134" t="s">
        <v>2816</v>
      </c>
      <c r="AC199" s="134"/>
      <c r="AD199" s="134">
        <v>44388</v>
      </c>
      <c r="AE199" s="134"/>
      <c r="AF199" s="134">
        <f t="shared" ca="1" si="14"/>
        <v>44963</v>
      </c>
      <c r="AG199" s="126">
        <f t="shared" ca="1" si="16"/>
        <v>575</v>
      </c>
      <c r="AH199" s="126">
        <f t="shared" ca="1" si="17"/>
        <v>561</v>
      </c>
      <c r="AI199" s="134"/>
      <c r="AJ199" s="143" t="s">
        <v>2817</v>
      </c>
      <c r="AK199" s="129">
        <v>12.175000000000001</v>
      </c>
      <c r="AL199" s="129">
        <v>12.185</v>
      </c>
      <c r="AM199" s="129">
        <v>12.209999999999999</v>
      </c>
      <c r="AN199" s="129">
        <v>12.215</v>
      </c>
      <c r="AO199" s="126">
        <f t="shared" ca="1" si="18"/>
        <v>567</v>
      </c>
      <c r="AR199" s="99" t="s">
        <v>136</v>
      </c>
      <c r="BG199" s="135" t="s">
        <v>137</v>
      </c>
    </row>
    <row r="200" spans="1:59" s="99" customFormat="1" ht="21" customHeight="1" x14ac:dyDescent="0.35">
      <c r="A200" s="99">
        <v>421</v>
      </c>
      <c r="B200" s="126" t="str">
        <f t="shared" si="15"/>
        <v>0-304L/1D-003X770</v>
      </c>
      <c r="C200" s="126" t="s">
        <v>2828</v>
      </c>
      <c r="D200" s="126" t="s">
        <v>11</v>
      </c>
      <c r="E200" s="143" t="s">
        <v>2833</v>
      </c>
      <c r="F200" s="143" t="s">
        <v>2834</v>
      </c>
      <c r="G200" s="126" t="s">
        <v>230</v>
      </c>
      <c r="H200" s="126" t="s">
        <v>139</v>
      </c>
      <c r="I200" s="127">
        <v>2.96</v>
      </c>
      <c r="J200" s="127"/>
      <c r="K200" s="127"/>
      <c r="L200" s="127"/>
      <c r="M200" s="144">
        <v>770</v>
      </c>
      <c r="N200" s="129">
        <v>10.1</v>
      </c>
      <c r="O200" s="129">
        <v>10.1</v>
      </c>
      <c r="P200" s="129"/>
      <c r="Q200" s="130"/>
      <c r="R200" s="131"/>
      <c r="S200" s="131"/>
      <c r="T200" s="132">
        <v>44608</v>
      </c>
      <c r="U200" s="132"/>
      <c r="V200" s="132"/>
      <c r="W200" s="132"/>
      <c r="X200" s="132"/>
      <c r="Y200" s="133"/>
      <c r="Z200" s="126" t="s">
        <v>64</v>
      </c>
      <c r="AA200" s="134" t="s">
        <v>154</v>
      </c>
      <c r="AB200" s="134" t="s">
        <v>1246</v>
      </c>
      <c r="AC200" s="134"/>
      <c r="AD200" s="134">
        <v>44496</v>
      </c>
      <c r="AE200" s="134"/>
      <c r="AF200" s="134">
        <f t="shared" ca="1" si="14"/>
        <v>44963</v>
      </c>
      <c r="AG200" s="126">
        <f t="shared" ca="1" si="16"/>
        <v>467</v>
      </c>
      <c r="AH200" s="126" t="str">
        <f t="shared" si="17"/>
        <v/>
      </c>
      <c r="AI200" s="134"/>
      <c r="AJ200" s="143" t="s">
        <v>2798</v>
      </c>
      <c r="AK200" s="129">
        <v>10.1</v>
      </c>
      <c r="AL200" s="129">
        <v>10.11</v>
      </c>
      <c r="AM200" s="129">
        <v>10.134999999999998</v>
      </c>
      <c r="AN200" s="129">
        <v>10.139999999999999</v>
      </c>
      <c r="AO200" s="126" t="str">
        <f t="shared" si="18"/>
        <v/>
      </c>
      <c r="AR200" s="99" t="s">
        <v>136</v>
      </c>
    </row>
    <row r="201" spans="1:59" s="99" customFormat="1" ht="21" customHeight="1" x14ac:dyDescent="0.35">
      <c r="A201" s="99">
        <v>424</v>
      </c>
      <c r="B201" s="126" t="str">
        <f t="shared" si="15"/>
        <v>0-304/FH-001X767</v>
      </c>
      <c r="C201" s="126" t="s">
        <v>2827</v>
      </c>
      <c r="D201" s="126" t="s">
        <v>13</v>
      </c>
      <c r="E201" s="143" t="s">
        <v>1772</v>
      </c>
      <c r="F201" s="143" t="s">
        <v>1773</v>
      </c>
      <c r="G201" s="126">
        <v>304</v>
      </c>
      <c r="H201" s="126" t="s">
        <v>65</v>
      </c>
      <c r="I201" s="127">
        <v>3.89</v>
      </c>
      <c r="J201" s="127">
        <v>1.45</v>
      </c>
      <c r="K201" s="127"/>
      <c r="L201" s="127"/>
      <c r="M201" s="144">
        <v>767</v>
      </c>
      <c r="N201" s="129">
        <v>10.38</v>
      </c>
      <c r="O201" s="129">
        <v>10.39</v>
      </c>
      <c r="P201" s="129"/>
      <c r="Q201" s="130"/>
      <c r="R201" s="131"/>
      <c r="S201" s="131"/>
      <c r="T201" s="132">
        <v>44607</v>
      </c>
      <c r="U201" s="132"/>
      <c r="V201" s="132"/>
      <c r="W201" s="132"/>
      <c r="X201" s="132"/>
      <c r="Y201" s="133" t="s">
        <v>1395</v>
      </c>
      <c r="Z201" s="126" t="s">
        <v>64</v>
      </c>
      <c r="AA201" s="134" t="s">
        <v>154</v>
      </c>
      <c r="AB201" s="134" t="s">
        <v>1516</v>
      </c>
      <c r="AC201" s="134"/>
      <c r="AD201" s="134">
        <v>44554</v>
      </c>
      <c r="AE201" s="134"/>
      <c r="AF201" s="134">
        <f t="shared" ca="1" si="14"/>
        <v>44963</v>
      </c>
      <c r="AG201" s="126">
        <f t="shared" ca="1" si="16"/>
        <v>409</v>
      </c>
      <c r="AH201" s="126" t="str">
        <f t="shared" si="17"/>
        <v/>
      </c>
      <c r="AI201" s="134"/>
      <c r="AJ201" s="143" t="s">
        <v>1774</v>
      </c>
      <c r="AK201" s="129">
        <v>10.38</v>
      </c>
      <c r="AL201" s="129">
        <v>10.39</v>
      </c>
      <c r="AM201" s="129">
        <v>10.414999999999999</v>
      </c>
      <c r="AN201" s="129">
        <v>10.42</v>
      </c>
      <c r="AO201" s="126" t="str">
        <f t="shared" si="18"/>
        <v/>
      </c>
      <c r="AR201" s="99" t="s">
        <v>136</v>
      </c>
    </row>
    <row r="202" spans="1:59" s="99" customFormat="1" ht="21" customHeight="1" x14ac:dyDescent="0.35">
      <c r="A202" s="99">
        <v>421</v>
      </c>
      <c r="B202" s="126" t="str">
        <f t="shared" si="15"/>
        <v>0-304/1D-003X770</v>
      </c>
      <c r="C202" s="126" t="s">
        <v>2828</v>
      </c>
      <c r="D202" s="126" t="s">
        <v>11</v>
      </c>
      <c r="E202" s="143" t="s">
        <v>2835</v>
      </c>
      <c r="F202" s="143" t="s">
        <v>2836</v>
      </c>
      <c r="G202" s="126">
        <v>304</v>
      </c>
      <c r="H202" s="126" t="s">
        <v>139</v>
      </c>
      <c r="I202" s="127">
        <v>3</v>
      </c>
      <c r="J202" s="127"/>
      <c r="K202" s="127"/>
      <c r="L202" s="127"/>
      <c r="M202" s="144">
        <v>770</v>
      </c>
      <c r="N202" s="129">
        <v>10.494999999999999</v>
      </c>
      <c r="O202" s="129">
        <v>10.494999999999999</v>
      </c>
      <c r="P202" s="129"/>
      <c r="Q202" s="130"/>
      <c r="R202" s="131"/>
      <c r="S202" s="131"/>
      <c r="T202" s="132">
        <v>44608</v>
      </c>
      <c r="U202" s="132"/>
      <c r="V202" s="132"/>
      <c r="W202" s="132"/>
      <c r="X202" s="132"/>
      <c r="Y202" s="133"/>
      <c r="Z202" s="126" t="s">
        <v>64</v>
      </c>
      <c r="AA202" s="134" t="s">
        <v>154</v>
      </c>
      <c r="AB202" s="134" t="s">
        <v>1239</v>
      </c>
      <c r="AC202" s="134"/>
      <c r="AD202" s="134">
        <v>44496</v>
      </c>
      <c r="AE202" s="134"/>
      <c r="AF202" s="134">
        <f t="shared" ca="1" si="14"/>
        <v>44963</v>
      </c>
      <c r="AG202" s="126">
        <f t="shared" ca="1" si="16"/>
        <v>467</v>
      </c>
      <c r="AH202" s="126" t="str">
        <f t="shared" si="17"/>
        <v/>
      </c>
      <c r="AI202" s="134"/>
      <c r="AJ202" s="143" t="s">
        <v>2837</v>
      </c>
      <c r="AK202" s="129">
        <v>10.494999999999999</v>
      </c>
      <c r="AL202" s="129">
        <v>10.505000000000001</v>
      </c>
      <c r="AM202" s="129">
        <v>10.53</v>
      </c>
      <c r="AN202" s="129">
        <v>10.535</v>
      </c>
      <c r="AO202" s="126" t="str">
        <f t="shared" si="18"/>
        <v/>
      </c>
      <c r="AR202" s="99" t="s">
        <v>136</v>
      </c>
    </row>
    <row r="203" spans="1:59" s="99" customFormat="1" ht="21" customHeight="1" x14ac:dyDescent="0.35">
      <c r="A203" s="99">
        <v>422</v>
      </c>
      <c r="B203" s="126" t="str">
        <f t="shared" si="15"/>
        <v>0-304L/FH-001X770</v>
      </c>
      <c r="C203" s="126" t="s">
        <v>2838</v>
      </c>
      <c r="D203" s="126" t="s">
        <v>13</v>
      </c>
      <c r="E203" s="143" t="s">
        <v>2829</v>
      </c>
      <c r="F203" s="143" t="s">
        <v>2830</v>
      </c>
      <c r="G203" s="126" t="s">
        <v>230</v>
      </c>
      <c r="H203" s="126" t="s">
        <v>65</v>
      </c>
      <c r="I203" s="127">
        <v>2.9</v>
      </c>
      <c r="J203" s="127">
        <v>0.9</v>
      </c>
      <c r="K203" s="127"/>
      <c r="L203" s="127"/>
      <c r="M203" s="144">
        <v>770</v>
      </c>
      <c r="N203" s="129">
        <v>8.4749999999999996</v>
      </c>
      <c r="O203" s="129">
        <v>8.4749999999999996</v>
      </c>
      <c r="P203" s="129"/>
      <c r="Q203" s="130"/>
      <c r="R203" s="131"/>
      <c r="S203" s="131"/>
      <c r="T203" s="132">
        <v>44608</v>
      </c>
      <c r="U203" s="132"/>
      <c r="V203" s="132"/>
      <c r="W203" s="132"/>
      <c r="X203" s="132"/>
      <c r="Y203" s="133"/>
      <c r="Z203" s="126" t="s">
        <v>64</v>
      </c>
      <c r="AA203" s="134" t="s">
        <v>154</v>
      </c>
      <c r="AB203" s="134" t="s">
        <v>1296</v>
      </c>
      <c r="AC203" s="134"/>
      <c r="AD203" s="134">
        <v>44516</v>
      </c>
      <c r="AE203" s="134"/>
      <c r="AF203" s="134">
        <f t="shared" ca="1" si="14"/>
        <v>44963</v>
      </c>
      <c r="AG203" s="126">
        <f t="shared" ca="1" si="16"/>
        <v>447</v>
      </c>
      <c r="AH203" s="126" t="str">
        <f t="shared" si="17"/>
        <v/>
      </c>
      <c r="AI203" s="134"/>
      <c r="AJ203" s="143" t="s">
        <v>2684</v>
      </c>
      <c r="AK203" s="129">
        <v>8.4749999999999996</v>
      </c>
      <c r="AL203" s="129">
        <v>8.4849999999999994</v>
      </c>
      <c r="AM203" s="129">
        <v>8.509999999999998</v>
      </c>
      <c r="AN203" s="129">
        <v>8.5149999999999988</v>
      </c>
      <c r="AO203" s="126" t="str">
        <f t="shared" si="18"/>
        <v/>
      </c>
      <c r="AR203" s="99" t="s">
        <v>136</v>
      </c>
    </row>
    <row r="204" spans="1:59" s="99" customFormat="1" ht="21" customHeight="1" x14ac:dyDescent="0.35">
      <c r="A204" s="99">
        <v>424</v>
      </c>
      <c r="B204" s="126" t="str">
        <f t="shared" si="15"/>
        <v>0-304L/1D-003X766</v>
      </c>
      <c r="C204" s="126" t="s">
        <v>2839</v>
      </c>
      <c r="D204" s="126" t="s">
        <v>11</v>
      </c>
      <c r="E204" s="143" t="s">
        <v>1535</v>
      </c>
      <c r="F204" s="143" t="s">
        <v>1536</v>
      </c>
      <c r="G204" s="126" t="s">
        <v>230</v>
      </c>
      <c r="H204" s="126" t="s">
        <v>139</v>
      </c>
      <c r="I204" s="127">
        <v>3.37</v>
      </c>
      <c r="J204" s="127"/>
      <c r="K204" s="127"/>
      <c r="L204" s="127"/>
      <c r="M204" s="144">
        <v>766</v>
      </c>
      <c r="N204" s="129">
        <v>10.29</v>
      </c>
      <c r="O204" s="129">
        <v>10.29</v>
      </c>
      <c r="P204" s="129"/>
      <c r="Q204" s="130"/>
      <c r="R204" s="131"/>
      <c r="S204" s="131"/>
      <c r="T204" s="132">
        <v>44609</v>
      </c>
      <c r="U204" s="132"/>
      <c r="V204" s="132"/>
      <c r="W204" s="132"/>
      <c r="X204" s="132"/>
      <c r="Y204" s="133" t="s">
        <v>1395</v>
      </c>
      <c r="Z204" s="126" t="s">
        <v>64</v>
      </c>
      <c r="AA204" s="134" t="s">
        <v>154</v>
      </c>
      <c r="AB204" s="134" t="s">
        <v>1516</v>
      </c>
      <c r="AC204" s="134"/>
      <c r="AD204" s="134">
        <v>44554</v>
      </c>
      <c r="AE204" s="134"/>
      <c r="AF204" s="134">
        <f t="shared" ref="AF204:AF270" ca="1" si="19">TODAY()</f>
        <v>44963</v>
      </c>
      <c r="AG204" s="126">
        <f t="shared" ca="1" si="16"/>
        <v>409</v>
      </c>
      <c r="AH204" s="126" t="str">
        <f t="shared" si="17"/>
        <v/>
      </c>
      <c r="AI204" s="134"/>
      <c r="AJ204" s="143" t="s">
        <v>1537</v>
      </c>
      <c r="AK204" s="129">
        <v>10.29</v>
      </c>
      <c r="AL204" s="129">
        <v>10.3</v>
      </c>
      <c r="AM204" s="129">
        <v>10.324999999999999</v>
      </c>
      <c r="AN204" s="129">
        <v>10.33</v>
      </c>
      <c r="AO204" s="126" t="str">
        <f t="shared" si="18"/>
        <v/>
      </c>
      <c r="AR204" s="99" t="s">
        <v>136</v>
      </c>
    </row>
    <row r="205" spans="1:59" s="99" customFormat="1" ht="21" customHeight="1" x14ac:dyDescent="0.35">
      <c r="A205" s="99">
        <v>421</v>
      </c>
      <c r="B205" s="126" t="str">
        <f t="shared" si="15"/>
        <v>0-304/FH-001X770</v>
      </c>
      <c r="C205" s="126" t="s">
        <v>2838</v>
      </c>
      <c r="D205" s="126" t="s">
        <v>13</v>
      </c>
      <c r="E205" s="143" t="s">
        <v>2835</v>
      </c>
      <c r="F205" s="143" t="s">
        <v>2836</v>
      </c>
      <c r="G205" s="126">
        <v>304</v>
      </c>
      <c r="H205" s="126" t="s">
        <v>65</v>
      </c>
      <c r="I205" s="127">
        <v>3</v>
      </c>
      <c r="J205" s="127">
        <v>1</v>
      </c>
      <c r="K205" s="127"/>
      <c r="L205" s="127"/>
      <c r="M205" s="144">
        <v>770</v>
      </c>
      <c r="N205" s="129">
        <v>10.494999999999999</v>
      </c>
      <c r="O205" s="129">
        <v>10.505000000000001</v>
      </c>
      <c r="P205" s="129"/>
      <c r="Q205" s="130"/>
      <c r="R205" s="131"/>
      <c r="S205" s="131"/>
      <c r="T205" s="132">
        <v>44608</v>
      </c>
      <c r="U205" s="132"/>
      <c r="V205" s="132"/>
      <c r="W205" s="132"/>
      <c r="X205" s="132"/>
      <c r="Y205" s="133"/>
      <c r="Z205" s="126" t="s">
        <v>64</v>
      </c>
      <c r="AA205" s="134" t="s">
        <v>154</v>
      </c>
      <c r="AB205" s="134" t="s">
        <v>1239</v>
      </c>
      <c r="AC205" s="134"/>
      <c r="AD205" s="134">
        <v>44496</v>
      </c>
      <c r="AE205" s="134"/>
      <c r="AF205" s="134">
        <f t="shared" ca="1" si="19"/>
        <v>44963</v>
      </c>
      <c r="AG205" s="126">
        <f t="shared" ca="1" si="16"/>
        <v>467</v>
      </c>
      <c r="AH205" s="126" t="str">
        <f t="shared" si="17"/>
        <v/>
      </c>
      <c r="AI205" s="134"/>
      <c r="AJ205" s="143" t="s">
        <v>2837</v>
      </c>
      <c r="AK205" s="129">
        <v>10.494999999999999</v>
      </c>
      <c r="AL205" s="129">
        <v>10.505000000000001</v>
      </c>
      <c r="AM205" s="129">
        <v>10.53</v>
      </c>
      <c r="AN205" s="129">
        <v>10.535</v>
      </c>
      <c r="AO205" s="126" t="str">
        <f t="shared" si="18"/>
        <v/>
      </c>
      <c r="AR205" s="99" t="s">
        <v>136</v>
      </c>
    </row>
    <row r="206" spans="1:59" s="99" customFormat="1" ht="21" customHeight="1" x14ac:dyDescent="0.35">
      <c r="A206" s="99">
        <v>422</v>
      </c>
      <c r="B206" s="126" t="str">
        <f t="shared" si="15"/>
        <v>0-304L/1D-003X766</v>
      </c>
      <c r="C206" s="126" t="s">
        <v>2839</v>
      </c>
      <c r="D206" s="126" t="s">
        <v>11</v>
      </c>
      <c r="E206" s="143" t="s">
        <v>2840</v>
      </c>
      <c r="F206" s="143" t="s">
        <v>2841</v>
      </c>
      <c r="G206" s="126" t="s">
        <v>230</v>
      </c>
      <c r="H206" s="126" t="s">
        <v>139</v>
      </c>
      <c r="I206" s="127">
        <v>2.9</v>
      </c>
      <c r="J206" s="127"/>
      <c r="K206" s="127"/>
      <c r="L206" s="127"/>
      <c r="M206" s="144">
        <v>766</v>
      </c>
      <c r="N206" s="129">
        <v>8.34</v>
      </c>
      <c r="O206" s="129">
        <v>8.34</v>
      </c>
      <c r="P206" s="129"/>
      <c r="Q206" s="130"/>
      <c r="R206" s="131"/>
      <c r="S206" s="131"/>
      <c r="T206" s="132">
        <v>44609</v>
      </c>
      <c r="U206" s="132"/>
      <c r="V206" s="132"/>
      <c r="W206" s="132"/>
      <c r="X206" s="132"/>
      <c r="Y206" s="133"/>
      <c r="Z206" s="126" t="s">
        <v>64</v>
      </c>
      <c r="AA206" s="134" t="s">
        <v>154</v>
      </c>
      <c r="AB206" s="134" t="s">
        <v>1296</v>
      </c>
      <c r="AC206" s="134"/>
      <c r="AD206" s="134">
        <v>44516</v>
      </c>
      <c r="AE206" s="134"/>
      <c r="AF206" s="134">
        <f t="shared" ca="1" si="19"/>
        <v>44963</v>
      </c>
      <c r="AG206" s="126">
        <f t="shared" ca="1" si="16"/>
        <v>447</v>
      </c>
      <c r="AH206" s="126" t="str">
        <f t="shared" si="17"/>
        <v/>
      </c>
      <c r="AI206" s="134"/>
      <c r="AJ206" s="143" t="s">
        <v>1307</v>
      </c>
      <c r="AK206" s="129">
        <v>8.34</v>
      </c>
      <c r="AL206" s="129">
        <v>8.35</v>
      </c>
      <c r="AM206" s="129">
        <v>8.3749999999999982</v>
      </c>
      <c r="AN206" s="129">
        <v>8.379999999999999</v>
      </c>
      <c r="AO206" s="126" t="str">
        <f t="shared" si="18"/>
        <v/>
      </c>
      <c r="AR206" s="99" t="s">
        <v>136</v>
      </c>
    </row>
    <row r="207" spans="1:59" s="99" customFormat="1" ht="21" customHeight="1" x14ac:dyDescent="0.35">
      <c r="A207" s="99">
        <v>421</v>
      </c>
      <c r="B207" s="126" t="str">
        <f t="shared" si="15"/>
        <v>0-304L/FH-001X770</v>
      </c>
      <c r="C207" s="126" t="s">
        <v>2838</v>
      </c>
      <c r="D207" s="126" t="s">
        <v>13</v>
      </c>
      <c r="E207" s="143" t="s">
        <v>1204</v>
      </c>
      <c r="F207" s="143" t="s">
        <v>2832</v>
      </c>
      <c r="G207" s="126" t="s">
        <v>230</v>
      </c>
      <c r="H207" s="126" t="s">
        <v>65</v>
      </c>
      <c r="I207" s="127">
        <v>1.2</v>
      </c>
      <c r="J207" s="127">
        <v>0.6</v>
      </c>
      <c r="K207" s="127"/>
      <c r="L207" s="127"/>
      <c r="M207" s="144">
        <v>770</v>
      </c>
      <c r="N207" s="129">
        <v>9.8450000000000006</v>
      </c>
      <c r="O207" s="129">
        <v>9.91</v>
      </c>
      <c r="P207" s="129"/>
      <c r="Q207" s="130" t="s">
        <v>1206</v>
      </c>
      <c r="R207" s="130" t="s">
        <v>1207</v>
      </c>
      <c r="S207" s="131" t="s">
        <v>1208</v>
      </c>
      <c r="T207" s="132" t="s">
        <v>1209</v>
      </c>
      <c r="U207" s="132">
        <v>44506</v>
      </c>
      <c r="V207" s="132">
        <v>44548</v>
      </c>
      <c r="W207" s="132"/>
      <c r="X207" s="132"/>
      <c r="Y207" s="133"/>
      <c r="Z207" s="126" t="s">
        <v>64</v>
      </c>
      <c r="AA207" s="134" t="s">
        <v>154</v>
      </c>
      <c r="AB207" s="134" t="s">
        <v>1190</v>
      </c>
      <c r="AC207" s="134"/>
      <c r="AD207" s="134">
        <v>44496</v>
      </c>
      <c r="AE207" s="134"/>
      <c r="AF207" s="134">
        <f t="shared" ca="1" si="19"/>
        <v>44963</v>
      </c>
      <c r="AG207" s="126">
        <f t="shared" ca="1" si="16"/>
        <v>467</v>
      </c>
      <c r="AH207" s="126">
        <f t="shared" ca="1" si="17"/>
        <v>415</v>
      </c>
      <c r="AI207" s="134"/>
      <c r="AJ207" s="143" t="s">
        <v>1212</v>
      </c>
      <c r="AK207" s="129">
        <v>9.9700000000000006</v>
      </c>
      <c r="AL207" s="129">
        <v>9.98</v>
      </c>
      <c r="AM207" s="129">
        <v>10.004999999999999</v>
      </c>
      <c r="AN207" s="129">
        <v>10.01</v>
      </c>
      <c r="AO207" s="126">
        <f t="shared" ca="1" si="18"/>
        <v>457</v>
      </c>
      <c r="AR207" s="99" t="s">
        <v>136</v>
      </c>
      <c r="BG207" s="135" t="s">
        <v>1213</v>
      </c>
    </row>
    <row r="208" spans="1:59" s="99" customFormat="1" ht="21" customHeight="1" x14ac:dyDescent="0.35">
      <c r="A208" s="99">
        <v>421</v>
      </c>
      <c r="B208" s="126" t="str">
        <f t="shared" si="15"/>
        <v>0-304L/1D-003X770</v>
      </c>
      <c r="C208" s="126" t="s">
        <v>2839</v>
      </c>
      <c r="D208" s="126" t="s">
        <v>11</v>
      </c>
      <c r="E208" s="143" t="s">
        <v>2842</v>
      </c>
      <c r="F208" s="143" t="s">
        <v>2843</v>
      </c>
      <c r="G208" s="126" t="s">
        <v>230</v>
      </c>
      <c r="H208" s="126" t="s">
        <v>139</v>
      </c>
      <c r="I208" s="127">
        <v>3</v>
      </c>
      <c r="J208" s="127"/>
      <c r="K208" s="127"/>
      <c r="L208" s="127"/>
      <c r="M208" s="144">
        <v>770</v>
      </c>
      <c r="N208" s="129">
        <v>9.2149999999999999</v>
      </c>
      <c r="O208" s="129">
        <v>9.2149999999999999</v>
      </c>
      <c r="P208" s="129"/>
      <c r="Q208" s="130"/>
      <c r="R208" s="131"/>
      <c r="S208" s="131"/>
      <c r="T208" s="132">
        <v>44609</v>
      </c>
      <c r="U208" s="132"/>
      <c r="V208" s="132"/>
      <c r="W208" s="132"/>
      <c r="X208" s="132"/>
      <c r="Y208" s="133"/>
      <c r="Z208" s="126" t="s">
        <v>64</v>
      </c>
      <c r="AA208" s="134" t="s">
        <v>154</v>
      </c>
      <c r="AB208" s="134" t="s">
        <v>1190</v>
      </c>
      <c r="AC208" s="134"/>
      <c r="AD208" s="134">
        <v>44496</v>
      </c>
      <c r="AE208" s="134"/>
      <c r="AF208" s="134">
        <f t="shared" ca="1" si="19"/>
        <v>44963</v>
      </c>
      <c r="AG208" s="126">
        <f t="shared" ca="1" si="16"/>
        <v>467</v>
      </c>
      <c r="AH208" s="126" t="str">
        <f t="shared" si="17"/>
        <v/>
      </c>
      <c r="AI208" s="134"/>
      <c r="AJ208" s="143" t="s">
        <v>2844</v>
      </c>
      <c r="AK208" s="129">
        <v>9.2149999999999999</v>
      </c>
      <c r="AL208" s="129">
        <v>9.2249999999999996</v>
      </c>
      <c r="AM208" s="129">
        <v>9.2499999999999982</v>
      </c>
      <c r="AN208" s="129">
        <v>9.254999999999999</v>
      </c>
      <c r="AO208" s="126" t="str">
        <f t="shared" si="18"/>
        <v/>
      </c>
      <c r="AR208" s="99" t="s">
        <v>136</v>
      </c>
    </row>
    <row r="209" spans="1:59" s="99" customFormat="1" ht="21" customHeight="1" x14ac:dyDescent="0.35">
      <c r="A209" s="99">
        <v>422</v>
      </c>
      <c r="B209" s="126" t="str">
        <f t="shared" si="15"/>
        <v>0-304L/FH-001X766</v>
      </c>
      <c r="C209" s="126" t="s">
        <v>2845</v>
      </c>
      <c r="D209" s="126" t="s">
        <v>13</v>
      </c>
      <c r="E209" s="143" t="s">
        <v>2840</v>
      </c>
      <c r="F209" s="143" t="s">
        <v>2841</v>
      </c>
      <c r="G209" s="126" t="s">
        <v>230</v>
      </c>
      <c r="H209" s="126" t="s">
        <v>65</v>
      </c>
      <c r="I209" s="127">
        <v>2.9</v>
      </c>
      <c r="J209" s="127">
        <v>0.9</v>
      </c>
      <c r="K209" s="127"/>
      <c r="L209" s="127"/>
      <c r="M209" s="144">
        <v>766</v>
      </c>
      <c r="N209" s="129">
        <v>8.34</v>
      </c>
      <c r="O209" s="129">
        <v>8.35</v>
      </c>
      <c r="P209" s="129"/>
      <c r="Q209" s="130"/>
      <c r="R209" s="131"/>
      <c r="S209" s="131"/>
      <c r="T209" s="132">
        <v>44609</v>
      </c>
      <c r="U209" s="132"/>
      <c r="V209" s="132"/>
      <c r="W209" s="132"/>
      <c r="X209" s="132"/>
      <c r="Y209" s="133"/>
      <c r="Z209" s="126" t="s">
        <v>64</v>
      </c>
      <c r="AA209" s="134" t="s">
        <v>154</v>
      </c>
      <c r="AB209" s="134" t="s">
        <v>1296</v>
      </c>
      <c r="AC209" s="134"/>
      <c r="AD209" s="134">
        <v>44516</v>
      </c>
      <c r="AE209" s="134"/>
      <c r="AF209" s="134">
        <f t="shared" ca="1" si="19"/>
        <v>44963</v>
      </c>
      <c r="AG209" s="126">
        <f t="shared" ca="1" si="16"/>
        <v>447</v>
      </c>
      <c r="AH209" s="126" t="str">
        <f t="shared" si="17"/>
        <v/>
      </c>
      <c r="AI209" s="134"/>
      <c r="AJ209" s="143" t="s">
        <v>1307</v>
      </c>
      <c r="AK209" s="129">
        <v>8.34</v>
      </c>
      <c r="AL209" s="129">
        <v>8.35</v>
      </c>
      <c r="AM209" s="129">
        <v>8.3749999999999982</v>
      </c>
      <c r="AN209" s="129">
        <v>8.379999999999999</v>
      </c>
      <c r="AO209" s="126" t="str">
        <f t="shared" si="18"/>
        <v/>
      </c>
      <c r="AR209" s="99" t="s">
        <v>136</v>
      </c>
    </row>
    <row r="210" spans="1:59" s="99" customFormat="1" ht="21" customHeight="1" x14ac:dyDescent="0.35">
      <c r="A210" s="99">
        <v>424</v>
      </c>
      <c r="B210" s="126" t="str">
        <f t="shared" si="15"/>
        <v>0-304/1D-004X770</v>
      </c>
      <c r="C210" s="126" t="s">
        <v>2846</v>
      </c>
      <c r="D210" s="126" t="s">
        <v>11</v>
      </c>
      <c r="E210" s="143" t="s">
        <v>2847</v>
      </c>
      <c r="F210" s="143" t="s">
        <v>2848</v>
      </c>
      <c r="G210" s="126">
        <v>304</v>
      </c>
      <c r="H210" s="126" t="s">
        <v>139</v>
      </c>
      <c r="I210" s="127">
        <v>3.74</v>
      </c>
      <c r="J210" s="127"/>
      <c r="K210" s="127"/>
      <c r="L210" s="127"/>
      <c r="M210" s="144">
        <v>770</v>
      </c>
      <c r="N210" s="129">
        <v>10.375</v>
      </c>
      <c r="O210" s="129">
        <v>10.375</v>
      </c>
      <c r="P210" s="129"/>
      <c r="Q210" s="130"/>
      <c r="R210" s="131"/>
      <c r="S210" s="131"/>
      <c r="T210" s="132">
        <v>44610</v>
      </c>
      <c r="U210" s="132"/>
      <c r="V210" s="132"/>
      <c r="W210" s="132"/>
      <c r="X210" s="132"/>
      <c r="Y210" s="133" t="s">
        <v>1395</v>
      </c>
      <c r="Z210" s="126" t="s">
        <v>64</v>
      </c>
      <c r="AA210" s="134" t="s">
        <v>154</v>
      </c>
      <c r="AB210" s="134" t="s">
        <v>1330</v>
      </c>
      <c r="AC210" s="134"/>
      <c r="AD210" s="134">
        <v>44554</v>
      </c>
      <c r="AE210" s="134"/>
      <c r="AF210" s="134">
        <f t="shared" ca="1" si="19"/>
        <v>44963</v>
      </c>
      <c r="AG210" s="126">
        <f t="shared" ca="1" si="16"/>
        <v>409</v>
      </c>
      <c r="AH210" s="126" t="str">
        <f t="shared" si="17"/>
        <v/>
      </c>
      <c r="AI210" s="134"/>
      <c r="AJ210" s="143" t="s">
        <v>1427</v>
      </c>
      <c r="AK210" s="129">
        <v>10.375</v>
      </c>
      <c r="AL210" s="129">
        <v>10.385</v>
      </c>
      <c r="AM210" s="129">
        <v>10.409999999999998</v>
      </c>
      <c r="AN210" s="129">
        <v>10.414999999999999</v>
      </c>
      <c r="AO210" s="126" t="str">
        <f t="shared" si="18"/>
        <v/>
      </c>
      <c r="AR210" s="99" t="s">
        <v>136</v>
      </c>
    </row>
    <row r="211" spans="1:59" s="99" customFormat="1" ht="21" customHeight="1" x14ac:dyDescent="0.35">
      <c r="A211" s="99">
        <v>424</v>
      </c>
      <c r="B211" s="126" t="str">
        <f t="shared" si="15"/>
        <v>0-304/FH-002X770</v>
      </c>
      <c r="C211" s="126" t="s">
        <v>2845</v>
      </c>
      <c r="D211" s="126" t="s">
        <v>13</v>
      </c>
      <c r="E211" s="143" t="s">
        <v>2847</v>
      </c>
      <c r="F211" s="143" t="s">
        <v>2848</v>
      </c>
      <c r="G211" s="126">
        <v>304</v>
      </c>
      <c r="H211" s="126" t="s">
        <v>65</v>
      </c>
      <c r="I211" s="127">
        <v>3.74</v>
      </c>
      <c r="J211" s="127">
        <v>1.5</v>
      </c>
      <c r="K211" s="127"/>
      <c r="L211" s="127"/>
      <c r="M211" s="144">
        <v>770</v>
      </c>
      <c r="N211" s="129">
        <v>10.375</v>
      </c>
      <c r="O211" s="129">
        <v>10.39</v>
      </c>
      <c r="P211" s="129"/>
      <c r="Q211" s="130"/>
      <c r="R211" s="131"/>
      <c r="S211" s="131"/>
      <c r="T211" s="132">
        <v>44610</v>
      </c>
      <c r="U211" s="132"/>
      <c r="V211" s="132"/>
      <c r="W211" s="132"/>
      <c r="X211" s="132"/>
      <c r="Y211" s="133" t="s">
        <v>1395</v>
      </c>
      <c r="Z211" s="126" t="s">
        <v>64</v>
      </c>
      <c r="AA211" s="134" t="s">
        <v>154</v>
      </c>
      <c r="AB211" s="134" t="s">
        <v>1330</v>
      </c>
      <c r="AC211" s="134"/>
      <c r="AD211" s="134">
        <v>44554</v>
      </c>
      <c r="AE211" s="134"/>
      <c r="AF211" s="134">
        <f t="shared" ca="1" si="19"/>
        <v>44963</v>
      </c>
      <c r="AG211" s="126">
        <f t="shared" ca="1" si="16"/>
        <v>409</v>
      </c>
      <c r="AH211" s="126" t="str">
        <f t="shared" si="17"/>
        <v/>
      </c>
      <c r="AI211" s="134"/>
      <c r="AJ211" s="143" t="s">
        <v>1427</v>
      </c>
      <c r="AK211" s="129">
        <v>10.375</v>
      </c>
      <c r="AL211" s="129">
        <v>10.385</v>
      </c>
      <c r="AM211" s="129">
        <v>10.409999999999998</v>
      </c>
      <c r="AN211" s="129">
        <v>10.414999999999999</v>
      </c>
      <c r="AO211" s="126" t="str">
        <f t="shared" si="18"/>
        <v/>
      </c>
      <c r="AR211" s="99" t="s">
        <v>136</v>
      </c>
    </row>
    <row r="212" spans="1:59" s="99" customFormat="1" ht="21" customHeight="1" x14ac:dyDescent="0.35">
      <c r="A212" s="99">
        <v>421</v>
      </c>
      <c r="B212" s="126" t="str">
        <f t="shared" si="15"/>
        <v>0-304L/2B-001X770</v>
      </c>
      <c r="C212" s="126" t="s">
        <v>2849</v>
      </c>
      <c r="D212" s="126" t="s">
        <v>403</v>
      </c>
      <c r="E212" s="143" t="s">
        <v>1269</v>
      </c>
      <c r="F212" s="143" t="s">
        <v>2850</v>
      </c>
      <c r="G212" s="126" t="s">
        <v>230</v>
      </c>
      <c r="H212" s="126" t="s">
        <v>116</v>
      </c>
      <c r="I212" s="127">
        <v>3.54</v>
      </c>
      <c r="J212" s="127">
        <v>1.2</v>
      </c>
      <c r="K212" s="127">
        <v>1.2</v>
      </c>
      <c r="L212" s="127">
        <v>1.22</v>
      </c>
      <c r="M212" s="144">
        <v>770</v>
      </c>
      <c r="N212" s="129">
        <v>10.46</v>
      </c>
      <c r="O212" s="129">
        <v>10.46</v>
      </c>
      <c r="P212" s="129"/>
      <c r="Q212" s="130" t="s">
        <v>1206</v>
      </c>
      <c r="R212" s="130" t="s">
        <v>1207</v>
      </c>
      <c r="S212" s="130" t="s">
        <v>2851</v>
      </c>
      <c r="T212" s="132" t="s">
        <v>1272</v>
      </c>
      <c r="U212" s="132">
        <v>44505</v>
      </c>
      <c r="V212" s="132">
        <v>44550</v>
      </c>
      <c r="W212" s="132"/>
      <c r="X212" s="132"/>
      <c r="Y212" s="133"/>
      <c r="Z212" s="126" t="s">
        <v>64</v>
      </c>
      <c r="AA212" s="134" t="s">
        <v>154</v>
      </c>
      <c r="AB212" s="134" t="s">
        <v>1267</v>
      </c>
      <c r="AC212" s="134"/>
      <c r="AD212" s="134">
        <v>44496</v>
      </c>
      <c r="AE212" s="134"/>
      <c r="AF212" s="134">
        <f t="shared" ca="1" si="19"/>
        <v>44963</v>
      </c>
      <c r="AG212" s="126">
        <f t="shared" ca="1" si="16"/>
        <v>467</v>
      </c>
      <c r="AH212" s="126">
        <f t="shared" ca="1" si="17"/>
        <v>413</v>
      </c>
      <c r="AI212" s="134"/>
      <c r="AJ212" s="143" t="s">
        <v>1275</v>
      </c>
      <c r="AK212" s="129">
        <v>10.52</v>
      </c>
      <c r="AL212" s="129">
        <v>10.53</v>
      </c>
      <c r="AM212" s="129">
        <v>10.554999999999998</v>
      </c>
      <c r="AN212" s="129">
        <v>10.559999999999999</v>
      </c>
      <c r="AO212" s="126">
        <f t="shared" ca="1" si="18"/>
        <v>458</v>
      </c>
      <c r="AR212" s="99" t="s">
        <v>136</v>
      </c>
      <c r="BG212" s="135" t="s">
        <v>699</v>
      </c>
    </row>
    <row r="213" spans="1:59" s="99" customFormat="1" ht="21" customHeight="1" x14ac:dyDescent="0.35">
      <c r="A213" s="99">
        <v>421</v>
      </c>
      <c r="B213" s="126" t="str">
        <f t="shared" si="15"/>
        <v>0-304L/FH-001X770</v>
      </c>
      <c r="C213" s="126" t="s">
        <v>2845</v>
      </c>
      <c r="D213" s="126" t="s">
        <v>13</v>
      </c>
      <c r="E213" s="143" t="s">
        <v>2833</v>
      </c>
      <c r="F213" s="143" t="s">
        <v>2834</v>
      </c>
      <c r="G213" s="126" t="s">
        <v>230</v>
      </c>
      <c r="H213" s="126" t="s">
        <v>65</v>
      </c>
      <c r="I213" s="127">
        <v>2.96</v>
      </c>
      <c r="J213" s="127">
        <v>0.8</v>
      </c>
      <c r="K213" s="127"/>
      <c r="L213" s="127"/>
      <c r="M213" s="144">
        <v>770</v>
      </c>
      <c r="N213" s="129">
        <v>10.1</v>
      </c>
      <c r="O213" s="129">
        <v>10.119999999999999</v>
      </c>
      <c r="P213" s="129"/>
      <c r="Q213" s="130"/>
      <c r="R213" s="131"/>
      <c r="S213" s="131"/>
      <c r="T213" s="132">
        <v>44608</v>
      </c>
      <c r="U213" s="132"/>
      <c r="V213" s="132"/>
      <c r="W213" s="132"/>
      <c r="X213" s="132"/>
      <c r="Y213" s="133"/>
      <c r="Z213" s="126" t="s">
        <v>64</v>
      </c>
      <c r="AA213" s="134" t="s">
        <v>154</v>
      </c>
      <c r="AB213" s="134" t="s">
        <v>1246</v>
      </c>
      <c r="AC213" s="134"/>
      <c r="AD213" s="134">
        <v>44496</v>
      </c>
      <c r="AE213" s="134"/>
      <c r="AF213" s="134">
        <f t="shared" ca="1" si="19"/>
        <v>44963</v>
      </c>
      <c r="AG213" s="126">
        <f t="shared" ca="1" si="16"/>
        <v>467</v>
      </c>
      <c r="AH213" s="126" t="str">
        <f t="shared" si="17"/>
        <v/>
      </c>
      <c r="AI213" s="134"/>
      <c r="AJ213" s="143" t="s">
        <v>2798</v>
      </c>
      <c r="AK213" s="129">
        <v>10.1</v>
      </c>
      <c r="AL213" s="129">
        <v>10.11</v>
      </c>
      <c r="AM213" s="129">
        <v>10.134999999999998</v>
      </c>
      <c r="AN213" s="129">
        <v>10.139999999999999</v>
      </c>
      <c r="AO213" s="126" t="str">
        <f t="shared" si="18"/>
        <v/>
      </c>
      <c r="AR213" s="99" t="s">
        <v>136</v>
      </c>
    </row>
    <row r="214" spans="1:59" s="99" customFormat="1" ht="21" customHeight="1" x14ac:dyDescent="0.35">
      <c r="A214" s="99">
        <v>424</v>
      </c>
      <c r="B214" s="126" t="str">
        <f t="shared" si="15"/>
        <v>0-304L/1D-003X770</v>
      </c>
      <c r="C214" s="126" t="s">
        <v>2846</v>
      </c>
      <c r="D214" s="126" t="s">
        <v>11</v>
      </c>
      <c r="E214" s="143" t="s">
        <v>2852</v>
      </c>
      <c r="F214" s="143" t="s">
        <v>2853</v>
      </c>
      <c r="G214" s="126" t="s">
        <v>230</v>
      </c>
      <c r="H214" s="126" t="s">
        <v>139</v>
      </c>
      <c r="I214" s="127">
        <v>3.34</v>
      </c>
      <c r="J214" s="127"/>
      <c r="K214" s="127"/>
      <c r="L214" s="127"/>
      <c r="M214" s="144">
        <v>770</v>
      </c>
      <c r="N214" s="129">
        <v>10.43</v>
      </c>
      <c r="O214" s="129">
        <v>10.43</v>
      </c>
      <c r="P214" s="129"/>
      <c r="Q214" s="130"/>
      <c r="R214" s="131"/>
      <c r="S214" s="131"/>
      <c r="T214" s="132">
        <v>44610</v>
      </c>
      <c r="U214" s="132"/>
      <c r="V214" s="132"/>
      <c r="W214" s="132"/>
      <c r="X214" s="132"/>
      <c r="Y214" s="133" t="s">
        <v>1395</v>
      </c>
      <c r="Z214" s="126" t="s">
        <v>64</v>
      </c>
      <c r="AA214" s="134" t="s">
        <v>154</v>
      </c>
      <c r="AB214" s="134" t="s">
        <v>1330</v>
      </c>
      <c r="AC214" s="134"/>
      <c r="AD214" s="134">
        <v>44554</v>
      </c>
      <c r="AE214" s="134"/>
      <c r="AF214" s="134">
        <f t="shared" ca="1" si="19"/>
        <v>44963</v>
      </c>
      <c r="AG214" s="126">
        <f t="shared" ca="1" si="16"/>
        <v>409</v>
      </c>
      <c r="AH214" s="126" t="str">
        <f t="shared" si="17"/>
        <v/>
      </c>
      <c r="AI214" s="134"/>
      <c r="AJ214" s="143" t="s">
        <v>2788</v>
      </c>
      <c r="AK214" s="129">
        <v>10.43</v>
      </c>
      <c r="AL214" s="129">
        <v>10.44</v>
      </c>
      <c r="AM214" s="129">
        <v>10.464999999999998</v>
      </c>
      <c r="AN214" s="129">
        <v>10.469999999999999</v>
      </c>
      <c r="AO214" s="126" t="str">
        <f t="shared" si="18"/>
        <v/>
      </c>
      <c r="AR214" s="99" t="s">
        <v>136</v>
      </c>
    </row>
    <row r="215" spans="1:59" s="99" customFormat="1" ht="21" customHeight="1" x14ac:dyDescent="0.35">
      <c r="A215" s="99">
        <v>421</v>
      </c>
      <c r="B215" s="126" t="str">
        <f t="shared" si="15"/>
        <v>0-304L/FH-001X770</v>
      </c>
      <c r="C215" s="126" t="s">
        <v>2854</v>
      </c>
      <c r="D215" s="126" t="s">
        <v>13</v>
      </c>
      <c r="E215" s="143" t="s">
        <v>2842</v>
      </c>
      <c r="F215" s="143" t="s">
        <v>2843</v>
      </c>
      <c r="G215" s="126" t="s">
        <v>230</v>
      </c>
      <c r="H215" s="126" t="s">
        <v>65</v>
      </c>
      <c r="I215" s="127">
        <v>3</v>
      </c>
      <c r="J215" s="127">
        <v>1</v>
      </c>
      <c r="K215" s="127"/>
      <c r="L215" s="127"/>
      <c r="M215" s="144">
        <v>770</v>
      </c>
      <c r="N215" s="129">
        <v>9.2149999999999999</v>
      </c>
      <c r="O215" s="129">
        <v>9.2449999999999992</v>
      </c>
      <c r="P215" s="129"/>
      <c r="Q215" s="130"/>
      <c r="R215" s="131"/>
      <c r="S215" s="131"/>
      <c r="T215" s="132">
        <v>44609</v>
      </c>
      <c r="U215" s="132"/>
      <c r="V215" s="132"/>
      <c r="W215" s="132"/>
      <c r="X215" s="132"/>
      <c r="Y215" s="133"/>
      <c r="Z215" s="126" t="s">
        <v>64</v>
      </c>
      <c r="AA215" s="134" t="s">
        <v>154</v>
      </c>
      <c r="AB215" s="134" t="s">
        <v>1190</v>
      </c>
      <c r="AC215" s="134"/>
      <c r="AD215" s="134">
        <v>44496</v>
      </c>
      <c r="AE215" s="134"/>
      <c r="AF215" s="134">
        <f t="shared" ca="1" si="19"/>
        <v>44963</v>
      </c>
      <c r="AG215" s="126">
        <f t="shared" ca="1" si="16"/>
        <v>467</v>
      </c>
      <c r="AH215" s="126" t="str">
        <f t="shared" si="17"/>
        <v/>
      </c>
      <c r="AI215" s="134"/>
      <c r="AJ215" s="143" t="s">
        <v>2844</v>
      </c>
      <c r="AK215" s="129">
        <v>9.2149999999999999</v>
      </c>
      <c r="AL215" s="129">
        <v>9.2249999999999996</v>
      </c>
      <c r="AM215" s="129">
        <v>9.2499999999999982</v>
      </c>
      <c r="AN215" s="129">
        <v>9.254999999999999</v>
      </c>
      <c r="AO215" s="126" t="str">
        <f t="shared" si="18"/>
        <v/>
      </c>
      <c r="AR215" s="99" t="s">
        <v>136</v>
      </c>
    </row>
    <row r="216" spans="1:59" s="99" customFormat="1" ht="21" customHeight="1" x14ac:dyDescent="0.35">
      <c r="A216" s="99">
        <v>422</v>
      </c>
      <c r="B216" s="126" t="str">
        <f t="shared" si="15"/>
        <v>0-304L/1D-003X769</v>
      </c>
      <c r="C216" s="126" t="s">
        <v>2855</v>
      </c>
      <c r="D216" s="126" t="s">
        <v>11</v>
      </c>
      <c r="E216" s="143" t="s">
        <v>2856</v>
      </c>
      <c r="F216" s="143" t="s">
        <v>2857</v>
      </c>
      <c r="G216" s="126" t="s">
        <v>230</v>
      </c>
      <c r="H216" s="126" t="s">
        <v>139</v>
      </c>
      <c r="I216" s="127">
        <v>2.99</v>
      </c>
      <c r="J216" s="127"/>
      <c r="K216" s="127"/>
      <c r="L216" s="127"/>
      <c r="M216" s="144">
        <v>769</v>
      </c>
      <c r="N216" s="129">
        <v>10.210000000000001</v>
      </c>
      <c r="O216" s="129">
        <v>10.210000000000001</v>
      </c>
      <c r="P216" s="129"/>
      <c r="Q216" s="130"/>
      <c r="R216" s="131"/>
      <c r="S216" s="131"/>
      <c r="T216" s="132">
        <v>44611</v>
      </c>
      <c r="U216" s="132"/>
      <c r="V216" s="132"/>
      <c r="W216" s="132"/>
      <c r="X216" s="132"/>
      <c r="Y216" s="133"/>
      <c r="Z216" s="126" t="s">
        <v>64</v>
      </c>
      <c r="AA216" s="134" t="s">
        <v>154</v>
      </c>
      <c r="AB216" s="134" t="s">
        <v>1330</v>
      </c>
      <c r="AC216" s="134"/>
      <c r="AD216" s="134">
        <v>44516</v>
      </c>
      <c r="AE216" s="134"/>
      <c r="AF216" s="134">
        <f t="shared" ca="1" si="19"/>
        <v>44963</v>
      </c>
      <c r="AG216" s="126">
        <f t="shared" ca="1" si="16"/>
        <v>447</v>
      </c>
      <c r="AH216" s="126" t="str">
        <f t="shared" si="17"/>
        <v/>
      </c>
      <c r="AI216" s="134"/>
      <c r="AJ216" s="143" t="s">
        <v>2858</v>
      </c>
      <c r="AK216" s="129">
        <v>10.210000000000001</v>
      </c>
      <c r="AL216" s="129">
        <v>10.220000000000001</v>
      </c>
      <c r="AM216" s="129">
        <v>10.244999999999999</v>
      </c>
      <c r="AN216" s="129">
        <v>10.25</v>
      </c>
      <c r="AO216" s="126" t="str">
        <f t="shared" si="18"/>
        <v/>
      </c>
      <c r="AR216" s="99" t="s">
        <v>136</v>
      </c>
    </row>
    <row r="217" spans="1:59" s="99" customFormat="1" ht="21" customHeight="1" x14ac:dyDescent="0.35">
      <c r="A217" s="99">
        <v>424</v>
      </c>
      <c r="B217" s="126" t="str">
        <f t="shared" si="15"/>
        <v>0-304L/FH-001X770</v>
      </c>
      <c r="C217" s="126" t="s">
        <v>2854</v>
      </c>
      <c r="D217" s="126" t="s">
        <v>13</v>
      </c>
      <c r="E217" s="143" t="s">
        <v>2852</v>
      </c>
      <c r="F217" s="143" t="s">
        <v>2853</v>
      </c>
      <c r="G217" s="126" t="s">
        <v>230</v>
      </c>
      <c r="H217" s="126" t="s">
        <v>65</v>
      </c>
      <c r="I217" s="127">
        <v>3.34</v>
      </c>
      <c r="J217" s="127">
        <v>1.1000000000000001</v>
      </c>
      <c r="K217" s="127"/>
      <c r="L217" s="127"/>
      <c r="M217" s="144">
        <v>770</v>
      </c>
      <c r="N217" s="129">
        <v>10.43</v>
      </c>
      <c r="O217" s="129">
        <v>10.44</v>
      </c>
      <c r="P217" s="129"/>
      <c r="Q217" s="130"/>
      <c r="R217" s="131"/>
      <c r="S217" s="131"/>
      <c r="T217" s="132">
        <v>44610</v>
      </c>
      <c r="U217" s="132"/>
      <c r="V217" s="132"/>
      <c r="W217" s="132"/>
      <c r="X217" s="132"/>
      <c r="Y217" s="133" t="s">
        <v>1395</v>
      </c>
      <c r="Z217" s="126" t="s">
        <v>64</v>
      </c>
      <c r="AA217" s="134" t="s">
        <v>154</v>
      </c>
      <c r="AB217" s="134" t="s">
        <v>1330</v>
      </c>
      <c r="AC217" s="134"/>
      <c r="AD217" s="134">
        <v>44554</v>
      </c>
      <c r="AE217" s="134"/>
      <c r="AF217" s="134">
        <f t="shared" ca="1" si="19"/>
        <v>44963</v>
      </c>
      <c r="AG217" s="126">
        <f t="shared" ca="1" si="16"/>
        <v>409</v>
      </c>
      <c r="AH217" s="126" t="str">
        <f t="shared" si="17"/>
        <v/>
      </c>
      <c r="AI217" s="134"/>
      <c r="AJ217" s="143" t="s">
        <v>2788</v>
      </c>
      <c r="AK217" s="129">
        <v>10.43</v>
      </c>
      <c r="AL217" s="129">
        <v>10.44</v>
      </c>
      <c r="AM217" s="129">
        <v>10.464999999999998</v>
      </c>
      <c r="AN217" s="129">
        <v>10.469999999999999</v>
      </c>
      <c r="AO217" s="126" t="str">
        <f t="shared" si="18"/>
        <v/>
      </c>
      <c r="AR217" s="99" t="s">
        <v>136</v>
      </c>
    </row>
    <row r="218" spans="1:59" s="99" customFormat="1" ht="21" customHeight="1" x14ac:dyDescent="0.35">
      <c r="A218" s="99">
        <v>424</v>
      </c>
      <c r="B218" s="126" t="str">
        <f t="shared" si="15"/>
        <v>0-304L/1D-004X767</v>
      </c>
      <c r="C218" s="126" t="s">
        <v>2855</v>
      </c>
      <c r="D218" s="126" t="s">
        <v>11</v>
      </c>
      <c r="E218" s="143" t="s">
        <v>2859</v>
      </c>
      <c r="F218" s="143" t="s">
        <v>2860</v>
      </c>
      <c r="G218" s="126" t="s">
        <v>230</v>
      </c>
      <c r="H218" s="126" t="s">
        <v>139</v>
      </c>
      <c r="I218" s="127">
        <v>3.5</v>
      </c>
      <c r="J218" s="127"/>
      <c r="K218" s="127"/>
      <c r="L218" s="127"/>
      <c r="M218" s="144">
        <v>767</v>
      </c>
      <c r="N218" s="129">
        <v>10.185</v>
      </c>
      <c r="O218" s="129">
        <v>10.185</v>
      </c>
      <c r="P218" s="129"/>
      <c r="Q218" s="130"/>
      <c r="R218" s="131"/>
      <c r="S218" s="131"/>
      <c r="T218" s="132">
        <v>44611</v>
      </c>
      <c r="U218" s="132"/>
      <c r="V218" s="132"/>
      <c r="W218" s="132"/>
      <c r="X218" s="132"/>
      <c r="Y218" s="133" t="s">
        <v>1395</v>
      </c>
      <c r="Z218" s="126" t="s">
        <v>64</v>
      </c>
      <c r="AA218" s="134" t="s">
        <v>154</v>
      </c>
      <c r="AB218" s="134" t="s">
        <v>1516</v>
      </c>
      <c r="AC218" s="134"/>
      <c r="AD218" s="134">
        <v>44554</v>
      </c>
      <c r="AE218" s="134"/>
      <c r="AF218" s="134">
        <f t="shared" ca="1" si="19"/>
        <v>44963</v>
      </c>
      <c r="AG218" s="126">
        <f t="shared" ca="1" si="16"/>
        <v>409</v>
      </c>
      <c r="AH218" s="126" t="str">
        <f t="shared" si="17"/>
        <v/>
      </c>
      <c r="AI218" s="134"/>
      <c r="AJ218" s="143" t="s">
        <v>1644</v>
      </c>
      <c r="AK218" s="129">
        <v>10.185</v>
      </c>
      <c r="AL218" s="129">
        <v>10.195</v>
      </c>
      <c r="AM218" s="129">
        <v>10.219999999999999</v>
      </c>
      <c r="AN218" s="129">
        <v>10.225</v>
      </c>
      <c r="AO218" s="126" t="str">
        <f t="shared" si="18"/>
        <v/>
      </c>
      <c r="AR218" s="99" t="s">
        <v>136</v>
      </c>
    </row>
    <row r="219" spans="1:59" s="99" customFormat="1" ht="21" customHeight="1" x14ac:dyDescent="0.35">
      <c r="A219" s="99">
        <v>422</v>
      </c>
      <c r="B219" s="126" t="str">
        <f t="shared" si="15"/>
        <v>0-304L/FH-001X769</v>
      </c>
      <c r="C219" s="126" t="s">
        <v>2854</v>
      </c>
      <c r="D219" s="126" t="s">
        <v>13</v>
      </c>
      <c r="E219" s="143" t="s">
        <v>2856</v>
      </c>
      <c r="F219" s="143" t="s">
        <v>2857</v>
      </c>
      <c r="G219" s="126" t="s">
        <v>230</v>
      </c>
      <c r="H219" s="126" t="s">
        <v>65</v>
      </c>
      <c r="I219" s="127">
        <v>2.99</v>
      </c>
      <c r="J219" s="127">
        <v>0.95</v>
      </c>
      <c r="K219" s="127"/>
      <c r="L219" s="127"/>
      <c r="M219" s="144">
        <v>769</v>
      </c>
      <c r="N219" s="129">
        <v>10.210000000000001</v>
      </c>
      <c r="O219" s="129">
        <v>10.205</v>
      </c>
      <c r="P219" s="129"/>
      <c r="Q219" s="130"/>
      <c r="R219" s="131"/>
      <c r="S219" s="131"/>
      <c r="T219" s="132">
        <v>44611</v>
      </c>
      <c r="U219" s="132"/>
      <c r="V219" s="132"/>
      <c r="W219" s="132"/>
      <c r="X219" s="132"/>
      <c r="Y219" s="133"/>
      <c r="Z219" s="126" t="s">
        <v>64</v>
      </c>
      <c r="AA219" s="134" t="s">
        <v>154</v>
      </c>
      <c r="AB219" s="134" t="s">
        <v>1330</v>
      </c>
      <c r="AC219" s="134"/>
      <c r="AD219" s="134">
        <v>44516</v>
      </c>
      <c r="AE219" s="134"/>
      <c r="AF219" s="134">
        <f t="shared" ca="1" si="19"/>
        <v>44963</v>
      </c>
      <c r="AG219" s="126">
        <f t="shared" ca="1" si="16"/>
        <v>447</v>
      </c>
      <c r="AH219" s="126" t="str">
        <f t="shared" si="17"/>
        <v/>
      </c>
      <c r="AI219" s="134"/>
      <c r="AJ219" s="143" t="s">
        <v>2858</v>
      </c>
      <c r="AK219" s="129">
        <v>10.210000000000001</v>
      </c>
      <c r="AL219" s="129">
        <v>10.220000000000001</v>
      </c>
      <c r="AM219" s="129">
        <v>10.244999999999999</v>
      </c>
      <c r="AN219" s="129">
        <v>10.25</v>
      </c>
      <c r="AO219" s="126" t="str">
        <f t="shared" si="18"/>
        <v/>
      </c>
      <c r="AR219" s="99" t="s">
        <v>136</v>
      </c>
    </row>
    <row r="220" spans="1:59" s="99" customFormat="1" ht="21" customHeight="1" x14ac:dyDescent="0.35">
      <c r="A220" s="99">
        <v>424</v>
      </c>
      <c r="B220" s="126" t="str">
        <f t="shared" si="15"/>
        <v>0-304L/1D-004X768</v>
      </c>
      <c r="C220" s="126" t="s">
        <v>2855</v>
      </c>
      <c r="D220" s="126" t="s">
        <v>11</v>
      </c>
      <c r="E220" s="143" t="s">
        <v>2861</v>
      </c>
      <c r="F220" s="143" t="s">
        <v>2862</v>
      </c>
      <c r="G220" s="126" t="s">
        <v>230</v>
      </c>
      <c r="H220" s="126" t="s">
        <v>139</v>
      </c>
      <c r="I220" s="127">
        <v>3.97</v>
      </c>
      <c r="J220" s="127"/>
      <c r="K220" s="127"/>
      <c r="L220" s="127"/>
      <c r="M220" s="144">
        <v>768</v>
      </c>
      <c r="N220" s="129">
        <v>10.305</v>
      </c>
      <c r="O220" s="129">
        <v>10.305</v>
      </c>
      <c r="P220" s="129"/>
      <c r="Q220" s="130"/>
      <c r="R220" s="131"/>
      <c r="S220" s="131"/>
      <c r="T220" s="132">
        <v>44611</v>
      </c>
      <c r="U220" s="132"/>
      <c r="V220" s="132"/>
      <c r="W220" s="132"/>
      <c r="X220" s="132"/>
      <c r="Y220" s="133" t="s">
        <v>1395</v>
      </c>
      <c r="Z220" s="126" t="s">
        <v>64</v>
      </c>
      <c r="AA220" s="134" t="s">
        <v>154</v>
      </c>
      <c r="AB220" s="134" t="s">
        <v>1516</v>
      </c>
      <c r="AC220" s="134"/>
      <c r="AD220" s="134">
        <v>44554</v>
      </c>
      <c r="AE220" s="134"/>
      <c r="AF220" s="134">
        <f t="shared" ca="1" si="19"/>
        <v>44963</v>
      </c>
      <c r="AG220" s="126">
        <f t="shared" ca="1" si="16"/>
        <v>409</v>
      </c>
      <c r="AH220" s="126" t="str">
        <f t="shared" si="17"/>
        <v/>
      </c>
      <c r="AI220" s="134"/>
      <c r="AJ220" s="143" t="s">
        <v>2767</v>
      </c>
      <c r="AK220" s="129">
        <v>10.305</v>
      </c>
      <c r="AL220" s="129">
        <v>10.315</v>
      </c>
      <c r="AM220" s="129">
        <v>10.339999999999998</v>
      </c>
      <c r="AN220" s="129">
        <v>10.344999999999999</v>
      </c>
      <c r="AO220" s="126" t="str">
        <f t="shared" si="18"/>
        <v/>
      </c>
      <c r="AR220" s="99" t="s">
        <v>136</v>
      </c>
    </row>
    <row r="221" spans="1:59" s="99" customFormat="1" ht="21" customHeight="1" x14ac:dyDescent="0.35">
      <c r="A221" s="99">
        <v>424</v>
      </c>
      <c r="B221" s="126" t="str">
        <f t="shared" si="15"/>
        <v>0-304L/FH-001X767</v>
      </c>
      <c r="C221" s="126" t="s">
        <v>2854</v>
      </c>
      <c r="D221" s="126" t="s">
        <v>13</v>
      </c>
      <c r="E221" s="143" t="s">
        <v>2859</v>
      </c>
      <c r="F221" s="143" t="s">
        <v>2860</v>
      </c>
      <c r="G221" s="126" t="s">
        <v>230</v>
      </c>
      <c r="H221" s="126" t="s">
        <v>65</v>
      </c>
      <c r="I221" s="127">
        <v>3.5</v>
      </c>
      <c r="J221" s="127">
        <v>1.2</v>
      </c>
      <c r="K221" s="127"/>
      <c r="L221" s="127"/>
      <c r="M221" s="144">
        <v>767</v>
      </c>
      <c r="N221" s="129">
        <v>10.185</v>
      </c>
      <c r="O221" s="129">
        <v>10.215</v>
      </c>
      <c r="P221" s="129"/>
      <c r="Q221" s="130"/>
      <c r="R221" s="131"/>
      <c r="S221" s="131"/>
      <c r="T221" s="132">
        <v>44611</v>
      </c>
      <c r="U221" s="132"/>
      <c r="V221" s="132"/>
      <c r="W221" s="132"/>
      <c r="X221" s="132"/>
      <c r="Y221" s="133" t="s">
        <v>1395</v>
      </c>
      <c r="Z221" s="126" t="s">
        <v>64</v>
      </c>
      <c r="AA221" s="134" t="s">
        <v>154</v>
      </c>
      <c r="AB221" s="134" t="s">
        <v>1516</v>
      </c>
      <c r="AC221" s="134"/>
      <c r="AD221" s="134">
        <v>44554</v>
      </c>
      <c r="AE221" s="134"/>
      <c r="AF221" s="134">
        <f t="shared" ca="1" si="19"/>
        <v>44963</v>
      </c>
      <c r="AG221" s="126">
        <f t="shared" ca="1" si="16"/>
        <v>409</v>
      </c>
      <c r="AH221" s="126" t="str">
        <f t="shared" si="17"/>
        <v/>
      </c>
      <c r="AI221" s="134"/>
      <c r="AJ221" s="143" t="s">
        <v>1644</v>
      </c>
      <c r="AK221" s="129">
        <v>10.185</v>
      </c>
      <c r="AL221" s="129">
        <v>10.195</v>
      </c>
      <c r="AM221" s="129">
        <v>10.219999999999999</v>
      </c>
      <c r="AN221" s="129">
        <v>10.225</v>
      </c>
      <c r="AO221" s="126" t="str">
        <f t="shared" si="18"/>
        <v/>
      </c>
      <c r="AR221" s="99" t="s">
        <v>136</v>
      </c>
    </row>
    <row r="222" spans="1:59" s="99" customFormat="1" ht="21" customHeight="1" x14ac:dyDescent="0.35">
      <c r="A222" s="99">
        <v>422</v>
      </c>
      <c r="B222" s="126" t="str">
        <f t="shared" si="15"/>
        <v>0-304L/1D-003X767</v>
      </c>
      <c r="C222" s="126" t="s">
        <v>2855</v>
      </c>
      <c r="D222" s="126" t="s">
        <v>11</v>
      </c>
      <c r="E222" s="143" t="s">
        <v>1345</v>
      </c>
      <c r="F222" s="143" t="s">
        <v>2863</v>
      </c>
      <c r="G222" s="126" t="s">
        <v>230</v>
      </c>
      <c r="H222" s="126" t="s">
        <v>139</v>
      </c>
      <c r="I222" s="127">
        <v>2.88</v>
      </c>
      <c r="J222" s="127"/>
      <c r="K222" s="127"/>
      <c r="L222" s="127"/>
      <c r="M222" s="144">
        <v>767</v>
      </c>
      <c r="N222" s="129">
        <v>7.29</v>
      </c>
      <c r="O222" s="129">
        <v>7.29</v>
      </c>
      <c r="P222" s="129"/>
      <c r="Q222" s="130"/>
      <c r="R222" s="131"/>
      <c r="S222" s="131"/>
      <c r="T222" s="132">
        <v>44611</v>
      </c>
      <c r="U222" s="132"/>
      <c r="V222" s="132"/>
      <c r="W222" s="132"/>
      <c r="X222" s="132"/>
      <c r="Y222" s="133"/>
      <c r="Z222" s="126" t="s">
        <v>64</v>
      </c>
      <c r="AA222" s="134" t="s">
        <v>154</v>
      </c>
      <c r="AB222" s="134" t="s">
        <v>1330</v>
      </c>
      <c r="AC222" s="134"/>
      <c r="AD222" s="134">
        <v>44516</v>
      </c>
      <c r="AE222" s="134"/>
      <c r="AF222" s="134">
        <f t="shared" ca="1" si="19"/>
        <v>44963</v>
      </c>
      <c r="AG222" s="126">
        <f t="shared" ca="1" si="16"/>
        <v>447</v>
      </c>
      <c r="AH222" s="126" t="str">
        <f t="shared" si="17"/>
        <v/>
      </c>
      <c r="AI222" s="134"/>
      <c r="AJ222" s="143" t="s">
        <v>1347</v>
      </c>
      <c r="AK222" s="129">
        <v>7.29</v>
      </c>
      <c r="AL222" s="129">
        <v>7.3</v>
      </c>
      <c r="AM222" s="129">
        <v>7.3250000000000002</v>
      </c>
      <c r="AN222" s="129">
        <v>7.33</v>
      </c>
      <c r="AO222" s="126" t="str">
        <f t="shared" si="18"/>
        <v/>
      </c>
      <c r="AR222" s="99" t="s">
        <v>136</v>
      </c>
    </row>
    <row r="223" spans="1:59" s="99" customFormat="1" ht="21" customHeight="1" x14ac:dyDescent="0.35">
      <c r="A223" s="99">
        <v>424</v>
      </c>
      <c r="B223" s="126" t="str">
        <f t="shared" si="15"/>
        <v>0-304L/FH-001X766</v>
      </c>
      <c r="C223" s="126" t="s">
        <v>2854</v>
      </c>
      <c r="D223" s="126" t="s">
        <v>13</v>
      </c>
      <c r="E223" s="143" t="s">
        <v>1535</v>
      </c>
      <c r="F223" s="143" t="s">
        <v>1536</v>
      </c>
      <c r="G223" s="126" t="s">
        <v>230</v>
      </c>
      <c r="H223" s="126" t="s">
        <v>65</v>
      </c>
      <c r="I223" s="127">
        <v>3.37</v>
      </c>
      <c r="J223" s="127">
        <v>1.1499999999999999</v>
      </c>
      <c r="K223" s="127"/>
      <c r="L223" s="127"/>
      <c r="M223" s="144">
        <v>766</v>
      </c>
      <c r="N223" s="129">
        <v>10.29</v>
      </c>
      <c r="O223" s="129">
        <v>10.3</v>
      </c>
      <c r="P223" s="129"/>
      <c r="Q223" s="130"/>
      <c r="R223" s="131"/>
      <c r="S223" s="131"/>
      <c r="T223" s="132">
        <v>44609</v>
      </c>
      <c r="U223" s="132"/>
      <c r="V223" s="132"/>
      <c r="W223" s="132"/>
      <c r="X223" s="132"/>
      <c r="Y223" s="133" t="s">
        <v>1395</v>
      </c>
      <c r="Z223" s="126" t="s">
        <v>64</v>
      </c>
      <c r="AA223" s="134" t="s">
        <v>154</v>
      </c>
      <c r="AB223" s="134" t="s">
        <v>1516</v>
      </c>
      <c r="AC223" s="134"/>
      <c r="AD223" s="134">
        <v>44554</v>
      </c>
      <c r="AE223" s="134"/>
      <c r="AF223" s="134">
        <f t="shared" ca="1" si="19"/>
        <v>44963</v>
      </c>
      <c r="AG223" s="126">
        <f t="shared" ca="1" si="16"/>
        <v>409</v>
      </c>
      <c r="AH223" s="126" t="str">
        <f t="shared" si="17"/>
        <v/>
      </c>
      <c r="AI223" s="134"/>
      <c r="AJ223" s="143" t="s">
        <v>1537</v>
      </c>
      <c r="AK223" s="129">
        <v>10.29</v>
      </c>
      <c r="AL223" s="129">
        <v>10.3</v>
      </c>
      <c r="AM223" s="129">
        <v>10.324999999999999</v>
      </c>
      <c r="AN223" s="129">
        <v>10.33</v>
      </c>
      <c r="AO223" s="126" t="str">
        <f t="shared" si="18"/>
        <v/>
      </c>
      <c r="AR223" s="99" t="s">
        <v>136</v>
      </c>
    </row>
    <row r="224" spans="1:59" s="99" customFormat="1" ht="21" customHeight="1" x14ac:dyDescent="0.35">
      <c r="A224" s="99">
        <v>421</v>
      </c>
      <c r="B224" s="126" t="str">
        <f t="shared" si="15"/>
        <v>0-304L/1D-004X770</v>
      </c>
      <c r="C224" s="126" t="s">
        <v>2855</v>
      </c>
      <c r="D224" s="126" t="s">
        <v>11</v>
      </c>
      <c r="E224" s="143" t="s">
        <v>1251</v>
      </c>
      <c r="F224" s="143" t="s">
        <v>1252</v>
      </c>
      <c r="G224" s="126" t="s">
        <v>230</v>
      </c>
      <c r="H224" s="126" t="s">
        <v>139</v>
      </c>
      <c r="I224" s="127">
        <v>3.79</v>
      </c>
      <c r="J224" s="127"/>
      <c r="K224" s="127"/>
      <c r="L224" s="127"/>
      <c r="M224" s="144">
        <v>770</v>
      </c>
      <c r="N224" s="129">
        <v>10.36</v>
      </c>
      <c r="O224" s="129">
        <v>10.36</v>
      </c>
      <c r="P224" s="129"/>
      <c r="Q224" s="130"/>
      <c r="R224" s="131"/>
      <c r="S224" s="131"/>
      <c r="T224" s="132">
        <v>44611</v>
      </c>
      <c r="U224" s="132"/>
      <c r="V224" s="132"/>
      <c r="W224" s="132"/>
      <c r="X224" s="132"/>
      <c r="Y224" s="133"/>
      <c r="Z224" s="126" t="s">
        <v>64</v>
      </c>
      <c r="AA224" s="134" t="s">
        <v>154</v>
      </c>
      <c r="AB224" s="134" t="s">
        <v>1246</v>
      </c>
      <c r="AC224" s="134"/>
      <c r="AD224" s="134">
        <v>44496</v>
      </c>
      <c r="AE224" s="134"/>
      <c r="AF224" s="134">
        <f t="shared" ca="1" si="19"/>
        <v>44963</v>
      </c>
      <c r="AG224" s="126">
        <f t="shared" ca="1" si="16"/>
        <v>467</v>
      </c>
      <c r="AH224" s="126" t="str">
        <f t="shared" si="17"/>
        <v/>
      </c>
      <c r="AI224" s="134"/>
      <c r="AJ224" s="143" t="s">
        <v>1253</v>
      </c>
      <c r="AK224" s="129">
        <v>10.36</v>
      </c>
      <c r="AL224" s="129">
        <v>10.37</v>
      </c>
      <c r="AM224" s="129">
        <v>10.394999999999998</v>
      </c>
      <c r="AN224" s="129">
        <v>10.399999999999999</v>
      </c>
      <c r="AO224" s="126" t="str">
        <f t="shared" si="18"/>
        <v/>
      </c>
      <c r="AR224" s="99" t="s">
        <v>136</v>
      </c>
    </row>
    <row r="225" spans="1:44" s="99" customFormat="1" ht="21" customHeight="1" x14ac:dyDescent="0.35">
      <c r="A225" s="99">
        <v>424</v>
      </c>
      <c r="B225" s="126" t="str">
        <f t="shared" si="15"/>
        <v>0-304L/FH-002X768</v>
      </c>
      <c r="C225" s="126" t="s">
        <v>2854</v>
      </c>
      <c r="D225" s="126" t="s">
        <v>13</v>
      </c>
      <c r="E225" s="143" t="s">
        <v>2861</v>
      </c>
      <c r="F225" s="143" t="s">
        <v>2862</v>
      </c>
      <c r="G225" s="126" t="s">
        <v>230</v>
      </c>
      <c r="H225" s="126" t="s">
        <v>65</v>
      </c>
      <c r="I225" s="127">
        <v>3.97</v>
      </c>
      <c r="J225" s="127">
        <v>2</v>
      </c>
      <c r="K225" s="127"/>
      <c r="L225" s="127"/>
      <c r="M225" s="144">
        <v>768</v>
      </c>
      <c r="N225" s="129">
        <v>10.305</v>
      </c>
      <c r="O225" s="129">
        <v>10.315</v>
      </c>
      <c r="P225" s="129"/>
      <c r="Q225" s="130"/>
      <c r="R225" s="131"/>
      <c r="S225" s="131"/>
      <c r="T225" s="132">
        <v>44611</v>
      </c>
      <c r="U225" s="132"/>
      <c r="V225" s="132"/>
      <c r="W225" s="132"/>
      <c r="X225" s="132"/>
      <c r="Y225" s="133" t="s">
        <v>1395</v>
      </c>
      <c r="Z225" s="126" t="s">
        <v>64</v>
      </c>
      <c r="AA225" s="134" t="s">
        <v>154</v>
      </c>
      <c r="AB225" s="134" t="s">
        <v>1516</v>
      </c>
      <c r="AC225" s="134"/>
      <c r="AD225" s="134">
        <v>44554</v>
      </c>
      <c r="AE225" s="134"/>
      <c r="AF225" s="134">
        <f t="shared" ca="1" si="19"/>
        <v>44963</v>
      </c>
      <c r="AG225" s="126">
        <f t="shared" ca="1" si="16"/>
        <v>409</v>
      </c>
      <c r="AH225" s="126" t="str">
        <f t="shared" si="17"/>
        <v/>
      </c>
      <c r="AI225" s="134"/>
      <c r="AJ225" s="143" t="s">
        <v>2767</v>
      </c>
      <c r="AK225" s="129">
        <v>10.305</v>
      </c>
      <c r="AL225" s="129">
        <v>10.315</v>
      </c>
      <c r="AM225" s="129">
        <v>10.339999999999998</v>
      </c>
      <c r="AN225" s="129">
        <v>10.344999999999999</v>
      </c>
      <c r="AO225" s="126" t="str">
        <f t="shared" si="18"/>
        <v/>
      </c>
      <c r="AR225" s="99" t="s">
        <v>136</v>
      </c>
    </row>
    <row r="226" spans="1:44" s="99" customFormat="1" ht="21" customHeight="1" x14ac:dyDescent="0.35">
      <c r="A226" s="99">
        <v>422</v>
      </c>
      <c r="B226" s="126" t="str">
        <f t="shared" si="15"/>
        <v>0-304/1D-003X772</v>
      </c>
      <c r="C226" s="126" t="s">
        <v>2855</v>
      </c>
      <c r="D226" s="126" t="s">
        <v>11</v>
      </c>
      <c r="E226" s="143" t="s">
        <v>1332</v>
      </c>
      <c r="F226" s="143" t="s">
        <v>1333</v>
      </c>
      <c r="G226" s="126">
        <v>304</v>
      </c>
      <c r="H226" s="126" t="s">
        <v>139</v>
      </c>
      <c r="I226" s="127">
        <v>2.98</v>
      </c>
      <c r="J226" s="127"/>
      <c r="K226" s="127"/>
      <c r="L226" s="127"/>
      <c r="M226" s="144">
        <v>772</v>
      </c>
      <c r="N226" s="129">
        <v>10.28</v>
      </c>
      <c r="O226" s="129">
        <v>10.28</v>
      </c>
      <c r="P226" s="129"/>
      <c r="Q226" s="130"/>
      <c r="R226" s="131"/>
      <c r="S226" s="131"/>
      <c r="T226" s="132">
        <v>44611</v>
      </c>
      <c r="U226" s="132"/>
      <c r="V226" s="132"/>
      <c r="W226" s="132"/>
      <c r="X226" s="132"/>
      <c r="Y226" s="133"/>
      <c r="Z226" s="126" t="s">
        <v>64</v>
      </c>
      <c r="AA226" s="134" t="s">
        <v>154</v>
      </c>
      <c r="AB226" s="134" t="s">
        <v>1330</v>
      </c>
      <c r="AC226" s="134"/>
      <c r="AD226" s="134">
        <v>44516</v>
      </c>
      <c r="AE226" s="134"/>
      <c r="AF226" s="134">
        <f t="shared" ca="1" si="19"/>
        <v>44963</v>
      </c>
      <c r="AG226" s="126">
        <f t="shared" ca="1" si="16"/>
        <v>447</v>
      </c>
      <c r="AH226" s="126" t="str">
        <f t="shared" si="17"/>
        <v/>
      </c>
      <c r="AI226" s="134"/>
      <c r="AJ226" s="143" t="s">
        <v>1335</v>
      </c>
      <c r="AK226" s="129">
        <v>10.28</v>
      </c>
      <c r="AL226" s="129">
        <v>10.29</v>
      </c>
      <c r="AM226" s="129">
        <v>10.314999999999998</v>
      </c>
      <c r="AN226" s="129">
        <v>10.319999999999999</v>
      </c>
      <c r="AO226" s="126" t="str">
        <f t="shared" si="18"/>
        <v/>
      </c>
      <c r="AR226" s="99" t="s">
        <v>136</v>
      </c>
    </row>
    <row r="227" spans="1:44" s="99" customFormat="1" ht="21" customHeight="1" x14ac:dyDescent="0.35">
      <c r="A227" s="99">
        <v>422</v>
      </c>
      <c r="B227" s="126" t="str">
        <f t="shared" si="15"/>
        <v>0-304L/FH-001X767</v>
      </c>
      <c r="C227" s="126" t="s">
        <v>2854</v>
      </c>
      <c r="D227" s="126" t="s">
        <v>13</v>
      </c>
      <c r="E227" s="143" t="s">
        <v>1345</v>
      </c>
      <c r="F227" s="143" t="s">
        <v>2863</v>
      </c>
      <c r="G227" s="126" t="s">
        <v>230</v>
      </c>
      <c r="H227" s="126" t="s">
        <v>65</v>
      </c>
      <c r="I227" s="127">
        <v>2.88</v>
      </c>
      <c r="J227" s="127">
        <v>0.7</v>
      </c>
      <c r="K227" s="127"/>
      <c r="L227" s="127"/>
      <c r="M227" s="144">
        <v>767</v>
      </c>
      <c r="N227" s="129">
        <v>7.29</v>
      </c>
      <c r="O227" s="129">
        <v>7.2850000000000001</v>
      </c>
      <c r="P227" s="129"/>
      <c r="Q227" s="130"/>
      <c r="R227" s="131"/>
      <c r="S227" s="131"/>
      <c r="T227" s="132">
        <v>44611</v>
      </c>
      <c r="U227" s="132"/>
      <c r="V227" s="132"/>
      <c r="W227" s="132"/>
      <c r="X227" s="132"/>
      <c r="Y227" s="133"/>
      <c r="Z227" s="126" t="s">
        <v>64</v>
      </c>
      <c r="AA227" s="134" t="s">
        <v>154</v>
      </c>
      <c r="AB227" s="134" t="s">
        <v>1330</v>
      </c>
      <c r="AC227" s="134"/>
      <c r="AD227" s="134">
        <v>44516</v>
      </c>
      <c r="AE227" s="134"/>
      <c r="AF227" s="134">
        <f t="shared" ca="1" si="19"/>
        <v>44963</v>
      </c>
      <c r="AG227" s="126">
        <f t="shared" ca="1" si="16"/>
        <v>447</v>
      </c>
      <c r="AH227" s="126" t="str">
        <f t="shared" si="17"/>
        <v/>
      </c>
      <c r="AI227" s="134"/>
      <c r="AJ227" s="143" t="s">
        <v>1347</v>
      </c>
      <c r="AK227" s="129">
        <v>7.29</v>
      </c>
      <c r="AL227" s="129">
        <v>7.3</v>
      </c>
      <c r="AM227" s="129">
        <v>7.3250000000000002</v>
      </c>
      <c r="AN227" s="129">
        <v>7.33</v>
      </c>
      <c r="AO227" s="126" t="str">
        <f t="shared" si="18"/>
        <v/>
      </c>
      <c r="AR227" s="99" t="s">
        <v>136</v>
      </c>
    </row>
    <row r="228" spans="1:44" s="99" customFormat="1" ht="21" customHeight="1" x14ac:dyDescent="0.35">
      <c r="A228" s="99">
        <v>424</v>
      </c>
      <c r="B228" s="126" t="str">
        <f t="shared" si="15"/>
        <v>0-304L/1D-004X768</v>
      </c>
      <c r="C228" s="126" t="s">
        <v>2855</v>
      </c>
      <c r="D228" s="126" t="s">
        <v>11</v>
      </c>
      <c r="E228" s="143" t="s">
        <v>2864</v>
      </c>
      <c r="F228" s="143" t="s">
        <v>2865</v>
      </c>
      <c r="G228" s="126" t="s">
        <v>230</v>
      </c>
      <c r="H228" s="126" t="s">
        <v>139</v>
      </c>
      <c r="I228" s="127">
        <v>3.82</v>
      </c>
      <c r="J228" s="127"/>
      <c r="K228" s="127"/>
      <c r="L228" s="127"/>
      <c r="M228" s="144">
        <v>768</v>
      </c>
      <c r="N228" s="129">
        <v>11.41</v>
      </c>
      <c r="O228" s="129">
        <v>11.41</v>
      </c>
      <c r="P228" s="129"/>
      <c r="Q228" s="130"/>
      <c r="R228" s="131"/>
      <c r="S228" s="131"/>
      <c r="T228" s="132">
        <v>44611</v>
      </c>
      <c r="U228" s="132"/>
      <c r="V228" s="132"/>
      <c r="W228" s="132"/>
      <c r="X228" s="132"/>
      <c r="Y228" s="133" t="s">
        <v>1395</v>
      </c>
      <c r="Z228" s="126" t="s">
        <v>64</v>
      </c>
      <c r="AA228" s="134" t="s">
        <v>154</v>
      </c>
      <c r="AB228" s="134" t="s">
        <v>1330</v>
      </c>
      <c r="AC228" s="134"/>
      <c r="AD228" s="134">
        <v>44554</v>
      </c>
      <c r="AE228" s="134"/>
      <c r="AF228" s="134">
        <f t="shared" ca="1" si="19"/>
        <v>44963</v>
      </c>
      <c r="AG228" s="126">
        <f t="shared" ca="1" si="16"/>
        <v>409</v>
      </c>
      <c r="AH228" s="126" t="str">
        <f t="shared" si="17"/>
        <v/>
      </c>
      <c r="AI228" s="134"/>
      <c r="AJ228" s="143" t="s">
        <v>1510</v>
      </c>
      <c r="AK228" s="129">
        <v>11.41</v>
      </c>
      <c r="AL228" s="129">
        <v>11.42</v>
      </c>
      <c r="AM228" s="129">
        <v>11.444999999999999</v>
      </c>
      <c r="AN228" s="129">
        <v>11.45</v>
      </c>
      <c r="AO228" s="126" t="str">
        <f t="shared" si="18"/>
        <v/>
      </c>
      <c r="AR228" s="99" t="s">
        <v>136</v>
      </c>
    </row>
    <row r="229" spans="1:44" s="99" customFormat="1" ht="21" customHeight="1" x14ac:dyDescent="0.35">
      <c r="A229" s="99">
        <v>421</v>
      </c>
      <c r="B229" s="126" t="str">
        <f t="shared" si="15"/>
        <v>0-304L/FH-001X770</v>
      </c>
      <c r="C229" s="126" t="s">
        <v>2866</v>
      </c>
      <c r="D229" s="126" t="s">
        <v>13</v>
      </c>
      <c r="E229" s="143" t="s">
        <v>1251</v>
      </c>
      <c r="F229" s="143" t="s">
        <v>1252</v>
      </c>
      <c r="G229" s="126" t="s">
        <v>230</v>
      </c>
      <c r="H229" s="126" t="s">
        <v>65</v>
      </c>
      <c r="I229" s="127">
        <v>3.79</v>
      </c>
      <c r="J229" s="127">
        <v>1.42</v>
      </c>
      <c r="K229" s="127"/>
      <c r="L229" s="127"/>
      <c r="M229" s="144">
        <v>770</v>
      </c>
      <c r="N229" s="129">
        <v>10.36</v>
      </c>
      <c r="O229" s="129">
        <v>10.38</v>
      </c>
      <c r="P229" s="129"/>
      <c r="Q229" s="130"/>
      <c r="R229" s="131"/>
      <c r="S229" s="131"/>
      <c r="T229" s="132">
        <v>44611</v>
      </c>
      <c r="U229" s="132"/>
      <c r="V229" s="132"/>
      <c r="W229" s="132"/>
      <c r="X229" s="132"/>
      <c r="Y229" s="133"/>
      <c r="Z229" s="126" t="s">
        <v>64</v>
      </c>
      <c r="AA229" s="134" t="s">
        <v>154</v>
      </c>
      <c r="AB229" s="134" t="s">
        <v>1246</v>
      </c>
      <c r="AC229" s="134"/>
      <c r="AD229" s="134">
        <v>44496</v>
      </c>
      <c r="AE229" s="134"/>
      <c r="AF229" s="134">
        <f t="shared" ca="1" si="19"/>
        <v>44963</v>
      </c>
      <c r="AG229" s="126">
        <f t="shared" ca="1" si="16"/>
        <v>467</v>
      </c>
      <c r="AH229" s="126" t="str">
        <f t="shared" si="17"/>
        <v/>
      </c>
      <c r="AI229" s="134"/>
      <c r="AJ229" s="143" t="s">
        <v>1253</v>
      </c>
      <c r="AK229" s="129">
        <v>10.36</v>
      </c>
      <c r="AL229" s="129">
        <v>10.37</v>
      </c>
      <c r="AM229" s="129">
        <v>10.394999999999998</v>
      </c>
      <c r="AN229" s="129">
        <v>10.399999999999999</v>
      </c>
      <c r="AO229" s="126" t="str">
        <f t="shared" si="18"/>
        <v/>
      </c>
      <c r="AR229" s="99" t="s">
        <v>136</v>
      </c>
    </row>
    <row r="230" spans="1:44" s="99" customFormat="1" ht="21" customHeight="1" x14ac:dyDescent="0.35">
      <c r="A230" s="99">
        <v>422</v>
      </c>
      <c r="B230" s="126" t="str">
        <f t="shared" si="15"/>
        <v>0-304L/1D-003X765</v>
      </c>
      <c r="C230" s="126" t="s">
        <v>2867</v>
      </c>
      <c r="D230" s="126" t="s">
        <v>11</v>
      </c>
      <c r="E230" s="143" t="s">
        <v>1351</v>
      </c>
      <c r="F230" s="143" t="s">
        <v>1352</v>
      </c>
      <c r="G230" s="126" t="s">
        <v>230</v>
      </c>
      <c r="H230" s="126" t="s">
        <v>139</v>
      </c>
      <c r="I230" s="127">
        <v>2.9</v>
      </c>
      <c r="J230" s="127"/>
      <c r="K230" s="127"/>
      <c r="L230" s="127"/>
      <c r="M230" s="144">
        <v>765</v>
      </c>
      <c r="N230" s="129">
        <v>8.7149999999999999</v>
      </c>
      <c r="O230" s="129">
        <v>8.7149999999999999</v>
      </c>
      <c r="P230" s="129"/>
      <c r="Q230" s="130"/>
      <c r="R230" s="131"/>
      <c r="S230" s="131"/>
      <c r="T230" s="132">
        <v>44612</v>
      </c>
      <c r="U230" s="132"/>
      <c r="V230" s="132"/>
      <c r="W230" s="132"/>
      <c r="X230" s="132"/>
      <c r="Y230" s="133"/>
      <c r="Z230" s="126" t="s">
        <v>64</v>
      </c>
      <c r="AA230" s="134" t="s">
        <v>154</v>
      </c>
      <c r="AB230" s="134" t="s">
        <v>1330</v>
      </c>
      <c r="AC230" s="134"/>
      <c r="AD230" s="134">
        <v>44516</v>
      </c>
      <c r="AE230" s="134"/>
      <c r="AF230" s="134">
        <f t="shared" ca="1" si="19"/>
        <v>44963</v>
      </c>
      <c r="AG230" s="126">
        <f t="shared" ca="1" si="16"/>
        <v>447</v>
      </c>
      <c r="AH230" s="126" t="str">
        <f t="shared" si="17"/>
        <v/>
      </c>
      <c r="AI230" s="134"/>
      <c r="AJ230" s="143" t="s">
        <v>1350</v>
      </c>
      <c r="AK230" s="129">
        <v>8.7149999999999999</v>
      </c>
      <c r="AL230" s="129">
        <v>8.7249999999999996</v>
      </c>
      <c r="AM230" s="129">
        <v>8.7499999999999982</v>
      </c>
      <c r="AN230" s="129">
        <v>8.754999999999999</v>
      </c>
      <c r="AO230" s="126" t="str">
        <f t="shared" si="18"/>
        <v/>
      </c>
      <c r="AR230" s="99" t="s">
        <v>136</v>
      </c>
    </row>
    <row r="231" spans="1:44" s="99" customFormat="1" ht="21" customHeight="1" x14ac:dyDescent="0.35">
      <c r="A231" s="99">
        <v>424</v>
      </c>
      <c r="B231" s="126" t="str">
        <f t="shared" si="15"/>
        <v>0-304L/FH-002X768</v>
      </c>
      <c r="C231" s="126" t="s">
        <v>2866</v>
      </c>
      <c r="D231" s="126" t="s">
        <v>13</v>
      </c>
      <c r="E231" s="143" t="s">
        <v>2864</v>
      </c>
      <c r="F231" s="143" t="s">
        <v>2865</v>
      </c>
      <c r="G231" s="126" t="s">
        <v>230</v>
      </c>
      <c r="H231" s="126" t="s">
        <v>65</v>
      </c>
      <c r="I231" s="127">
        <v>3.82</v>
      </c>
      <c r="J231" s="127">
        <v>2</v>
      </c>
      <c r="K231" s="127"/>
      <c r="L231" s="127"/>
      <c r="M231" s="144">
        <v>768</v>
      </c>
      <c r="N231" s="129">
        <v>11.41</v>
      </c>
      <c r="O231" s="129">
        <v>11.43</v>
      </c>
      <c r="P231" s="129"/>
      <c r="Q231" s="130"/>
      <c r="R231" s="131"/>
      <c r="S231" s="131"/>
      <c r="T231" s="132">
        <v>44611</v>
      </c>
      <c r="U231" s="132"/>
      <c r="V231" s="132"/>
      <c r="W231" s="132"/>
      <c r="X231" s="132"/>
      <c r="Y231" s="133" t="s">
        <v>1395</v>
      </c>
      <c r="Z231" s="126" t="s">
        <v>64</v>
      </c>
      <c r="AA231" s="134" t="s">
        <v>154</v>
      </c>
      <c r="AB231" s="134" t="s">
        <v>1330</v>
      </c>
      <c r="AC231" s="134"/>
      <c r="AD231" s="134">
        <v>44554</v>
      </c>
      <c r="AE231" s="134"/>
      <c r="AF231" s="134">
        <f t="shared" ca="1" si="19"/>
        <v>44963</v>
      </c>
      <c r="AG231" s="126">
        <f t="shared" ca="1" si="16"/>
        <v>409</v>
      </c>
      <c r="AH231" s="126" t="str">
        <f t="shared" si="17"/>
        <v/>
      </c>
      <c r="AI231" s="134"/>
      <c r="AJ231" s="143" t="s">
        <v>1510</v>
      </c>
      <c r="AK231" s="129">
        <v>11.41</v>
      </c>
      <c r="AL231" s="129">
        <v>11.42</v>
      </c>
      <c r="AM231" s="129">
        <v>11.444999999999999</v>
      </c>
      <c r="AN231" s="129">
        <v>11.45</v>
      </c>
      <c r="AO231" s="126" t="str">
        <f t="shared" si="18"/>
        <v/>
      </c>
      <c r="AR231" s="99" t="s">
        <v>136</v>
      </c>
    </row>
    <row r="232" spans="1:44" s="99" customFormat="1" ht="21" customHeight="1" x14ac:dyDescent="0.35">
      <c r="A232" s="99">
        <v>424</v>
      </c>
      <c r="B232" s="126" t="str">
        <f t="shared" si="15"/>
        <v>0-304L/1D-003X766</v>
      </c>
      <c r="C232" s="126" t="s">
        <v>2867</v>
      </c>
      <c r="D232" s="126" t="s">
        <v>11</v>
      </c>
      <c r="E232" s="143" t="s">
        <v>2868</v>
      </c>
      <c r="F232" s="143" t="s">
        <v>2869</v>
      </c>
      <c r="G232" s="126" t="s">
        <v>230</v>
      </c>
      <c r="H232" s="126" t="s">
        <v>139</v>
      </c>
      <c r="I232" s="127">
        <v>3.36</v>
      </c>
      <c r="J232" s="127"/>
      <c r="K232" s="127"/>
      <c r="L232" s="127"/>
      <c r="M232" s="144">
        <v>766</v>
      </c>
      <c r="N232" s="129">
        <v>10.345000000000001</v>
      </c>
      <c r="O232" s="129">
        <v>10.345000000000001</v>
      </c>
      <c r="P232" s="129"/>
      <c r="Q232" s="130"/>
      <c r="R232" s="131"/>
      <c r="S232" s="131"/>
      <c r="T232" s="132">
        <v>44612</v>
      </c>
      <c r="U232" s="132"/>
      <c r="V232" s="132"/>
      <c r="W232" s="132"/>
      <c r="X232" s="132"/>
      <c r="Y232" s="133" t="s">
        <v>1395</v>
      </c>
      <c r="Z232" s="126" t="s">
        <v>64</v>
      </c>
      <c r="AA232" s="134" t="s">
        <v>154</v>
      </c>
      <c r="AB232" s="134" t="s">
        <v>1516</v>
      </c>
      <c r="AC232" s="134"/>
      <c r="AD232" s="134">
        <v>44554</v>
      </c>
      <c r="AE232" s="134"/>
      <c r="AF232" s="134">
        <f t="shared" ca="1" si="19"/>
        <v>44963</v>
      </c>
      <c r="AG232" s="126">
        <f t="shared" ca="1" si="16"/>
        <v>409</v>
      </c>
      <c r="AH232" s="126" t="str">
        <f t="shared" si="17"/>
        <v/>
      </c>
      <c r="AI232" s="134"/>
      <c r="AJ232" s="143" t="s">
        <v>1537</v>
      </c>
      <c r="AK232" s="129">
        <v>10.345000000000001</v>
      </c>
      <c r="AL232" s="129">
        <v>10.355</v>
      </c>
      <c r="AM232" s="129">
        <v>10.379999999999999</v>
      </c>
      <c r="AN232" s="129">
        <v>10.385</v>
      </c>
      <c r="AO232" s="126" t="str">
        <f t="shared" si="18"/>
        <v/>
      </c>
      <c r="AR232" s="99" t="s">
        <v>136</v>
      </c>
    </row>
    <row r="233" spans="1:44" s="99" customFormat="1" ht="21" customHeight="1" x14ac:dyDescent="0.35">
      <c r="A233" s="99">
        <v>422</v>
      </c>
      <c r="B233" s="126" t="str">
        <f t="shared" si="15"/>
        <v>0-304L/FH-001X765</v>
      </c>
      <c r="C233" s="126" t="s">
        <v>2866</v>
      </c>
      <c r="D233" s="126" t="s">
        <v>13</v>
      </c>
      <c r="E233" s="143" t="s">
        <v>1351</v>
      </c>
      <c r="F233" s="143" t="s">
        <v>1352</v>
      </c>
      <c r="G233" s="126" t="s">
        <v>230</v>
      </c>
      <c r="H233" s="126" t="s">
        <v>65</v>
      </c>
      <c r="I233" s="127">
        <v>2.9</v>
      </c>
      <c r="J233" s="127">
        <v>0.95</v>
      </c>
      <c r="K233" s="127"/>
      <c r="L233" s="127"/>
      <c r="M233" s="144">
        <v>765</v>
      </c>
      <c r="N233" s="129">
        <v>8.7149999999999999</v>
      </c>
      <c r="O233" s="129">
        <v>8.7100000000000009</v>
      </c>
      <c r="P233" s="129"/>
      <c r="Q233" s="130"/>
      <c r="R233" s="131"/>
      <c r="S233" s="131"/>
      <c r="T233" s="132">
        <v>44612</v>
      </c>
      <c r="U233" s="132"/>
      <c r="V233" s="132"/>
      <c r="W233" s="132"/>
      <c r="X233" s="132"/>
      <c r="Y233" s="133"/>
      <c r="Z233" s="126" t="s">
        <v>64</v>
      </c>
      <c r="AA233" s="134" t="s">
        <v>154</v>
      </c>
      <c r="AB233" s="134" t="s">
        <v>1330</v>
      </c>
      <c r="AC233" s="134"/>
      <c r="AD233" s="134">
        <v>44516</v>
      </c>
      <c r="AE233" s="134"/>
      <c r="AF233" s="134">
        <f t="shared" ca="1" si="19"/>
        <v>44963</v>
      </c>
      <c r="AG233" s="126">
        <f t="shared" ca="1" si="16"/>
        <v>447</v>
      </c>
      <c r="AH233" s="126" t="str">
        <f t="shared" si="17"/>
        <v/>
      </c>
      <c r="AI233" s="134"/>
      <c r="AJ233" s="143" t="s">
        <v>1350</v>
      </c>
      <c r="AK233" s="129">
        <v>8.7149999999999999</v>
      </c>
      <c r="AL233" s="129">
        <v>8.7249999999999996</v>
      </c>
      <c r="AM233" s="129">
        <v>8.7499999999999982</v>
      </c>
      <c r="AN233" s="129">
        <v>8.754999999999999</v>
      </c>
      <c r="AO233" s="126" t="str">
        <f t="shared" si="18"/>
        <v/>
      </c>
      <c r="AR233" s="99" t="s">
        <v>136</v>
      </c>
    </row>
    <row r="234" spans="1:44" s="99" customFormat="1" ht="21" customHeight="1" x14ac:dyDescent="0.35">
      <c r="A234" s="99">
        <v>424</v>
      </c>
      <c r="B234" s="126" t="str">
        <f t="shared" si="15"/>
        <v>0-304L/1D-004X767</v>
      </c>
      <c r="C234" s="126" t="s">
        <v>2867</v>
      </c>
      <c r="D234" s="126" t="s">
        <v>11</v>
      </c>
      <c r="E234" s="143" t="s">
        <v>2870</v>
      </c>
      <c r="F234" s="143" t="s">
        <v>2871</v>
      </c>
      <c r="G234" s="126" t="s">
        <v>230</v>
      </c>
      <c r="H234" s="126" t="s">
        <v>139</v>
      </c>
      <c r="I234" s="127">
        <v>3.77</v>
      </c>
      <c r="J234" s="127"/>
      <c r="K234" s="127"/>
      <c r="L234" s="127"/>
      <c r="M234" s="144">
        <v>767</v>
      </c>
      <c r="N234" s="129">
        <v>11.695</v>
      </c>
      <c r="O234" s="129">
        <v>11.695</v>
      </c>
      <c r="P234" s="129"/>
      <c r="Q234" s="130"/>
      <c r="R234" s="131"/>
      <c r="S234" s="131"/>
      <c r="T234" s="132">
        <v>44612</v>
      </c>
      <c r="U234" s="132"/>
      <c r="V234" s="132"/>
      <c r="W234" s="132"/>
      <c r="X234" s="132"/>
      <c r="Y234" s="133" t="s">
        <v>1395</v>
      </c>
      <c r="Z234" s="126" t="s">
        <v>64</v>
      </c>
      <c r="AA234" s="134" t="s">
        <v>154</v>
      </c>
      <c r="AB234" s="134" t="s">
        <v>1516</v>
      </c>
      <c r="AC234" s="134"/>
      <c r="AD234" s="134">
        <v>44554</v>
      </c>
      <c r="AE234" s="134"/>
      <c r="AF234" s="134">
        <f t="shared" ca="1" si="19"/>
        <v>44963</v>
      </c>
      <c r="AG234" s="126">
        <f t="shared" ca="1" si="16"/>
        <v>409</v>
      </c>
      <c r="AH234" s="126" t="str">
        <f t="shared" si="17"/>
        <v/>
      </c>
      <c r="AI234" s="134"/>
      <c r="AJ234" s="143" t="s">
        <v>1588</v>
      </c>
      <c r="AK234" s="129">
        <v>11.695</v>
      </c>
      <c r="AL234" s="129">
        <v>11.705</v>
      </c>
      <c r="AM234" s="129">
        <v>11.729999999999999</v>
      </c>
      <c r="AN234" s="129">
        <v>11.734999999999999</v>
      </c>
      <c r="AO234" s="126" t="str">
        <f t="shared" si="18"/>
        <v/>
      </c>
      <c r="AR234" s="99" t="s">
        <v>136</v>
      </c>
    </row>
    <row r="235" spans="1:44" s="99" customFormat="1" ht="21" customHeight="1" x14ac:dyDescent="0.35">
      <c r="A235" s="99">
        <v>422</v>
      </c>
      <c r="B235" s="126" t="str">
        <f t="shared" si="15"/>
        <v>0-304/FH-001X772</v>
      </c>
      <c r="C235" s="126" t="s">
        <v>2866</v>
      </c>
      <c r="D235" s="126" t="s">
        <v>13</v>
      </c>
      <c r="E235" s="143" t="s">
        <v>1332</v>
      </c>
      <c r="F235" s="143" t="s">
        <v>1333</v>
      </c>
      <c r="G235" s="126">
        <v>304</v>
      </c>
      <c r="H235" s="126" t="s">
        <v>65</v>
      </c>
      <c r="I235" s="127">
        <v>2.98</v>
      </c>
      <c r="J235" s="127">
        <v>0.92</v>
      </c>
      <c r="K235" s="127"/>
      <c r="L235" s="127"/>
      <c r="M235" s="144">
        <v>772</v>
      </c>
      <c r="N235" s="129">
        <v>10.28</v>
      </c>
      <c r="O235" s="129">
        <v>10.3</v>
      </c>
      <c r="P235" s="129"/>
      <c r="Q235" s="130"/>
      <c r="R235" s="131"/>
      <c r="S235" s="131"/>
      <c r="T235" s="132">
        <v>44611</v>
      </c>
      <c r="U235" s="132"/>
      <c r="V235" s="132"/>
      <c r="W235" s="132"/>
      <c r="X235" s="132"/>
      <c r="Y235" s="133"/>
      <c r="Z235" s="126" t="s">
        <v>64</v>
      </c>
      <c r="AA235" s="134" t="s">
        <v>154</v>
      </c>
      <c r="AB235" s="134" t="s">
        <v>1330</v>
      </c>
      <c r="AC235" s="134"/>
      <c r="AD235" s="134">
        <v>44516</v>
      </c>
      <c r="AE235" s="134"/>
      <c r="AF235" s="134">
        <f t="shared" ca="1" si="19"/>
        <v>44963</v>
      </c>
      <c r="AG235" s="126">
        <f t="shared" ca="1" si="16"/>
        <v>447</v>
      </c>
      <c r="AH235" s="126" t="str">
        <f t="shared" si="17"/>
        <v/>
      </c>
      <c r="AI235" s="134"/>
      <c r="AJ235" s="143" t="s">
        <v>1335</v>
      </c>
      <c r="AK235" s="129">
        <v>10.28</v>
      </c>
      <c r="AL235" s="129">
        <v>10.29</v>
      </c>
      <c r="AM235" s="129">
        <v>10.314999999999998</v>
      </c>
      <c r="AN235" s="129">
        <v>10.319999999999999</v>
      </c>
      <c r="AO235" s="126" t="str">
        <f t="shared" si="18"/>
        <v/>
      </c>
      <c r="AR235" s="99" t="s">
        <v>136</v>
      </c>
    </row>
    <row r="236" spans="1:44" s="99" customFormat="1" ht="21" customHeight="1" x14ac:dyDescent="0.35">
      <c r="A236" s="99">
        <v>421</v>
      </c>
      <c r="B236" s="126" t="str">
        <f t="shared" si="15"/>
        <v>0-304L/1D-003X770</v>
      </c>
      <c r="C236" s="126" t="s">
        <v>2867</v>
      </c>
      <c r="D236" s="126" t="s">
        <v>11</v>
      </c>
      <c r="E236" s="143" t="s">
        <v>2872</v>
      </c>
      <c r="F236" s="143" t="s">
        <v>2873</v>
      </c>
      <c r="G236" s="126" t="s">
        <v>230</v>
      </c>
      <c r="H236" s="126" t="s">
        <v>139</v>
      </c>
      <c r="I236" s="127">
        <v>2.91</v>
      </c>
      <c r="J236" s="127"/>
      <c r="K236" s="127"/>
      <c r="L236" s="127"/>
      <c r="M236" s="144">
        <v>770</v>
      </c>
      <c r="N236" s="129">
        <v>8.31</v>
      </c>
      <c r="O236" s="129">
        <v>8.31</v>
      </c>
      <c r="P236" s="129"/>
      <c r="Q236" s="130"/>
      <c r="R236" s="131"/>
      <c r="S236" s="131"/>
      <c r="T236" s="132">
        <v>44612</v>
      </c>
      <c r="U236" s="132"/>
      <c r="V236" s="132"/>
      <c r="W236" s="132"/>
      <c r="X236" s="132"/>
      <c r="Y236" s="133"/>
      <c r="Z236" s="126" t="s">
        <v>64</v>
      </c>
      <c r="AA236" s="134" t="s">
        <v>154</v>
      </c>
      <c r="AB236" s="134" t="s">
        <v>1190</v>
      </c>
      <c r="AC236" s="134"/>
      <c r="AD236" s="134">
        <v>44496</v>
      </c>
      <c r="AE236" s="134"/>
      <c r="AF236" s="134">
        <f t="shared" ca="1" si="19"/>
        <v>44963</v>
      </c>
      <c r="AG236" s="126">
        <f t="shared" ca="1" si="16"/>
        <v>467</v>
      </c>
      <c r="AH236" s="126" t="str">
        <f t="shared" si="17"/>
        <v/>
      </c>
      <c r="AI236" s="134"/>
      <c r="AJ236" s="143" t="s">
        <v>2740</v>
      </c>
      <c r="AK236" s="129">
        <v>8.31</v>
      </c>
      <c r="AL236" s="129">
        <v>8.32</v>
      </c>
      <c r="AM236" s="129">
        <v>8.3449999999999989</v>
      </c>
      <c r="AN236" s="129">
        <v>8.35</v>
      </c>
      <c r="AO236" s="126" t="str">
        <f t="shared" si="18"/>
        <v/>
      </c>
      <c r="AR236" s="99" t="s">
        <v>136</v>
      </c>
    </row>
    <row r="237" spans="1:44" s="99" customFormat="1" ht="21" customHeight="1" x14ac:dyDescent="0.35">
      <c r="A237" s="99">
        <v>424</v>
      </c>
      <c r="B237" s="126" t="str">
        <f t="shared" si="15"/>
        <v>0-304L/FH-001X766</v>
      </c>
      <c r="C237" s="126" t="s">
        <v>2866</v>
      </c>
      <c r="D237" s="126" t="s">
        <v>13</v>
      </c>
      <c r="E237" s="143" t="s">
        <v>2868</v>
      </c>
      <c r="F237" s="143" t="s">
        <v>2869</v>
      </c>
      <c r="G237" s="126" t="s">
        <v>230</v>
      </c>
      <c r="H237" s="126" t="s">
        <v>65</v>
      </c>
      <c r="I237" s="127">
        <v>3.36</v>
      </c>
      <c r="J237" s="127">
        <v>1.2</v>
      </c>
      <c r="K237" s="127"/>
      <c r="L237" s="127"/>
      <c r="M237" s="144">
        <v>766</v>
      </c>
      <c r="N237" s="129">
        <v>10.345000000000001</v>
      </c>
      <c r="O237" s="129">
        <v>10.365</v>
      </c>
      <c r="P237" s="129"/>
      <c r="Q237" s="130"/>
      <c r="R237" s="131"/>
      <c r="S237" s="131"/>
      <c r="T237" s="132">
        <v>44612</v>
      </c>
      <c r="U237" s="132"/>
      <c r="V237" s="132"/>
      <c r="W237" s="132"/>
      <c r="X237" s="132"/>
      <c r="Y237" s="133" t="s">
        <v>1395</v>
      </c>
      <c r="Z237" s="126" t="s">
        <v>64</v>
      </c>
      <c r="AA237" s="134" t="s">
        <v>154</v>
      </c>
      <c r="AB237" s="134" t="s">
        <v>1516</v>
      </c>
      <c r="AC237" s="134"/>
      <c r="AD237" s="134">
        <v>44554</v>
      </c>
      <c r="AE237" s="134"/>
      <c r="AF237" s="134">
        <f t="shared" ca="1" si="19"/>
        <v>44963</v>
      </c>
      <c r="AG237" s="126">
        <f t="shared" ca="1" si="16"/>
        <v>409</v>
      </c>
      <c r="AH237" s="126" t="str">
        <f t="shared" si="17"/>
        <v/>
      </c>
      <c r="AI237" s="134"/>
      <c r="AJ237" s="143" t="s">
        <v>1537</v>
      </c>
      <c r="AK237" s="129">
        <v>10.345000000000001</v>
      </c>
      <c r="AL237" s="129">
        <v>10.355</v>
      </c>
      <c r="AM237" s="129">
        <v>10.379999999999999</v>
      </c>
      <c r="AN237" s="129">
        <v>10.385</v>
      </c>
      <c r="AO237" s="126" t="str">
        <f t="shared" si="18"/>
        <v/>
      </c>
      <c r="AR237" s="99" t="s">
        <v>136</v>
      </c>
    </row>
    <row r="238" spans="1:44" s="99" customFormat="1" ht="21" customHeight="1" x14ac:dyDescent="0.35">
      <c r="A238" s="99">
        <v>424</v>
      </c>
      <c r="B238" s="126" t="str">
        <f t="shared" si="15"/>
        <v>0-304/1D-004X773</v>
      </c>
      <c r="C238" s="126" t="s">
        <v>2867</v>
      </c>
      <c r="D238" s="126" t="s">
        <v>11</v>
      </c>
      <c r="E238" s="143" t="s">
        <v>2874</v>
      </c>
      <c r="F238" s="143" t="s">
        <v>2875</v>
      </c>
      <c r="G238" s="126">
        <v>304</v>
      </c>
      <c r="H238" s="126" t="s">
        <v>139</v>
      </c>
      <c r="I238" s="127">
        <v>3.64</v>
      </c>
      <c r="J238" s="127"/>
      <c r="K238" s="127"/>
      <c r="L238" s="127"/>
      <c r="M238" s="144">
        <v>773</v>
      </c>
      <c r="N238" s="129">
        <v>12.015000000000001</v>
      </c>
      <c r="O238" s="129">
        <v>12.015000000000001</v>
      </c>
      <c r="P238" s="129"/>
      <c r="Q238" s="130"/>
      <c r="R238" s="131"/>
      <c r="S238" s="131"/>
      <c r="T238" s="132">
        <v>44612</v>
      </c>
      <c r="U238" s="132"/>
      <c r="V238" s="132"/>
      <c r="W238" s="132"/>
      <c r="X238" s="132"/>
      <c r="Y238" s="133" t="s">
        <v>1395</v>
      </c>
      <c r="Z238" s="126" t="s">
        <v>64</v>
      </c>
      <c r="AA238" s="134" t="s">
        <v>154</v>
      </c>
      <c r="AB238" s="134" t="s">
        <v>1330</v>
      </c>
      <c r="AC238" s="134"/>
      <c r="AD238" s="134">
        <v>44554</v>
      </c>
      <c r="AE238" s="134"/>
      <c r="AF238" s="134">
        <f t="shared" ca="1" si="19"/>
        <v>44963</v>
      </c>
      <c r="AG238" s="126">
        <f t="shared" ca="1" si="16"/>
        <v>409</v>
      </c>
      <c r="AH238" s="126" t="str">
        <f t="shared" si="17"/>
        <v/>
      </c>
      <c r="AI238" s="134"/>
      <c r="AJ238" s="143" t="s">
        <v>2625</v>
      </c>
      <c r="AK238" s="129">
        <v>12.015000000000001</v>
      </c>
      <c r="AL238" s="129">
        <v>12.025</v>
      </c>
      <c r="AM238" s="129">
        <v>12.049999999999999</v>
      </c>
      <c r="AN238" s="129">
        <v>12.055</v>
      </c>
      <c r="AO238" s="126" t="str">
        <f t="shared" si="18"/>
        <v/>
      </c>
      <c r="AR238" s="99" t="s">
        <v>136</v>
      </c>
    </row>
    <row r="239" spans="1:44" s="99" customFormat="1" ht="21" customHeight="1" x14ac:dyDescent="0.35">
      <c r="A239" s="99">
        <v>421</v>
      </c>
      <c r="B239" s="126" t="str">
        <f t="shared" si="15"/>
        <v>0-304L/FH-001X770</v>
      </c>
      <c r="C239" s="126" t="s">
        <v>2866</v>
      </c>
      <c r="D239" s="126" t="s">
        <v>13</v>
      </c>
      <c r="E239" s="143" t="s">
        <v>2872</v>
      </c>
      <c r="F239" s="143" t="s">
        <v>2873</v>
      </c>
      <c r="G239" s="126" t="s">
        <v>230</v>
      </c>
      <c r="H239" s="126" t="s">
        <v>65</v>
      </c>
      <c r="I239" s="127">
        <v>2.91</v>
      </c>
      <c r="J239" s="127">
        <v>1.01</v>
      </c>
      <c r="K239" s="127"/>
      <c r="L239" s="127"/>
      <c r="M239" s="144">
        <v>770</v>
      </c>
      <c r="N239" s="129">
        <v>8.31</v>
      </c>
      <c r="O239" s="129">
        <v>8.31</v>
      </c>
      <c r="P239" s="129"/>
      <c r="Q239" s="130"/>
      <c r="R239" s="131"/>
      <c r="S239" s="131"/>
      <c r="T239" s="132">
        <v>44612</v>
      </c>
      <c r="U239" s="132"/>
      <c r="V239" s="132"/>
      <c r="W239" s="132"/>
      <c r="X239" s="132"/>
      <c r="Y239" s="133"/>
      <c r="Z239" s="126" t="s">
        <v>64</v>
      </c>
      <c r="AA239" s="134" t="s">
        <v>154</v>
      </c>
      <c r="AB239" s="134" t="s">
        <v>1190</v>
      </c>
      <c r="AC239" s="134"/>
      <c r="AD239" s="134">
        <v>44496</v>
      </c>
      <c r="AE239" s="134"/>
      <c r="AF239" s="134">
        <f t="shared" ca="1" si="19"/>
        <v>44963</v>
      </c>
      <c r="AG239" s="126">
        <f t="shared" ca="1" si="16"/>
        <v>467</v>
      </c>
      <c r="AH239" s="126" t="str">
        <f t="shared" si="17"/>
        <v/>
      </c>
      <c r="AI239" s="134"/>
      <c r="AJ239" s="143" t="s">
        <v>2740</v>
      </c>
      <c r="AK239" s="129">
        <v>8.31</v>
      </c>
      <c r="AL239" s="129">
        <v>8.32</v>
      </c>
      <c r="AM239" s="129">
        <v>8.3449999999999989</v>
      </c>
      <c r="AN239" s="129">
        <v>8.35</v>
      </c>
      <c r="AO239" s="126" t="str">
        <f t="shared" si="18"/>
        <v/>
      </c>
      <c r="AR239" s="99" t="s">
        <v>136</v>
      </c>
    </row>
    <row r="240" spans="1:44" s="99" customFormat="1" ht="21" customHeight="1" x14ac:dyDescent="0.35">
      <c r="A240" s="99">
        <v>424</v>
      </c>
      <c r="B240" s="126" t="str">
        <f t="shared" si="15"/>
        <v>0-304L/1D-004X764</v>
      </c>
      <c r="C240" s="126" t="s">
        <v>2867</v>
      </c>
      <c r="D240" s="126" t="s">
        <v>11</v>
      </c>
      <c r="E240" s="143" t="s">
        <v>2876</v>
      </c>
      <c r="F240" s="143" t="s">
        <v>2877</v>
      </c>
      <c r="G240" s="126" t="s">
        <v>230</v>
      </c>
      <c r="H240" s="126" t="s">
        <v>139</v>
      </c>
      <c r="I240" s="127">
        <v>3.78</v>
      </c>
      <c r="J240" s="127"/>
      <c r="K240" s="127"/>
      <c r="L240" s="127"/>
      <c r="M240" s="144">
        <v>764</v>
      </c>
      <c r="N240" s="129">
        <v>10.210000000000001</v>
      </c>
      <c r="O240" s="129">
        <v>10.210000000000001</v>
      </c>
      <c r="P240" s="129"/>
      <c r="Q240" s="130"/>
      <c r="R240" s="131"/>
      <c r="S240" s="131"/>
      <c r="T240" s="132">
        <v>44612</v>
      </c>
      <c r="U240" s="132"/>
      <c r="V240" s="132"/>
      <c r="W240" s="132"/>
      <c r="X240" s="132"/>
      <c r="Y240" s="133" t="s">
        <v>1395</v>
      </c>
      <c r="Z240" s="126" t="s">
        <v>64</v>
      </c>
      <c r="AA240" s="134" t="s">
        <v>154</v>
      </c>
      <c r="AB240" s="134" t="s">
        <v>1330</v>
      </c>
      <c r="AC240" s="134"/>
      <c r="AD240" s="134">
        <v>44554</v>
      </c>
      <c r="AE240" s="134"/>
      <c r="AF240" s="134">
        <f t="shared" ca="1" si="19"/>
        <v>44963</v>
      </c>
      <c r="AG240" s="126">
        <f t="shared" ca="1" si="16"/>
        <v>409</v>
      </c>
      <c r="AH240" s="126" t="str">
        <f t="shared" si="17"/>
        <v/>
      </c>
      <c r="AI240" s="134"/>
      <c r="AJ240" s="143" t="s">
        <v>1396</v>
      </c>
      <c r="AK240" s="129">
        <v>10.210000000000001</v>
      </c>
      <c r="AL240" s="129">
        <v>10.220000000000001</v>
      </c>
      <c r="AM240" s="129">
        <v>10.244999999999999</v>
      </c>
      <c r="AN240" s="129">
        <v>10.25</v>
      </c>
      <c r="AO240" s="126" t="str">
        <f t="shared" si="18"/>
        <v/>
      </c>
      <c r="AR240" s="99" t="s">
        <v>136</v>
      </c>
    </row>
    <row r="241" spans="1:44" s="99" customFormat="1" ht="21" customHeight="1" x14ac:dyDescent="0.35">
      <c r="A241" s="99">
        <v>424</v>
      </c>
      <c r="B241" s="126" t="str">
        <f t="shared" si="15"/>
        <v>0-304L/FH-002X767</v>
      </c>
      <c r="C241" s="126" t="s">
        <v>2866</v>
      </c>
      <c r="D241" s="126" t="s">
        <v>13</v>
      </c>
      <c r="E241" s="143" t="s">
        <v>2870</v>
      </c>
      <c r="F241" s="143" t="s">
        <v>2871</v>
      </c>
      <c r="G241" s="126" t="s">
        <v>230</v>
      </c>
      <c r="H241" s="126" t="s">
        <v>65</v>
      </c>
      <c r="I241" s="127">
        <v>3.77</v>
      </c>
      <c r="J241" s="127">
        <v>1.5</v>
      </c>
      <c r="K241" s="127"/>
      <c r="L241" s="127"/>
      <c r="M241" s="144">
        <v>767</v>
      </c>
      <c r="N241" s="129">
        <v>11.695</v>
      </c>
      <c r="O241" s="129">
        <v>11.71</v>
      </c>
      <c r="P241" s="129"/>
      <c r="Q241" s="130"/>
      <c r="R241" s="131"/>
      <c r="S241" s="131"/>
      <c r="T241" s="132">
        <v>44612</v>
      </c>
      <c r="U241" s="132"/>
      <c r="V241" s="132"/>
      <c r="W241" s="132"/>
      <c r="X241" s="132"/>
      <c r="Y241" s="133" t="s">
        <v>1395</v>
      </c>
      <c r="Z241" s="126" t="s">
        <v>64</v>
      </c>
      <c r="AA241" s="134" t="s">
        <v>154</v>
      </c>
      <c r="AB241" s="134" t="s">
        <v>1516</v>
      </c>
      <c r="AC241" s="134"/>
      <c r="AD241" s="134">
        <v>44554</v>
      </c>
      <c r="AE241" s="134"/>
      <c r="AF241" s="134">
        <f t="shared" ca="1" si="19"/>
        <v>44963</v>
      </c>
      <c r="AG241" s="126">
        <f t="shared" ca="1" si="16"/>
        <v>409</v>
      </c>
      <c r="AH241" s="126" t="str">
        <f t="shared" si="17"/>
        <v/>
      </c>
      <c r="AI241" s="134"/>
      <c r="AJ241" s="143" t="s">
        <v>1588</v>
      </c>
      <c r="AK241" s="129">
        <v>11.695</v>
      </c>
      <c r="AL241" s="129">
        <v>11.705</v>
      </c>
      <c r="AM241" s="129">
        <v>11.729999999999999</v>
      </c>
      <c r="AN241" s="129">
        <v>11.734999999999999</v>
      </c>
      <c r="AO241" s="126" t="str">
        <f t="shared" si="18"/>
        <v/>
      </c>
      <c r="AR241" s="99" t="s">
        <v>136</v>
      </c>
    </row>
    <row r="242" spans="1:44" s="99" customFormat="1" ht="21" customHeight="1" x14ac:dyDescent="0.35">
      <c r="A242" s="99">
        <v>422</v>
      </c>
      <c r="B242" s="126" t="str">
        <f t="shared" si="15"/>
        <v>0-304/1D-003X768</v>
      </c>
      <c r="C242" s="126" t="s">
        <v>2878</v>
      </c>
      <c r="D242" s="126" t="s">
        <v>11</v>
      </c>
      <c r="E242" s="143" t="s">
        <v>2879</v>
      </c>
      <c r="F242" s="143" t="s">
        <v>2880</v>
      </c>
      <c r="G242" s="126">
        <v>304</v>
      </c>
      <c r="H242" s="126" t="s">
        <v>139</v>
      </c>
      <c r="I242" s="127">
        <v>3</v>
      </c>
      <c r="J242" s="127"/>
      <c r="K242" s="127"/>
      <c r="L242" s="127"/>
      <c r="M242" s="144">
        <v>768</v>
      </c>
      <c r="N242" s="129">
        <v>10.455</v>
      </c>
      <c r="O242" s="129">
        <v>10.455</v>
      </c>
      <c r="P242" s="129"/>
      <c r="Q242" s="130"/>
      <c r="R242" s="131"/>
      <c r="S242" s="131"/>
      <c r="T242" s="132">
        <v>44613</v>
      </c>
      <c r="U242" s="132"/>
      <c r="V242" s="132"/>
      <c r="W242" s="132"/>
      <c r="X242" s="132"/>
      <c r="Y242" s="133"/>
      <c r="Z242" s="126" t="s">
        <v>64</v>
      </c>
      <c r="AA242" s="134" t="s">
        <v>154</v>
      </c>
      <c r="AB242" s="134" t="s">
        <v>1296</v>
      </c>
      <c r="AC242" s="134"/>
      <c r="AD242" s="134">
        <v>44516</v>
      </c>
      <c r="AE242" s="134"/>
      <c r="AF242" s="134">
        <f t="shared" ca="1" si="19"/>
        <v>44963</v>
      </c>
      <c r="AG242" s="126">
        <f t="shared" ca="1" si="16"/>
        <v>447</v>
      </c>
      <c r="AH242" s="126" t="str">
        <f t="shared" si="17"/>
        <v/>
      </c>
      <c r="AI242" s="134"/>
      <c r="AJ242" s="143" t="s">
        <v>2881</v>
      </c>
      <c r="AK242" s="129">
        <v>10.455</v>
      </c>
      <c r="AL242" s="129">
        <v>10.465</v>
      </c>
      <c r="AM242" s="129">
        <v>10.489999999999998</v>
      </c>
      <c r="AN242" s="129">
        <v>10.494999999999999</v>
      </c>
      <c r="AO242" s="126" t="str">
        <f t="shared" si="18"/>
        <v/>
      </c>
      <c r="AR242" s="99" t="s">
        <v>136</v>
      </c>
    </row>
    <row r="243" spans="1:44" s="99" customFormat="1" ht="21" customHeight="1" x14ac:dyDescent="0.35">
      <c r="A243" s="99">
        <v>424</v>
      </c>
      <c r="B243" s="126" t="str">
        <f t="shared" si="15"/>
        <v>0-304L/FH-002X764</v>
      </c>
      <c r="C243" s="126" t="s">
        <v>2882</v>
      </c>
      <c r="D243" s="126" t="s">
        <v>13</v>
      </c>
      <c r="E243" s="143" t="s">
        <v>2876</v>
      </c>
      <c r="F243" s="143" t="s">
        <v>2877</v>
      </c>
      <c r="G243" s="126" t="s">
        <v>230</v>
      </c>
      <c r="H243" s="126" t="s">
        <v>65</v>
      </c>
      <c r="I243" s="127">
        <v>3.78</v>
      </c>
      <c r="J243" s="127">
        <v>1.5</v>
      </c>
      <c r="K243" s="127"/>
      <c r="L243" s="127"/>
      <c r="M243" s="144">
        <v>764</v>
      </c>
      <c r="N243" s="129">
        <v>10.210000000000001</v>
      </c>
      <c r="O243" s="129">
        <v>10.199999999999999</v>
      </c>
      <c r="P243" s="129"/>
      <c r="Q243" s="130"/>
      <c r="R243" s="131"/>
      <c r="S243" s="131"/>
      <c r="T243" s="132">
        <v>44612</v>
      </c>
      <c r="U243" s="132"/>
      <c r="V243" s="132"/>
      <c r="W243" s="132"/>
      <c r="X243" s="132"/>
      <c r="Y243" s="133" t="s">
        <v>1395</v>
      </c>
      <c r="Z243" s="126" t="s">
        <v>64</v>
      </c>
      <c r="AA243" s="134" t="s">
        <v>154</v>
      </c>
      <c r="AB243" s="134" t="s">
        <v>1330</v>
      </c>
      <c r="AC243" s="134"/>
      <c r="AD243" s="134">
        <v>44554</v>
      </c>
      <c r="AE243" s="134"/>
      <c r="AF243" s="134">
        <f t="shared" ca="1" si="19"/>
        <v>44963</v>
      </c>
      <c r="AG243" s="126">
        <f t="shared" ca="1" si="16"/>
        <v>409</v>
      </c>
      <c r="AH243" s="126" t="str">
        <f t="shared" si="17"/>
        <v/>
      </c>
      <c r="AI243" s="134"/>
      <c r="AJ243" s="143" t="s">
        <v>1396</v>
      </c>
      <c r="AK243" s="129">
        <v>10.210000000000001</v>
      </c>
      <c r="AL243" s="129">
        <v>10.220000000000001</v>
      </c>
      <c r="AM243" s="129">
        <v>10.244999999999999</v>
      </c>
      <c r="AN243" s="129">
        <v>10.25</v>
      </c>
      <c r="AO243" s="126" t="str">
        <f t="shared" si="18"/>
        <v/>
      </c>
      <c r="AR243" s="99" t="s">
        <v>136</v>
      </c>
    </row>
    <row r="244" spans="1:44" s="99" customFormat="1" ht="21" customHeight="1" x14ac:dyDescent="0.35">
      <c r="A244" s="99">
        <v>421</v>
      </c>
      <c r="B244" s="126" t="str">
        <f t="shared" si="15"/>
        <v>0-304L/1D-003X770</v>
      </c>
      <c r="C244" s="126" t="s">
        <v>2883</v>
      </c>
      <c r="D244" s="126" t="s">
        <v>11</v>
      </c>
      <c r="E244" s="143" t="s">
        <v>2884</v>
      </c>
      <c r="F244" s="143" t="s">
        <v>2885</v>
      </c>
      <c r="G244" s="126" t="s">
        <v>230</v>
      </c>
      <c r="H244" s="126" t="s">
        <v>139</v>
      </c>
      <c r="I244" s="127">
        <v>2.88</v>
      </c>
      <c r="J244" s="127"/>
      <c r="K244" s="127"/>
      <c r="L244" s="127"/>
      <c r="M244" s="144">
        <v>770</v>
      </c>
      <c r="N244" s="129">
        <v>12.08</v>
      </c>
      <c r="O244" s="129">
        <v>12.08</v>
      </c>
      <c r="P244" s="129"/>
      <c r="Q244" s="130"/>
      <c r="R244" s="131"/>
      <c r="S244" s="131"/>
      <c r="T244" s="132">
        <v>44614</v>
      </c>
      <c r="U244" s="132"/>
      <c r="V244" s="132"/>
      <c r="W244" s="132"/>
      <c r="X244" s="132"/>
      <c r="Y244" s="133"/>
      <c r="Z244" s="126" t="s">
        <v>64</v>
      </c>
      <c r="AA244" s="134" t="s">
        <v>154</v>
      </c>
      <c r="AB244" s="134" t="s">
        <v>1190</v>
      </c>
      <c r="AC244" s="134"/>
      <c r="AD244" s="134">
        <v>44496</v>
      </c>
      <c r="AE244" s="134"/>
      <c r="AF244" s="134">
        <f t="shared" ca="1" si="19"/>
        <v>44963</v>
      </c>
      <c r="AG244" s="126">
        <f t="shared" ca="1" si="16"/>
        <v>467</v>
      </c>
      <c r="AH244" s="126" t="str">
        <f t="shared" si="17"/>
        <v/>
      </c>
      <c r="AI244" s="134"/>
      <c r="AJ244" s="143" t="s">
        <v>2751</v>
      </c>
      <c r="AK244" s="129">
        <v>12.08</v>
      </c>
      <c r="AL244" s="129">
        <v>12.09</v>
      </c>
      <c r="AM244" s="129">
        <v>12.114999999999998</v>
      </c>
      <c r="AN244" s="129">
        <v>12.12</v>
      </c>
      <c r="AO244" s="126" t="str">
        <f t="shared" si="18"/>
        <v/>
      </c>
      <c r="AR244" s="99" t="s">
        <v>136</v>
      </c>
    </row>
    <row r="245" spans="1:44" s="99" customFormat="1" ht="21" customHeight="1" x14ac:dyDescent="0.35">
      <c r="A245" s="99">
        <v>422</v>
      </c>
      <c r="B245" s="126" t="str">
        <f t="shared" si="15"/>
        <v>0-304/FH-001X768</v>
      </c>
      <c r="C245" s="126" t="s">
        <v>2882</v>
      </c>
      <c r="D245" s="126" t="s">
        <v>13</v>
      </c>
      <c r="E245" s="143" t="s">
        <v>2879</v>
      </c>
      <c r="F245" s="143" t="s">
        <v>2880</v>
      </c>
      <c r="G245" s="126">
        <v>304</v>
      </c>
      <c r="H245" s="126" t="s">
        <v>65</v>
      </c>
      <c r="I245" s="127">
        <v>3</v>
      </c>
      <c r="J245" s="127">
        <v>1.01</v>
      </c>
      <c r="K245" s="127"/>
      <c r="L245" s="127"/>
      <c r="M245" s="144">
        <v>768</v>
      </c>
      <c r="N245" s="129">
        <v>10.455</v>
      </c>
      <c r="O245" s="129">
        <v>10.465</v>
      </c>
      <c r="P245" s="129"/>
      <c r="Q245" s="130"/>
      <c r="R245" s="131"/>
      <c r="S245" s="131"/>
      <c r="T245" s="132">
        <v>44613</v>
      </c>
      <c r="U245" s="132"/>
      <c r="V245" s="132"/>
      <c r="W245" s="132"/>
      <c r="X245" s="132"/>
      <c r="Y245" s="133"/>
      <c r="Z245" s="126" t="s">
        <v>64</v>
      </c>
      <c r="AA245" s="134" t="s">
        <v>154</v>
      </c>
      <c r="AB245" s="134" t="s">
        <v>1296</v>
      </c>
      <c r="AC245" s="134"/>
      <c r="AD245" s="134">
        <v>44516</v>
      </c>
      <c r="AE245" s="134"/>
      <c r="AF245" s="134">
        <f t="shared" ca="1" si="19"/>
        <v>44963</v>
      </c>
      <c r="AG245" s="126">
        <f t="shared" ca="1" si="16"/>
        <v>447</v>
      </c>
      <c r="AH245" s="126" t="str">
        <f t="shared" si="17"/>
        <v/>
      </c>
      <c r="AI245" s="134"/>
      <c r="AJ245" s="143" t="s">
        <v>2881</v>
      </c>
      <c r="AK245" s="129">
        <v>10.455</v>
      </c>
      <c r="AL245" s="129">
        <v>10.465</v>
      </c>
      <c r="AM245" s="129">
        <v>10.489999999999998</v>
      </c>
      <c r="AN245" s="129">
        <v>10.494999999999999</v>
      </c>
      <c r="AO245" s="126" t="str">
        <f t="shared" si="18"/>
        <v/>
      </c>
      <c r="AR245" s="99" t="s">
        <v>136</v>
      </c>
    </row>
    <row r="246" spans="1:44" s="99" customFormat="1" ht="21" customHeight="1" x14ac:dyDescent="0.35">
      <c r="A246" s="99">
        <v>422</v>
      </c>
      <c r="B246" s="126" t="str">
        <f t="shared" si="15"/>
        <v>0-304L/1D-003X767</v>
      </c>
      <c r="C246" s="126" t="s">
        <v>2883</v>
      </c>
      <c r="D246" s="126" t="s">
        <v>11</v>
      </c>
      <c r="E246" s="143" t="s">
        <v>2886</v>
      </c>
      <c r="F246" s="143" t="s">
        <v>2887</v>
      </c>
      <c r="G246" s="126" t="s">
        <v>230</v>
      </c>
      <c r="H246" s="126" t="s">
        <v>139</v>
      </c>
      <c r="I246" s="127">
        <v>2.89</v>
      </c>
      <c r="J246" s="127"/>
      <c r="K246" s="127"/>
      <c r="L246" s="127"/>
      <c r="M246" s="144">
        <v>767</v>
      </c>
      <c r="N246" s="129">
        <v>10.395</v>
      </c>
      <c r="O246" s="129">
        <v>10.395</v>
      </c>
      <c r="P246" s="129"/>
      <c r="Q246" s="130"/>
      <c r="R246" s="131"/>
      <c r="S246" s="131"/>
      <c r="T246" s="132">
        <v>44614</v>
      </c>
      <c r="U246" s="132"/>
      <c r="V246" s="132"/>
      <c r="W246" s="132"/>
      <c r="X246" s="132"/>
      <c r="Y246" s="133"/>
      <c r="Z246" s="126" t="s">
        <v>64</v>
      </c>
      <c r="AA246" s="134" t="s">
        <v>154</v>
      </c>
      <c r="AB246" s="134" t="s">
        <v>1330</v>
      </c>
      <c r="AC246" s="134"/>
      <c r="AD246" s="134">
        <v>44516</v>
      </c>
      <c r="AE246" s="134"/>
      <c r="AF246" s="134">
        <f t="shared" ca="1" si="19"/>
        <v>44963</v>
      </c>
      <c r="AG246" s="126">
        <f t="shared" ca="1" si="16"/>
        <v>447</v>
      </c>
      <c r="AH246" s="126" t="str">
        <f t="shared" si="17"/>
        <v/>
      </c>
      <c r="AI246" s="134"/>
      <c r="AJ246" s="143" t="s">
        <v>2888</v>
      </c>
      <c r="AK246" s="129">
        <v>10.395</v>
      </c>
      <c r="AL246" s="129">
        <v>10.404999999999999</v>
      </c>
      <c r="AM246" s="129">
        <v>10.429999999999998</v>
      </c>
      <c r="AN246" s="129">
        <v>10.434999999999999</v>
      </c>
      <c r="AO246" s="126" t="str">
        <f t="shared" si="18"/>
        <v/>
      </c>
      <c r="AR246" s="99" t="s">
        <v>136</v>
      </c>
    </row>
    <row r="247" spans="1:44" s="99" customFormat="1" ht="21" customHeight="1" x14ac:dyDescent="0.35">
      <c r="A247" s="99">
        <v>421</v>
      </c>
      <c r="B247" s="126" t="str">
        <f t="shared" si="15"/>
        <v>0-304L/FH-001X770</v>
      </c>
      <c r="C247" s="126" t="s">
        <v>2882</v>
      </c>
      <c r="D247" s="126" t="s">
        <v>13</v>
      </c>
      <c r="E247" s="143" t="s">
        <v>2884</v>
      </c>
      <c r="F247" s="143" t="s">
        <v>2885</v>
      </c>
      <c r="G247" s="126" t="s">
        <v>230</v>
      </c>
      <c r="H247" s="126" t="s">
        <v>65</v>
      </c>
      <c r="I247" s="127">
        <v>2.88</v>
      </c>
      <c r="J247" s="127">
        <v>0.8</v>
      </c>
      <c r="K247" s="127"/>
      <c r="L247" s="127"/>
      <c r="M247" s="144">
        <v>770</v>
      </c>
      <c r="N247" s="129">
        <v>12.08</v>
      </c>
      <c r="O247" s="129">
        <v>12.09</v>
      </c>
      <c r="P247" s="129"/>
      <c r="Q247" s="130"/>
      <c r="R247" s="131"/>
      <c r="S247" s="131"/>
      <c r="T247" s="132">
        <v>44614</v>
      </c>
      <c r="U247" s="132"/>
      <c r="V247" s="132"/>
      <c r="W247" s="132"/>
      <c r="X247" s="132"/>
      <c r="Y247" s="133"/>
      <c r="Z247" s="126" t="s">
        <v>64</v>
      </c>
      <c r="AA247" s="134" t="s">
        <v>154</v>
      </c>
      <c r="AB247" s="134" t="s">
        <v>1190</v>
      </c>
      <c r="AC247" s="134"/>
      <c r="AD247" s="134">
        <v>44496</v>
      </c>
      <c r="AE247" s="134"/>
      <c r="AF247" s="134">
        <f t="shared" ca="1" si="19"/>
        <v>44963</v>
      </c>
      <c r="AG247" s="126">
        <f t="shared" ca="1" si="16"/>
        <v>467</v>
      </c>
      <c r="AH247" s="126" t="str">
        <f t="shared" si="17"/>
        <v/>
      </c>
      <c r="AI247" s="134"/>
      <c r="AJ247" s="143" t="s">
        <v>2751</v>
      </c>
      <c r="AK247" s="129">
        <v>12.08</v>
      </c>
      <c r="AL247" s="129">
        <v>12.09</v>
      </c>
      <c r="AM247" s="129">
        <v>12.114999999999998</v>
      </c>
      <c r="AN247" s="129">
        <v>12.12</v>
      </c>
      <c r="AO247" s="126" t="str">
        <f t="shared" si="18"/>
        <v/>
      </c>
      <c r="AR247" s="99" t="s">
        <v>136</v>
      </c>
    </row>
    <row r="248" spans="1:44" s="99" customFormat="1" ht="21" customHeight="1" x14ac:dyDescent="0.35">
      <c r="A248" s="99">
        <v>421</v>
      </c>
      <c r="B248" s="126" t="str">
        <f t="shared" si="15"/>
        <v>0-304L/1D-004X770</v>
      </c>
      <c r="C248" s="126" t="s">
        <v>2883</v>
      </c>
      <c r="D248" s="126" t="s">
        <v>11</v>
      </c>
      <c r="E248" s="143" t="s">
        <v>2889</v>
      </c>
      <c r="F248" s="143" t="s">
        <v>2890</v>
      </c>
      <c r="G248" s="126" t="s">
        <v>230</v>
      </c>
      <c r="H248" s="126" t="s">
        <v>139</v>
      </c>
      <c r="I248" s="127">
        <v>3.5</v>
      </c>
      <c r="J248" s="127"/>
      <c r="K248" s="127"/>
      <c r="L248" s="127"/>
      <c r="M248" s="144">
        <v>770</v>
      </c>
      <c r="N248" s="129">
        <v>8.93</v>
      </c>
      <c r="O248" s="129">
        <v>8.93</v>
      </c>
      <c r="P248" s="129"/>
      <c r="Q248" s="130"/>
      <c r="R248" s="131"/>
      <c r="S248" s="131"/>
      <c r="T248" s="132">
        <v>44614</v>
      </c>
      <c r="U248" s="132"/>
      <c r="V248" s="132"/>
      <c r="W248" s="132"/>
      <c r="X248" s="132"/>
      <c r="Y248" s="133"/>
      <c r="Z248" s="126" t="s">
        <v>64</v>
      </c>
      <c r="AA248" s="134" t="s">
        <v>154</v>
      </c>
      <c r="AB248" s="134" t="s">
        <v>1246</v>
      </c>
      <c r="AC248" s="134"/>
      <c r="AD248" s="134">
        <v>44496</v>
      </c>
      <c r="AE248" s="134"/>
      <c r="AF248" s="134">
        <f t="shared" ca="1" si="19"/>
        <v>44963</v>
      </c>
      <c r="AG248" s="126">
        <f t="shared" ca="1" si="16"/>
        <v>467</v>
      </c>
      <c r="AH248" s="126" t="str">
        <f t="shared" si="17"/>
        <v/>
      </c>
      <c r="AI248" s="134"/>
      <c r="AJ248" s="143" t="s">
        <v>2801</v>
      </c>
      <c r="AK248" s="129">
        <v>8.93</v>
      </c>
      <c r="AL248" s="129">
        <v>8.94</v>
      </c>
      <c r="AM248" s="129">
        <v>8.9649999999999981</v>
      </c>
      <c r="AN248" s="129">
        <v>8.9699999999999989</v>
      </c>
      <c r="AO248" s="126" t="str">
        <f t="shared" si="18"/>
        <v/>
      </c>
      <c r="AR248" s="99" t="s">
        <v>136</v>
      </c>
    </row>
    <row r="249" spans="1:44" s="99" customFormat="1" ht="21" customHeight="1" x14ac:dyDescent="0.35">
      <c r="A249" s="99">
        <v>424</v>
      </c>
      <c r="B249" s="126" t="str">
        <f t="shared" si="15"/>
        <v>0-304/FH-002X773</v>
      </c>
      <c r="C249" s="126" t="s">
        <v>2882</v>
      </c>
      <c r="D249" s="126" t="s">
        <v>13</v>
      </c>
      <c r="E249" s="143" t="s">
        <v>2874</v>
      </c>
      <c r="F249" s="143" t="s">
        <v>2875</v>
      </c>
      <c r="G249" s="126">
        <v>304</v>
      </c>
      <c r="H249" s="126" t="s">
        <v>65</v>
      </c>
      <c r="I249" s="127">
        <v>3.64</v>
      </c>
      <c r="J249" s="127">
        <v>1.5</v>
      </c>
      <c r="K249" s="127"/>
      <c r="L249" s="127"/>
      <c r="M249" s="144">
        <v>773</v>
      </c>
      <c r="N249" s="129">
        <v>12.015000000000001</v>
      </c>
      <c r="O249" s="129">
        <v>12.04</v>
      </c>
      <c r="P249" s="129"/>
      <c r="Q249" s="130"/>
      <c r="R249" s="131"/>
      <c r="S249" s="131"/>
      <c r="T249" s="132">
        <v>44612</v>
      </c>
      <c r="U249" s="132"/>
      <c r="V249" s="132"/>
      <c r="W249" s="132"/>
      <c r="X249" s="132"/>
      <c r="Y249" s="133" t="s">
        <v>1395</v>
      </c>
      <c r="Z249" s="126" t="s">
        <v>64</v>
      </c>
      <c r="AA249" s="134" t="s">
        <v>154</v>
      </c>
      <c r="AB249" s="134" t="s">
        <v>1330</v>
      </c>
      <c r="AC249" s="134"/>
      <c r="AD249" s="134">
        <v>44554</v>
      </c>
      <c r="AE249" s="134"/>
      <c r="AF249" s="134">
        <f t="shared" ca="1" si="19"/>
        <v>44963</v>
      </c>
      <c r="AG249" s="126">
        <f t="shared" ca="1" si="16"/>
        <v>409</v>
      </c>
      <c r="AH249" s="126" t="str">
        <f t="shared" si="17"/>
        <v/>
      </c>
      <c r="AI249" s="134"/>
      <c r="AJ249" s="143" t="s">
        <v>2625</v>
      </c>
      <c r="AK249" s="129">
        <v>12.015000000000001</v>
      </c>
      <c r="AL249" s="129">
        <v>12.025</v>
      </c>
      <c r="AM249" s="129">
        <v>12.049999999999999</v>
      </c>
      <c r="AN249" s="129">
        <v>12.055</v>
      </c>
      <c r="AO249" s="126" t="str">
        <f t="shared" si="18"/>
        <v/>
      </c>
      <c r="AR249" s="99" t="s">
        <v>136</v>
      </c>
    </row>
    <row r="250" spans="1:44" s="99" customFormat="1" ht="21" customHeight="1" x14ac:dyDescent="0.35">
      <c r="A250" s="99">
        <v>422</v>
      </c>
      <c r="B250" s="126" t="str">
        <f t="shared" si="15"/>
        <v>0-304L/1D-003X768</v>
      </c>
      <c r="C250" s="126" t="s">
        <v>2883</v>
      </c>
      <c r="D250" s="126" t="s">
        <v>11</v>
      </c>
      <c r="E250" s="143" t="s">
        <v>2891</v>
      </c>
      <c r="F250" s="143" t="s">
        <v>2892</v>
      </c>
      <c r="G250" s="126" t="s">
        <v>230</v>
      </c>
      <c r="H250" s="126" t="s">
        <v>139</v>
      </c>
      <c r="I250" s="127">
        <v>3.23</v>
      </c>
      <c r="J250" s="127"/>
      <c r="K250" s="127"/>
      <c r="L250" s="127"/>
      <c r="M250" s="144">
        <v>768</v>
      </c>
      <c r="N250" s="129">
        <v>11.71</v>
      </c>
      <c r="O250" s="129">
        <v>11.71</v>
      </c>
      <c r="P250" s="129"/>
      <c r="Q250" s="130"/>
      <c r="R250" s="131"/>
      <c r="S250" s="131"/>
      <c r="T250" s="132">
        <v>44614</v>
      </c>
      <c r="U250" s="132"/>
      <c r="V250" s="132"/>
      <c r="W250" s="132"/>
      <c r="X250" s="132"/>
      <c r="Y250" s="133"/>
      <c r="Z250" s="126" t="s">
        <v>64</v>
      </c>
      <c r="AA250" s="134" t="s">
        <v>154</v>
      </c>
      <c r="AB250" s="134" t="s">
        <v>1330</v>
      </c>
      <c r="AC250" s="134"/>
      <c r="AD250" s="134">
        <v>44516</v>
      </c>
      <c r="AE250" s="134"/>
      <c r="AF250" s="134">
        <f t="shared" ca="1" si="19"/>
        <v>44963</v>
      </c>
      <c r="AG250" s="126">
        <f t="shared" ca="1" si="16"/>
        <v>447</v>
      </c>
      <c r="AH250" s="126" t="str">
        <f t="shared" si="17"/>
        <v/>
      </c>
      <c r="AI250" s="134"/>
      <c r="AJ250" s="143" t="s">
        <v>2893</v>
      </c>
      <c r="AK250" s="129">
        <v>11.71</v>
      </c>
      <c r="AL250" s="129">
        <v>11.72</v>
      </c>
      <c r="AM250" s="129">
        <v>11.744999999999999</v>
      </c>
      <c r="AN250" s="129">
        <v>11.75</v>
      </c>
      <c r="AO250" s="126" t="str">
        <f t="shared" si="18"/>
        <v/>
      </c>
      <c r="AR250" s="99" t="s">
        <v>136</v>
      </c>
    </row>
    <row r="251" spans="1:44" s="99" customFormat="1" ht="21" customHeight="1" x14ac:dyDescent="0.35">
      <c r="A251" s="99">
        <v>421</v>
      </c>
      <c r="B251" s="126" t="str">
        <f t="shared" si="15"/>
        <v>0-304L/FH-001X770</v>
      </c>
      <c r="C251" s="126" t="s">
        <v>2882</v>
      </c>
      <c r="D251" s="126" t="s">
        <v>13</v>
      </c>
      <c r="E251" s="143" t="s">
        <v>2889</v>
      </c>
      <c r="F251" s="143" t="s">
        <v>2890</v>
      </c>
      <c r="G251" s="126" t="s">
        <v>230</v>
      </c>
      <c r="H251" s="126" t="s">
        <v>65</v>
      </c>
      <c r="I251" s="127">
        <v>3.5</v>
      </c>
      <c r="J251" s="127">
        <v>1.2</v>
      </c>
      <c r="K251" s="127"/>
      <c r="L251" s="127"/>
      <c r="M251" s="144">
        <v>770</v>
      </c>
      <c r="N251" s="129">
        <v>8.93</v>
      </c>
      <c r="O251" s="129">
        <v>8.9450000000000003</v>
      </c>
      <c r="P251" s="129"/>
      <c r="Q251" s="130"/>
      <c r="R251" s="131"/>
      <c r="S251" s="131"/>
      <c r="T251" s="132">
        <v>44614</v>
      </c>
      <c r="U251" s="132"/>
      <c r="V251" s="132"/>
      <c r="W251" s="132"/>
      <c r="X251" s="132"/>
      <c r="Y251" s="133"/>
      <c r="Z251" s="126" t="s">
        <v>64</v>
      </c>
      <c r="AA251" s="134" t="s">
        <v>154</v>
      </c>
      <c r="AB251" s="134" t="s">
        <v>1246</v>
      </c>
      <c r="AC251" s="134"/>
      <c r="AD251" s="134">
        <v>44496</v>
      </c>
      <c r="AE251" s="134"/>
      <c r="AF251" s="134">
        <f t="shared" ca="1" si="19"/>
        <v>44963</v>
      </c>
      <c r="AG251" s="126">
        <f t="shared" ca="1" si="16"/>
        <v>467</v>
      </c>
      <c r="AH251" s="126" t="str">
        <f t="shared" si="17"/>
        <v/>
      </c>
      <c r="AI251" s="134"/>
      <c r="AJ251" s="143" t="s">
        <v>2801</v>
      </c>
      <c r="AK251" s="129">
        <v>8.93</v>
      </c>
      <c r="AL251" s="129">
        <v>8.94</v>
      </c>
      <c r="AM251" s="129">
        <v>8.9649999999999981</v>
      </c>
      <c r="AN251" s="129">
        <v>8.9699999999999989</v>
      </c>
      <c r="AO251" s="126" t="str">
        <f t="shared" si="18"/>
        <v/>
      </c>
      <c r="AR251" s="99" t="s">
        <v>136</v>
      </c>
    </row>
    <row r="252" spans="1:44" s="99" customFormat="1" ht="21" customHeight="1" x14ac:dyDescent="0.35">
      <c r="A252" s="99">
        <v>421</v>
      </c>
      <c r="B252" s="126" t="str">
        <f t="shared" si="15"/>
        <v>0-304L/1D-003X770</v>
      </c>
      <c r="C252" s="126" t="s">
        <v>2883</v>
      </c>
      <c r="D252" s="126" t="s">
        <v>11</v>
      </c>
      <c r="E252" s="143" t="s">
        <v>2894</v>
      </c>
      <c r="F252" s="143" t="s">
        <v>2895</v>
      </c>
      <c r="G252" s="126" t="s">
        <v>230</v>
      </c>
      <c r="H252" s="126" t="s">
        <v>139</v>
      </c>
      <c r="I252" s="127">
        <v>2.91</v>
      </c>
      <c r="J252" s="127"/>
      <c r="K252" s="127"/>
      <c r="L252" s="127"/>
      <c r="M252" s="144">
        <v>770</v>
      </c>
      <c r="N252" s="129">
        <v>11.994999999999999</v>
      </c>
      <c r="O252" s="129">
        <v>11.994999999999999</v>
      </c>
      <c r="P252" s="129"/>
      <c r="Q252" s="130"/>
      <c r="R252" s="131"/>
      <c r="S252" s="131"/>
      <c r="T252" s="132">
        <v>44614</v>
      </c>
      <c r="U252" s="132"/>
      <c r="V252" s="132"/>
      <c r="W252" s="132"/>
      <c r="X252" s="132"/>
      <c r="Y252" s="133"/>
      <c r="Z252" s="126" t="s">
        <v>64</v>
      </c>
      <c r="AA252" s="134" t="s">
        <v>154</v>
      </c>
      <c r="AB252" s="134" t="s">
        <v>1190</v>
      </c>
      <c r="AC252" s="134"/>
      <c r="AD252" s="134">
        <v>44496</v>
      </c>
      <c r="AE252" s="134"/>
      <c r="AF252" s="134">
        <f t="shared" ca="1" si="19"/>
        <v>44963</v>
      </c>
      <c r="AG252" s="126">
        <f t="shared" ca="1" si="16"/>
        <v>467</v>
      </c>
      <c r="AH252" s="126" t="str">
        <f t="shared" si="17"/>
        <v/>
      </c>
      <c r="AI252" s="134"/>
      <c r="AJ252" s="143" t="s">
        <v>2896</v>
      </c>
      <c r="AK252" s="129">
        <v>11.994999999999999</v>
      </c>
      <c r="AL252" s="129">
        <v>12.005000000000001</v>
      </c>
      <c r="AM252" s="129">
        <v>12.03</v>
      </c>
      <c r="AN252" s="129">
        <v>12.035</v>
      </c>
      <c r="AO252" s="126" t="str">
        <f t="shared" si="18"/>
        <v/>
      </c>
      <c r="AR252" s="99" t="s">
        <v>136</v>
      </c>
    </row>
    <row r="253" spans="1:44" s="99" customFormat="1" ht="21" customHeight="1" x14ac:dyDescent="0.35">
      <c r="A253" s="99">
        <v>422</v>
      </c>
      <c r="B253" s="126" t="str">
        <f t="shared" si="15"/>
        <v>0-304L/FH-001X768</v>
      </c>
      <c r="C253" s="126" t="s">
        <v>2882</v>
      </c>
      <c r="D253" s="126" t="s">
        <v>13</v>
      </c>
      <c r="E253" s="143" t="s">
        <v>2891</v>
      </c>
      <c r="F253" s="143" t="s">
        <v>2892</v>
      </c>
      <c r="G253" s="126" t="s">
        <v>230</v>
      </c>
      <c r="H253" s="126" t="s">
        <v>65</v>
      </c>
      <c r="I253" s="127">
        <v>3.23</v>
      </c>
      <c r="J253" s="127">
        <v>1.1599999999999999</v>
      </c>
      <c r="K253" s="127"/>
      <c r="L253" s="127"/>
      <c r="M253" s="144">
        <v>768</v>
      </c>
      <c r="N253" s="129">
        <v>11.71</v>
      </c>
      <c r="O253" s="129">
        <v>11.73</v>
      </c>
      <c r="P253" s="129"/>
      <c r="Q253" s="130"/>
      <c r="R253" s="131"/>
      <c r="S253" s="131"/>
      <c r="T253" s="132">
        <v>44614</v>
      </c>
      <c r="U253" s="132"/>
      <c r="V253" s="132"/>
      <c r="W253" s="132"/>
      <c r="X253" s="132"/>
      <c r="Y253" s="133"/>
      <c r="Z253" s="126" t="s">
        <v>64</v>
      </c>
      <c r="AA253" s="134" t="s">
        <v>154</v>
      </c>
      <c r="AB253" s="134" t="s">
        <v>1330</v>
      </c>
      <c r="AC253" s="134"/>
      <c r="AD253" s="134">
        <v>44516</v>
      </c>
      <c r="AE253" s="134"/>
      <c r="AF253" s="134">
        <f t="shared" ca="1" si="19"/>
        <v>44963</v>
      </c>
      <c r="AG253" s="126">
        <f t="shared" ca="1" si="16"/>
        <v>447</v>
      </c>
      <c r="AH253" s="126" t="str">
        <f t="shared" si="17"/>
        <v/>
      </c>
      <c r="AI253" s="134"/>
      <c r="AJ253" s="143" t="s">
        <v>2893</v>
      </c>
      <c r="AK253" s="129">
        <v>11.71</v>
      </c>
      <c r="AL253" s="129">
        <v>11.72</v>
      </c>
      <c r="AM253" s="129">
        <v>11.744999999999999</v>
      </c>
      <c r="AN253" s="129">
        <v>11.75</v>
      </c>
      <c r="AO253" s="126" t="str">
        <f t="shared" si="18"/>
        <v/>
      </c>
      <c r="AR253" s="99" t="s">
        <v>136</v>
      </c>
    </row>
    <row r="254" spans="1:44" s="99" customFormat="1" ht="21" customHeight="1" x14ac:dyDescent="0.35">
      <c r="A254" s="99">
        <v>422</v>
      </c>
      <c r="B254" s="126" t="str">
        <f t="shared" si="15"/>
        <v>0-304/1D-004X770</v>
      </c>
      <c r="C254" s="126" t="s">
        <v>2897</v>
      </c>
      <c r="D254" s="126" t="s">
        <v>11</v>
      </c>
      <c r="E254" s="143" t="s">
        <v>2898</v>
      </c>
      <c r="F254" s="143" t="s">
        <v>2899</v>
      </c>
      <c r="G254" s="126">
        <v>304</v>
      </c>
      <c r="H254" s="126" t="s">
        <v>139</v>
      </c>
      <c r="I254" s="127">
        <v>3.5</v>
      </c>
      <c r="J254" s="127"/>
      <c r="K254" s="127"/>
      <c r="L254" s="127"/>
      <c r="M254" s="144">
        <v>770</v>
      </c>
      <c r="N254" s="129">
        <v>10.43</v>
      </c>
      <c r="O254" s="129">
        <v>10.43</v>
      </c>
      <c r="P254" s="129"/>
      <c r="Q254" s="130"/>
      <c r="R254" s="131"/>
      <c r="S254" s="131"/>
      <c r="T254" s="132">
        <v>44615</v>
      </c>
      <c r="U254" s="132"/>
      <c r="V254" s="132"/>
      <c r="W254" s="132"/>
      <c r="X254" s="132"/>
      <c r="Y254" s="133"/>
      <c r="Z254" s="126" t="s">
        <v>64</v>
      </c>
      <c r="AA254" s="134" t="s">
        <v>154</v>
      </c>
      <c r="AB254" s="134" t="s">
        <v>1296</v>
      </c>
      <c r="AC254" s="134"/>
      <c r="AD254" s="134">
        <v>44516</v>
      </c>
      <c r="AE254" s="134"/>
      <c r="AF254" s="134">
        <f t="shared" ca="1" si="19"/>
        <v>44963</v>
      </c>
      <c r="AG254" s="126">
        <f t="shared" ca="1" si="16"/>
        <v>447</v>
      </c>
      <c r="AH254" s="126" t="str">
        <f t="shared" si="17"/>
        <v/>
      </c>
      <c r="AI254" s="134"/>
      <c r="AJ254" s="143" t="s">
        <v>2900</v>
      </c>
      <c r="AK254" s="129">
        <v>10.43</v>
      </c>
      <c r="AL254" s="129">
        <v>10.44</v>
      </c>
      <c r="AM254" s="129">
        <v>10.464999999999998</v>
      </c>
      <c r="AN254" s="129">
        <v>10.469999999999999</v>
      </c>
      <c r="AO254" s="126" t="str">
        <f t="shared" si="18"/>
        <v/>
      </c>
      <c r="AR254" s="99" t="s">
        <v>136</v>
      </c>
    </row>
    <row r="255" spans="1:44" s="99" customFormat="1" ht="21" customHeight="1" x14ac:dyDescent="0.35">
      <c r="A255" s="99">
        <v>422</v>
      </c>
      <c r="B255" s="126" t="str">
        <f t="shared" si="15"/>
        <v>0-304L/FH-001X767</v>
      </c>
      <c r="C255" s="126" t="s">
        <v>2901</v>
      </c>
      <c r="D255" s="126" t="s">
        <v>13</v>
      </c>
      <c r="E255" s="143" t="s">
        <v>2886</v>
      </c>
      <c r="F255" s="143" t="s">
        <v>2887</v>
      </c>
      <c r="G255" s="126" t="s">
        <v>230</v>
      </c>
      <c r="H255" s="126" t="s">
        <v>65</v>
      </c>
      <c r="I255" s="127">
        <v>2.89</v>
      </c>
      <c r="J255" s="127">
        <v>0.9</v>
      </c>
      <c r="K255" s="127"/>
      <c r="L255" s="127"/>
      <c r="M255" s="144">
        <v>767</v>
      </c>
      <c r="N255" s="129">
        <v>10.395</v>
      </c>
      <c r="O255" s="129">
        <v>10.404999999999999</v>
      </c>
      <c r="P255" s="129"/>
      <c r="Q255" s="130"/>
      <c r="R255" s="131"/>
      <c r="S255" s="131"/>
      <c r="T255" s="132">
        <v>44614</v>
      </c>
      <c r="U255" s="132"/>
      <c r="V255" s="132"/>
      <c r="W255" s="132"/>
      <c r="X255" s="132"/>
      <c r="Y255" s="133"/>
      <c r="Z255" s="126" t="s">
        <v>64</v>
      </c>
      <c r="AA255" s="134" t="s">
        <v>154</v>
      </c>
      <c r="AB255" s="134" t="s">
        <v>1330</v>
      </c>
      <c r="AC255" s="134"/>
      <c r="AD255" s="134">
        <v>44516</v>
      </c>
      <c r="AE255" s="134"/>
      <c r="AF255" s="134">
        <f t="shared" ca="1" si="19"/>
        <v>44963</v>
      </c>
      <c r="AG255" s="126">
        <f t="shared" ca="1" si="16"/>
        <v>447</v>
      </c>
      <c r="AH255" s="126" t="str">
        <f t="shared" si="17"/>
        <v/>
      </c>
      <c r="AI255" s="134"/>
      <c r="AJ255" s="143" t="s">
        <v>2888</v>
      </c>
      <c r="AK255" s="129">
        <v>10.395</v>
      </c>
      <c r="AL255" s="129">
        <v>10.404999999999999</v>
      </c>
      <c r="AM255" s="129">
        <v>10.429999999999998</v>
      </c>
      <c r="AN255" s="129">
        <v>10.434999999999999</v>
      </c>
      <c r="AO255" s="126" t="str">
        <f t="shared" si="18"/>
        <v/>
      </c>
      <c r="AR255" s="99" t="s">
        <v>136</v>
      </c>
    </row>
    <row r="256" spans="1:44" s="99" customFormat="1" ht="21" customHeight="1" x14ac:dyDescent="0.35">
      <c r="A256" s="99">
        <v>421</v>
      </c>
      <c r="B256" s="126" t="str">
        <f t="shared" si="15"/>
        <v>0-304L/1D-003X770</v>
      </c>
      <c r="C256" s="126" t="s">
        <v>2897</v>
      </c>
      <c r="D256" s="126" t="s">
        <v>11</v>
      </c>
      <c r="E256" s="143" t="s">
        <v>1235</v>
      </c>
      <c r="F256" s="143" t="s">
        <v>2902</v>
      </c>
      <c r="G256" s="126" t="s">
        <v>230</v>
      </c>
      <c r="H256" s="126" t="s">
        <v>139</v>
      </c>
      <c r="I256" s="127">
        <v>2.79</v>
      </c>
      <c r="J256" s="127"/>
      <c r="K256" s="127"/>
      <c r="L256" s="127"/>
      <c r="M256" s="144">
        <v>770</v>
      </c>
      <c r="N256" s="129">
        <v>10.484999999999999</v>
      </c>
      <c r="O256" s="129">
        <v>10.484999999999999</v>
      </c>
      <c r="P256" s="129"/>
      <c r="Q256" s="130"/>
      <c r="R256" s="131"/>
      <c r="S256" s="131"/>
      <c r="T256" s="132">
        <v>44615</v>
      </c>
      <c r="U256" s="132"/>
      <c r="V256" s="132"/>
      <c r="W256" s="132"/>
      <c r="X256" s="132"/>
      <c r="Y256" s="133"/>
      <c r="Z256" s="126" t="s">
        <v>64</v>
      </c>
      <c r="AA256" s="134" t="s">
        <v>154</v>
      </c>
      <c r="AB256" s="134" t="s">
        <v>1239</v>
      </c>
      <c r="AC256" s="134"/>
      <c r="AD256" s="134">
        <v>44496</v>
      </c>
      <c r="AE256" s="134"/>
      <c r="AF256" s="134">
        <f t="shared" ca="1" si="19"/>
        <v>44963</v>
      </c>
      <c r="AG256" s="126">
        <f t="shared" ca="1" si="16"/>
        <v>467</v>
      </c>
      <c r="AH256" s="126" t="str">
        <f t="shared" si="17"/>
        <v/>
      </c>
      <c r="AI256" s="134"/>
      <c r="AJ256" s="143" t="s">
        <v>1240</v>
      </c>
      <c r="AK256" s="129">
        <v>10.484999999999999</v>
      </c>
      <c r="AL256" s="129">
        <v>10.494999999999999</v>
      </c>
      <c r="AM256" s="129">
        <v>10.519999999999998</v>
      </c>
      <c r="AN256" s="129">
        <v>10.524999999999999</v>
      </c>
      <c r="AO256" s="126" t="str">
        <f t="shared" si="18"/>
        <v/>
      </c>
      <c r="AR256" s="99" t="s">
        <v>136</v>
      </c>
    </row>
    <row r="257" spans="1:59" s="99" customFormat="1" ht="21" customHeight="1" x14ac:dyDescent="0.35">
      <c r="A257" s="99">
        <v>422</v>
      </c>
      <c r="B257" s="126" t="str">
        <f t="shared" si="15"/>
        <v>0-304/FH-001X770</v>
      </c>
      <c r="C257" s="126" t="s">
        <v>2901</v>
      </c>
      <c r="D257" s="126" t="s">
        <v>13</v>
      </c>
      <c r="E257" s="143" t="s">
        <v>2898</v>
      </c>
      <c r="F257" s="143" t="s">
        <v>2899</v>
      </c>
      <c r="G257" s="126">
        <v>304</v>
      </c>
      <c r="H257" s="126" t="s">
        <v>65</v>
      </c>
      <c r="I257" s="127">
        <v>3.5</v>
      </c>
      <c r="J257" s="127">
        <v>1.2</v>
      </c>
      <c r="K257" s="127"/>
      <c r="L257" s="127"/>
      <c r="M257" s="144">
        <v>770</v>
      </c>
      <c r="N257" s="129">
        <v>10.43</v>
      </c>
      <c r="O257" s="129">
        <v>10.455</v>
      </c>
      <c r="P257" s="129"/>
      <c r="Q257" s="130"/>
      <c r="R257" s="131"/>
      <c r="S257" s="131"/>
      <c r="T257" s="132">
        <v>44615</v>
      </c>
      <c r="U257" s="132"/>
      <c r="V257" s="132"/>
      <c r="W257" s="132"/>
      <c r="X257" s="132"/>
      <c r="Y257" s="133"/>
      <c r="Z257" s="126" t="s">
        <v>64</v>
      </c>
      <c r="AA257" s="134" t="s">
        <v>154</v>
      </c>
      <c r="AB257" s="134" t="s">
        <v>1296</v>
      </c>
      <c r="AC257" s="134"/>
      <c r="AD257" s="134">
        <v>44516</v>
      </c>
      <c r="AE257" s="134"/>
      <c r="AF257" s="134">
        <f t="shared" ca="1" si="19"/>
        <v>44963</v>
      </c>
      <c r="AG257" s="126">
        <f t="shared" ca="1" si="16"/>
        <v>447</v>
      </c>
      <c r="AH257" s="126" t="str">
        <f t="shared" si="17"/>
        <v/>
      </c>
      <c r="AI257" s="134"/>
      <c r="AJ257" s="143" t="s">
        <v>2900</v>
      </c>
      <c r="AK257" s="129">
        <v>10.43</v>
      </c>
      <c r="AL257" s="129">
        <v>10.44</v>
      </c>
      <c r="AM257" s="129">
        <v>10.464999999999998</v>
      </c>
      <c r="AN257" s="129">
        <v>10.469999999999999</v>
      </c>
      <c r="AO257" s="126" t="str">
        <f t="shared" si="18"/>
        <v/>
      </c>
      <c r="AR257" s="99" t="s">
        <v>136</v>
      </c>
    </row>
    <row r="258" spans="1:59" s="99" customFormat="1" ht="21" customHeight="1" x14ac:dyDescent="0.35">
      <c r="A258" s="99">
        <v>424</v>
      </c>
      <c r="B258" s="126" t="str">
        <f t="shared" si="15"/>
        <v>0-304/1D-004X772</v>
      </c>
      <c r="C258" s="126" t="s">
        <v>2897</v>
      </c>
      <c r="D258" s="126" t="s">
        <v>11</v>
      </c>
      <c r="E258" s="143" t="s">
        <v>1425</v>
      </c>
      <c r="F258" s="143" t="s">
        <v>2903</v>
      </c>
      <c r="G258" s="126">
        <v>304</v>
      </c>
      <c r="H258" s="126" t="s">
        <v>139</v>
      </c>
      <c r="I258" s="127">
        <v>3.74</v>
      </c>
      <c r="J258" s="127"/>
      <c r="K258" s="127"/>
      <c r="L258" s="127"/>
      <c r="M258" s="144">
        <v>772</v>
      </c>
      <c r="N258" s="129">
        <v>10.42</v>
      </c>
      <c r="O258" s="129">
        <v>10.42</v>
      </c>
      <c r="P258" s="129"/>
      <c r="Q258" s="130"/>
      <c r="R258" s="131"/>
      <c r="S258" s="131"/>
      <c r="T258" s="132">
        <v>44615</v>
      </c>
      <c r="U258" s="132"/>
      <c r="V258" s="132"/>
      <c r="W258" s="132"/>
      <c r="X258" s="132"/>
      <c r="Y258" s="133" t="s">
        <v>1395</v>
      </c>
      <c r="Z258" s="126" t="s">
        <v>64</v>
      </c>
      <c r="AA258" s="134" t="s">
        <v>154</v>
      </c>
      <c r="AB258" s="134" t="s">
        <v>1330</v>
      </c>
      <c r="AC258" s="134"/>
      <c r="AD258" s="134">
        <v>44554</v>
      </c>
      <c r="AE258" s="134"/>
      <c r="AF258" s="134">
        <f t="shared" ca="1" si="19"/>
        <v>44963</v>
      </c>
      <c r="AG258" s="126">
        <f t="shared" ca="1" si="16"/>
        <v>409</v>
      </c>
      <c r="AH258" s="126" t="str">
        <f t="shared" si="17"/>
        <v/>
      </c>
      <c r="AI258" s="134"/>
      <c r="AJ258" s="143" t="s">
        <v>1427</v>
      </c>
      <c r="AK258" s="129">
        <v>10.42</v>
      </c>
      <c r="AL258" s="129">
        <v>10.43</v>
      </c>
      <c r="AM258" s="129">
        <v>10.454999999999998</v>
      </c>
      <c r="AN258" s="129">
        <v>10.459999999999999</v>
      </c>
      <c r="AO258" s="126" t="str">
        <f t="shared" si="18"/>
        <v/>
      </c>
      <c r="AR258" s="99" t="s">
        <v>136</v>
      </c>
    </row>
    <row r="259" spans="1:59" s="99" customFormat="1" ht="21" customHeight="1" x14ac:dyDescent="0.35">
      <c r="A259" s="99">
        <v>421</v>
      </c>
      <c r="B259" s="126" t="str">
        <f t="shared" si="15"/>
        <v>0-304L/FH-001X770</v>
      </c>
      <c r="C259" s="126" t="s">
        <v>2901</v>
      </c>
      <c r="D259" s="126" t="s">
        <v>13</v>
      </c>
      <c r="E259" s="143" t="s">
        <v>2894</v>
      </c>
      <c r="F259" s="143" t="s">
        <v>2895</v>
      </c>
      <c r="G259" s="126" t="s">
        <v>230</v>
      </c>
      <c r="H259" s="126" t="s">
        <v>65</v>
      </c>
      <c r="I259" s="127">
        <v>2.91</v>
      </c>
      <c r="J259" s="127">
        <v>1</v>
      </c>
      <c r="K259" s="127"/>
      <c r="L259" s="127"/>
      <c r="M259" s="144">
        <v>770</v>
      </c>
      <c r="N259" s="129">
        <v>11.994999999999999</v>
      </c>
      <c r="O259" s="129">
        <v>12.03</v>
      </c>
      <c r="P259" s="129"/>
      <c r="Q259" s="130"/>
      <c r="R259" s="131"/>
      <c r="S259" s="131"/>
      <c r="T259" s="132">
        <v>44614</v>
      </c>
      <c r="U259" s="132"/>
      <c r="V259" s="132"/>
      <c r="W259" s="132"/>
      <c r="X259" s="132"/>
      <c r="Y259" s="133"/>
      <c r="Z259" s="126" t="s">
        <v>64</v>
      </c>
      <c r="AA259" s="134" t="s">
        <v>154</v>
      </c>
      <c r="AB259" s="134" t="s">
        <v>1190</v>
      </c>
      <c r="AC259" s="134"/>
      <c r="AD259" s="134">
        <v>44496</v>
      </c>
      <c r="AE259" s="134"/>
      <c r="AF259" s="134">
        <f t="shared" ca="1" si="19"/>
        <v>44963</v>
      </c>
      <c r="AG259" s="126">
        <f t="shared" ca="1" si="16"/>
        <v>467</v>
      </c>
      <c r="AH259" s="126" t="str">
        <f t="shared" si="17"/>
        <v/>
      </c>
      <c r="AI259" s="134"/>
      <c r="AJ259" s="143" t="s">
        <v>2896</v>
      </c>
      <c r="AK259" s="129">
        <v>11.994999999999999</v>
      </c>
      <c r="AL259" s="129">
        <v>12.005000000000001</v>
      </c>
      <c r="AM259" s="129">
        <v>12.03</v>
      </c>
      <c r="AN259" s="129">
        <v>12.035</v>
      </c>
      <c r="AO259" s="126" t="str">
        <f t="shared" si="18"/>
        <v/>
      </c>
      <c r="AR259" s="99" t="s">
        <v>136</v>
      </c>
    </row>
    <row r="260" spans="1:59" s="99" customFormat="1" ht="21" customHeight="1" x14ac:dyDescent="0.35">
      <c r="A260" s="99">
        <v>421</v>
      </c>
      <c r="B260" s="126" t="str">
        <f t="shared" ref="B260:B301" si="20">IF(C260="HOLD RM","HOLD RM",IF(C260="BAL","WIP",IF(C260="HOLD SLT","HOLD SLT",IF(C260="MILL","RM",IF(C260="RE SLT","WIP",IF(C260="RM","RM",IF(C260="RM BAL","RM",IF(C260="RM SLT","RM",IF(C260="RR","WIP",IF(C260="SKP","WIP",IF(C260="SLT","WIP",IF(C260="CTL","WIP",IF(C260="RM SLT RUST","RM SLT RUST",0)))))))))))))&amp;"-"&amp;G260&amp;"/"&amp;IF(H260="2B","2B",IF(H260="NO.1","1D",IF(H260="FH","FH",0)))&amp;"-"&amp;IF(J260="",(TEXT(I260,"0.00")),TEXT(J260,"0.00"))&amp;"X"&amp;M260</f>
        <v>0-304L/1D-004X770</v>
      </c>
      <c r="C260" s="126" t="s">
        <v>2897</v>
      </c>
      <c r="D260" s="126" t="s">
        <v>11</v>
      </c>
      <c r="E260" s="143" t="s">
        <v>2904</v>
      </c>
      <c r="F260" s="143" t="s">
        <v>2905</v>
      </c>
      <c r="G260" s="126" t="s">
        <v>230</v>
      </c>
      <c r="H260" s="126" t="s">
        <v>139</v>
      </c>
      <c r="I260" s="127">
        <v>3.5</v>
      </c>
      <c r="J260" s="127"/>
      <c r="K260" s="127"/>
      <c r="L260" s="127"/>
      <c r="M260" s="144">
        <v>770</v>
      </c>
      <c r="N260" s="129">
        <v>10.39</v>
      </c>
      <c r="O260" s="129">
        <v>10.39</v>
      </c>
      <c r="P260" s="129"/>
      <c r="Q260" s="130"/>
      <c r="R260" s="131"/>
      <c r="S260" s="131"/>
      <c r="T260" s="132">
        <v>44615</v>
      </c>
      <c r="U260" s="132"/>
      <c r="V260" s="132"/>
      <c r="W260" s="132"/>
      <c r="X260" s="132"/>
      <c r="Y260" s="133"/>
      <c r="Z260" s="126" t="s">
        <v>64</v>
      </c>
      <c r="AA260" s="134" t="s">
        <v>154</v>
      </c>
      <c r="AB260" s="134" t="s">
        <v>1190</v>
      </c>
      <c r="AC260" s="134"/>
      <c r="AD260" s="134">
        <v>44496</v>
      </c>
      <c r="AE260" s="134"/>
      <c r="AF260" s="134">
        <f t="shared" ca="1" si="19"/>
        <v>44963</v>
      </c>
      <c r="AG260" s="126">
        <f t="shared" ref="AG260:AG301" ca="1" si="21">IF(AD260&lt;&gt;0,AF260-AD260,0)</f>
        <v>467</v>
      </c>
      <c r="AH260" s="126" t="str">
        <f t="shared" ref="AH260:AH301" si="22">IF(ISNUMBER(V260)=TRUE,AF260-V260,IF(V260="","",(AF260)-(MID(RIGHT(V260,10),4,2)&amp;"/"&amp;LEFT((RIGHT(V260,10)),2)&amp;"/"&amp;RIGHT(V260,4))))</f>
        <v/>
      </c>
      <c r="AI260" s="134"/>
      <c r="AJ260" s="143" t="s">
        <v>2906</v>
      </c>
      <c r="AK260" s="129">
        <v>10.39</v>
      </c>
      <c r="AL260" s="129">
        <v>10.4</v>
      </c>
      <c r="AM260" s="129">
        <v>10.424999999999999</v>
      </c>
      <c r="AN260" s="129">
        <v>10.43</v>
      </c>
      <c r="AO260" s="126" t="str">
        <f t="shared" ref="AO260:AO301" si="23">IF(ISNUMBER(U260)=TRUE,AF260-U260,IF(U260="","",(AF260)-(MID(RIGHT(U260,10),4,2)&amp;"/"&amp;LEFT((RIGHT(U260,10)),2)&amp;"/"&amp;RIGHT(U260,4))))</f>
        <v/>
      </c>
      <c r="AR260" s="99" t="s">
        <v>136</v>
      </c>
    </row>
    <row r="261" spans="1:59" s="99" customFormat="1" ht="21" customHeight="1" x14ac:dyDescent="0.35">
      <c r="A261" s="99">
        <v>422</v>
      </c>
      <c r="B261" s="126" t="str">
        <f t="shared" si="20"/>
        <v>0-304L/2B-001X762</v>
      </c>
      <c r="C261" s="126" t="s">
        <v>2907</v>
      </c>
      <c r="D261" s="126" t="s">
        <v>403</v>
      </c>
      <c r="E261" s="143" t="s">
        <v>2856</v>
      </c>
      <c r="F261" s="143" t="s">
        <v>2857</v>
      </c>
      <c r="G261" s="126" t="s">
        <v>230</v>
      </c>
      <c r="H261" s="126" t="s">
        <v>116</v>
      </c>
      <c r="I261" s="127">
        <v>2.99</v>
      </c>
      <c r="J261" s="127">
        <v>0.95</v>
      </c>
      <c r="K261" s="127">
        <v>0.92</v>
      </c>
      <c r="L261" s="127">
        <v>0.94</v>
      </c>
      <c r="M261" s="144">
        <v>762</v>
      </c>
      <c r="N261" s="129">
        <v>10.119999999999999</v>
      </c>
      <c r="O261" s="129">
        <v>10.119999999999999</v>
      </c>
      <c r="P261" s="129"/>
      <c r="Q261" s="130" t="s">
        <v>1206</v>
      </c>
      <c r="R261" s="131"/>
      <c r="S261" s="131" t="s">
        <v>305</v>
      </c>
      <c r="T261" s="132" t="s">
        <v>2908</v>
      </c>
      <c r="U261" s="132">
        <v>44611</v>
      </c>
      <c r="V261" s="132">
        <v>44613</v>
      </c>
      <c r="W261" s="132">
        <v>44615</v>
      </c>
      <c r="X261" s="132"/>
      <c r="Y261" s="133"/>
      <c r="Z261" s="126" t="s">
        <v>64</v>
      </c>
      <c r="AA261" s="134" t="s">
        <v>154</v>
      </c>
      <c r="AB261" s="134" t="s">
        <v>1330</v>
      </c>
      <c r="AC261" s="134"/>
      <c r="AD261" s="134">
        <v>44516</v>
      </c>
      <c r="AE261" s="134"/>
      <c r="AF261" s="134">
        <f t="shared" ca="1" si="19"/>
        <v>44963</v>
      </c>
      <c r="AG261" s="126">
        <f t="shared" ca="1" si="21"/>
        <v>447</v>
      </c>
      <c r="AH261" s="126">
        <f t="shared" ca="1" si="22"/>
        <v>350</v>
      </c>
      <c r="AI261" s="134"/>
      <c r="AJ261" s="143" t="s">
        <v>2858</v>
      </c>
      <c r="AK261" s="129">
        <v>10.210000000000001</v>
      </c>
      <c r="AL261" s="129">
        <v>10.220000000000001</v>
      </c>
      <c r="AM261" s="129">
        <v>10.244999999999999</v>
      </c>
      <c r="AN261" s="129">
        <v>10.25</v>
      </c>
      <c r="AO261" s="126">
        <f t="shared" ca="1" si="23"/>
        <v>352</v>
      </c>
      <c r="AR261" s="99" t="s">
        <v>136</v>
      </c>
    </row>
    <row r="262" spans="1:59" s="99" customFormat="1" ht="21" customHeight="1" x14ac:dyDescent="0.35">
      <c r="A262" s="99">
        <v>421</v>
      </c>
      <c r="B262" s="126" t="str">
        <f t="shared" si="20"/>
        <v>0-304L/FH-001X770</v>
      </c>
      <c r="C262" s="126" t="s">
        <v>2901</v>
      </c>
      <c r="D262" s="126" t="s">
        <v>13</v>
      </c>
      <c r="E262" s="143" t="s">
        <v>1269</v>
      </c>
      <c r="F262" s="143" t="s">
        <v>2909</v>
      </c>
      <c r="G262" s="126" t="s">
        <v>230</v>
      </c>
      <c r="H262" s="126" t="s">
        <v>65</v>
      </c>
      <c r="I262" s="127">
        <v>1.2</v>
      </c>
      <c r="J262" s="127">
        <v>0.6</v>
      </c>
      <c r="K262" s="127"/>
      <c r="L262" s="127"/>
      <c r="M262" s="144">
        <v>770</v>
      </c>
      <c r="N262" s="814">
        <v>10.46</v>
      </c>
      <c r="O262" s="129">
        <v>8.17</v>
      </c>
      <c r="P262" s="129"/>
      <c r="Q262" s="130" t="s">
        <v>1206</v>
      </c>
      <c r="R262" s="130" t="s">
        <v>1207</v>
      </c>
      <c r="S262" s="130" t="s">
        <v>2851</v>
      </c>
      <c r="T262" s="132" t="s">
        <v>1272</v>
      </c>
      <c r="U262" s="132">
        <v>44505</v>
      </c>
      <c r="V262" s="132">
        <v>44550</v>
      </c>
      <c r="W262" s="132"/>
      <c r="X262" s="132"/>
      <c r="Y262" s="133"/>
      <c r="Z262" s="126" t="s">
        <v>64</v>
      </c>
      <c r="AA262" s="134" t="s">
        <v>154</v>
      </c>
      <c r="AB262" s="134" t="s">
        <v>1267</v>
      </c>
      <c r="AC262" s="134"/>
      <c r="AD262" s="134">
        <v>44496</v>
      </c>
      <c r="AE262" s="134"/>
      <c r="AF262" s="134">
        <f t="shared" ca="1" si="19"/>
        <v>44963</v>
      </c>
      <c r="AG262" s="126">
        <f t="shared" ca="1" si="21"/>
        <v>467</v>
      </c>
      <c r="AH262" s="126">
        <f t="shared" ca="1" si="22"/>
        <v>413</v>
      </c>
      <c r="AI262" s="134"/>
      <c r="AJ262" s="143" t="s">
        <v>1275</v>
      </c>
      <c r="AK262" s="129">
        <v>10.52</v>
      </c>
      <c r="AL262" s="129">
        <v>10.53</v>
      </c>
      <c r="AM262" s="129">
        <v>10.554999999999998</v>
      </c>
      <c r="AN262" s="129">
        <v>10.559999999999999</v>
      </c>
      <c r="AO262" s="126">
        <f t="shared" ca="1" si="23"/>
        <v>458</v>
      </c>
      <c r="AR262" s="99" t="s">
        <v>136</v>
      </c>
      <c r="BG262" s="135" t="s">
        <v>699</v>
      </c>
    </row>
    <row r="263" spans="1:59" s="99" customFormat="1" ht="21" customHeight="1" x14ac:dyDescent="0.35">
      <c r="A263" s="99">
        <v>421</v>
      </c>
      <c r="B263" s="126" t="str">
        <f t="shared" si="20"/>
        <v>0-304L/FH-001X770</v>
      </c>
      <c r="C263" s="126" t="s">
        <v>2901</v>
      </c>
      <c r="D263" s="126" t="s">
        <v>13</v>
      </c>
      <c r="E263" s="143" t="s">
        <v>1269</v>
      </c>
      <c r="F263" s="143" t="s">
        <v>1270</v>
      </c>
      <c r="G263" s="126" t="s">
        <v>230</v>
      </c>
      <c r="H263" s="126" t="s">
        <v>65</v>
      </c>
      <c r="I263" s="127">
        <v>1.2</v>
      </c>
      <c r="J263" s="127">
        <v>0.6</v>
      </c>
      <c r="K263" s="127"/>
      <c r="L263" s="127"/>
      <c r="M263" s="144">
        <v>770</v>
      </c>
      <c r="N263" s="815"/>
      <c r="O263" s="129">
        <v>2.3199999999999998</v>
      </c>
      <c r="P263" s="129"/>
      <c r="Q263" s="130" t="s">
        <v>1206</v>
      </c>
      <c r="R263" s="130" t="s">
        <v>1207</v>
      </c>
      <c r="S263" s="130" t="s">
        <v>2851</v>
      </c>
      <c r="T263" s="132" t="s">
        <v>1272</v>
      </c>
      <c r="U263" s="132">
        <v>44505</v>
      </c>
      <c r="V263" s="132">
        <v>44550</v>
      </c>
      <c r="W263" s="132"/>
      <c r="X263" s="132"/>
      <c r="Y263" s="133"/>
      <c r="Z263" s="126" t="s">
        <v>64</v>
      </c>
      <c r="AA263" s="134" t="s">
        <v>154</v>
      </c>
      <c r="AB263" s="134" t="s">
        <v>1267</v>
      </c>
      <c r="AC263" s="134"/>
      <c r="AD263" s="134">
        <v>44496</v>
      </c>
      <c r="AE263" s="134"/>
      <c r="AF263" s="134">
        <f t="shared" ca="1" si="19"/>
        <v>44963</v>
      </c>
      <c r="AG263" s="126">
        <f t="shared" ca="1" si="21"/>
        <v>467</v>
      </c>
      <c r="AH263" s="126">
        <f t="shared" ca="1" si="22"/>
        <v>413</v>
      </c>
      <c r="AI263" s="134"/>
      <c r="AJ263" s="143" t="s">
        <v>1275</v>
      </c>
      <c r="AK263" s="129">
        <v>10.52</v>
      </c>
      <c r="AL263" s="129">
        <v>10.53</v>
      </c>
      <c r="AM263" s="129">
        <v>10.554999999999998</v>
      </c>
      <c r="AN263" s="129">
        <v>10.559999999999999</v>
      </c>
      <c r="AO263" s="126">
        <f t="shared" ca="1" si="23"/>
        <v>458</v>
      </c>
      <c r="AR263" s="99" t="s">
        <v>136</v>
      </c>
      <c r="BG263" s="135" t="s">
        <v>699</v>
      </c>
    </row>
    <row r="264" spans="1:59" s="99" customFormat="1" ht="21" customHeight="1" x14ac:dyDescent="0.35">
      <c r="A264" s="99">
        <v>421</v>
      </c>
      <c r="B264" s="126" t="str">
        <f t="shared" si="20"/>
        <v>0-304L/1D-004X770</v>
      </c>
      <c r="C264" s="126" t="s">
        <v>2897</v>
      </c>
      <c r="D264" s="126" t="s">
        <v>11</v>
      </c>
      <c r="E264" s="143" t="s">
        <v>2910</v>
      </c>
      <c r="F264" s="143" t="s">
        <v>2911</v>
      </c>
      <c r="G264" s="126" t="s">
        <v>230</v>
      </c>
      <c r="H264" s="126" t="s">
        <v>139</v>
      </c>
      <c r="I264" s="127">
        <v>3.8</v>
      </c>
      <c r="J264" s="127"/>
      <c r="K264" s="127"/>
      <c r="L264" s="127"/>
      <c r="M264" s="144">
        <v>770</v>
      </c>
      <c r="N264" s="129">
        <v>9.4949999999999992</v>
      </c>
      <c r="O264" s="129">
        <v>9.4949999999999992</v>
      </c>
      <c r="P264" s="129"/>
      <c r="Q264" s="130"/>
      <c r="R264" s="131"/>
      <c r="S264" s="131"/>
      <c r="T264" s="132">
        <v>44615</v>
      </c>
      <c r="U264" s="132"/>
      <c r="V264" s="132"/>
      <c r="W264" s="132"/>
      <c r="X264" s="132"/>
      <c r="Y264" s="133"/>
      <c r="Z264" s="126" t="s">
        <v>64</v>
      </c>
      <c r="AA264" s="134" t="s">
        <v>154</v>
      </c>
      <c r="AB264" s="134" t="s">
        <v>1256</v>
      </c>
      <c r="AC264" s="134"/>
      <c r="AD264" s="134">
        <v>44496</v>
      </c>
      <c r="AE264" s="134"/>
      <c r="AF264" s="134">
        <f t="shared" ca="1" si="19"/>
        <v>44963</v>
      </c>
      <c r="AG264" s="126">
        <f t="shared" ca="1" si="21"/>
        <v>467</v>
      </c>
      <c r="AH264" s="126" t="str">
        <f t="shared" si="22"/>
        <v/>
      </c>
      <c r="AI264" s="134"/>
      <c r="AJ264" s="143" t="s">
        <v>2912</v>
      </c>
      <c r="AK264" s="129">
        <v>9.4949999999999992</v>
      </c>
      <c r="AL264" s="129">
        <v>9.5050000000000008</v>
      </c>
      <c r="AM264" s="129">
        <v>9.5299999999999994</v>
      </c>
      <c r="AN264" s="129">
        <v>9.5350000000000001</v>
      </c>
      <c r="AO264" s="126" t="str">
        <f t="shared" si="23"/>
        <v/>
      </c>
      <c r="AR264" s="99" t="s">
        <v>136</v>
      </c>
    </row>
    <row r="265" spans="1:59" s="99" customFormat="1" ht="21" customHeight="1" x14ac:dyDescent="0.35">
      <c r="A265" s="99">
        <v>422</v>
      </c>
      <c r="B265" s="126" t="str">
        <f t="shared" si="20"/>
        <v>0-304L/FH-001X762</v>
      </c>
      <c r="C265" s="126" t="s">
        <v>2901</v>
      </c>
      <c r="D265" s="126" t="s">
        <v>13</v>
      </c>
      <c r="E265" s="143" t="s">
        <v>2856</v>
      </c>
      <c r="F265" s="143" t="s">
        <v>2857</v>
      </c>
      <c r="G265" s="126" t="s">
        <v>230</v>
      </c>
      <c r="H265" s="126" t="s">
        <v>65</v>
      </c>
      <c r="I265" s="127">
        <v>0.95</v>
      </c>
      <c r="J265" s="127">
        <v>0.5</v>
      </c>
      <c r="K265" s="127"/>
      <c r="L265" s="127"/>
      <c r="M265" s="144">
        <v>762</v>
      </c>
      <c r="N265" s="129">
        <v>10.119999999999999</v>
      </c>
      <c r="O265" s="129">
        <v>10.105</v>
      </c>
      <c r="P265" s="129"/>
      <c r="Q265" s="130" t="s">
        <v>1206</v>
      </c>
      <c r="R265" s="131"/>
      <c r="S265" s="131" t="s">
        <v>305</v>
      </c>
      <c r="T265" s="132" t="s">
        <v>2908</v>
      </c>
      <c r="U265" s="132">
        <v>44611</v>
      </c>
      <c r="V265" s="132">
        <v>44613</v>
      </c>
      <c r="W265" s="132">
        <v>44615</v>
      </c>
      <c r="X265" s="132"/>
      <c r="Y265" s="133"/>
      <c r="Z265" s="126" t="s">
        <v>64</v>
      </c>
      <c r="AA265" s="134" t="s">
        <v>154</v>
      </c>
      <c r="AB265" s="134" t="s">
        <v>1330</v>
      </c>
      <c r="AC265" s="134"/>
      <c r="AD265" s="134">
        <v>44516</v>
      </c>
      <c r="AE265" s="134"/>
      <c r="AF265" s="134">
        <f t="shared" ca="1" si="19"/>
        <v>44963</v>
      </c>
      <c r="AG265" s="126">
        <f t="shared" ca="1" si="21"/>
        <v>447</v>
      </c>
      <c r="AH265" s="126">
        <f t="shared" ca="1" si="22"/>
        <v>350</v>
      </c>
      <c r="AI265" s="134"/>
      <c r="AJ265" s="143" t="s">
        <v>2858</v>
      </c>
      <c r="AK265" s="129">
        <v>10.210000000000001</v>
      </c>
      <c r="AL265" s="129">
        <v>10.220000000000001</v>
      </c>
      <c r="AM265" s="129">
        <v>10.244999999999999</v>
      </c>
      <c r="AN265" s="129">
        <v>10.25</v>
      </c>
      <c r="AO265" s="126">
        <f t="shared" ca="1" si="23"/>
        <v>352</v>
      </c>
      <c r="AR265" s="99" t="s">
        <v>136</v>
      </c>
    </row>
    <row r="266" spans="1:59" s="99" customFormat="1" ht="21" customHeight="1" x14ac:dyDescent="0.35">
      <c r="A266" s="99">
        <v>421</v>
      </c>
      <c r="B266" s="126" t="str">
        <f t="shared" si="20"/>
        <v>0-304L/FH-001X770</v>
      </c>
      <c r="C266" s="126" t="s">
        <v>2901</v>
      </c>
      <c r="D266" s="126" t="s">
        <v>13</v>
      </c>
      <c r="E266" s="143" t="s">
        <v>2904</v>
      </c>
      <c r="F266" s="143" t="s">
        <v>2905</v>
      </c>
      <c r="G266" s="126" t="s">
        <v>230</v>
      </c>
      <c r="H266" s="126" t="s">
        <v>65</v>
      </c>
      <c r="I266" s="127">
        <v>3.5</v>
      </c>
      <c r="J266" s="127">
        <v>1.2</v>
      </c>
      <c r="K266" s="127"/>
      <c r="L266" s="127"/>
      <c r="M266" s="144">
        <v>770</v>
      </c>
      <c r="N266" s="129">
        <v>10.39</v>
      </c>
      <c r="O266" s="129">
        <v>10.41</v>
      </c>
      <c r="P266" s="129"/>
      <c r="Q266" s="130"/>
      <c r="R266" s="131"/>
      <c r="S266" s="131"/>
      <c r="T266" s="132">
        <v>44615</v>
      </c>
      <c r="U266" s="132"/>
      <c r="V266" s="132"/>
      <c r="W266" s="132"/>
      <c r="X266" s="132"/>
      <c r="Y266" s="133"/>
      <c r="Z266" s="126" t="s">
        <v>64</v>
      </c>
      <c r="AA266" s="134" t="s">
        <v>154</v>
      </c>
      <c r="AB266" s="134" t="s">
        <v>1190</v>
      </c>
      <c r="AC266" s="134"/>
      <c r="AD266" s="134">
        <v>44496</v>
      </c>
      <c r="AE266" s="134"/>
      <c r="AF266" s="134">
        <f t="shared" ca="1" si="19"/>
        <v>44963</v>
      </c>
      <c r="AG266" s="126">
        <f t="shared" ca="1" si="21"/>
        <v>467</v>
      </c>
      <c r="AH266" s="126" t="str">
        <f t="shared" si="22"/>
        <v/>
      </c>
      <c r="AI266" s="134"/>
      <c r="AJ266" s="143" t="s">
        <v>2906</v>
      </c>
      <c r="AK266" s="129">
        <v>10.39</v>
      </c>
      <c r="AL266" s="129">
        <v>10.4</v>
      </c>
      <c r="AM266" s="129">
        <v>10.424999999999999</v>
      </c>
      <c r="AN266" s="129">
        <v>10.43</v>
      </c>
      <c r="AO266" s="126" t="str">
        <f t="shared" si="23"/>
        <v/>
      </c>
      <c r="AR266" s="99" t="s">
        <v>136</v>
      </c>
    </row>
    <row r="267" spans="1:59" s="99" customFormat="1" ht="21" customHeight="1" x14ac:dyDescent="0.35">
      <c r="A267" s="99">
        <v>421</v>
      </c>
      <c r="B267" s="126" t="str">
        <f t="shared" si="20"/>
        <v>0-304L/1D-003X770</v>
      </c>
      <c r="C267" s="126" t="s">
        <v>2897</v>
      </c>
      <c r="D267" s="126" t="s">
        <v>11</v>
      </c>
      <c r="E267" s="143" t="s">
        <v>2913</v>
      </c>
      <c r="F267" s="143" t="s">
        <v>2914</v>
      </c>
      <c r="G267" s="126" t="s">
        <v>230</v>
      </c>
      <c r="H267" s="126" t="s">
        <v>139</v>
      </c>
      <c r="I267" s="127">
        <v>2.76</v>
      </c>
      <c r="J267" s="127"/>
      <c r="K267" s="127"/>
      <c r="L267" s="127"/>
      <c r="M267" s="144">
        <v>770</v>
      </c>
      <c r="N267" s="129">
        <v>10.54</v>
      </c>
      <c r="O267" s="129">
        <v>10.54</v>
      </c>
      <c r="P267" s="129"/>
      <c r="Q267" s="130"/>
      <c r="R267" s="131"/>
      <c r="S267" s="131"/>
      <c r="T267" s="132">
        <v>44615</v>
      </c>
      <c r="U267" s="132"/>
      <c r="V267" s="132"/>
      <c r="W267" s="132"/>
      <c r="X267" s="132"/>
      <c r="Y267" s="133"/>
      <c r="Z267" s="126" t="s">
        <v>64</v>
      </c>
      <c r="AA267" s="134" t="s">
        <v>154</v>
      </c>
      <c r="AB267" s="134" t="s">
        <v>1190</v>
      </c>
      <c r="AC267" s="134"/>
      <c r="AD267" s="134">
        <v>44496</v>
      </c>
      <c r="AE267" s="134"/>
      <c r="AF267" s="134">
        <f t="shared" ca="1" si="19"/>
        <v>44963</v>
      </c>
      <c r="AG267" s="126">
        <f t="shared" ca="1" si="21"/>
        <v>467</v>
      </c>
      <c r="AH267" s="126" t="str">
        <f t="shared" si="22"/>
        <v/>
      </c>
      <c r="AI267" s="134"/>
      <c r="AJ267" s="143" t="s">
        <v>2915</v>
      </c>
      <c r="AK267" s="129">
        <v>10.54</v>
      </c>
      <c r="AL267" s="129">
        <v>10.55</v>
      </c>
      <c r="AM267" s="129">
        <v>10.574999999999999</v>
      </c>
      <c r="AN267" s="129">
        <v>10.58</v>
      </c>
      <c r="AO267" s="126" t="str">
        <f t="shared" si="23"/>
        <v/>
      </c>
      <c r="AR267" s="99" t="s">
        <v>136</v>
      </c>
    </row>
    <row r="268" spans="1:59" s="99" customFormat="1" ht="21" customHeight="1" x14ac:dyDescent="0.35">
      <c r="A268" s="99">
        <v>421</v>
      </c>
      <c r="B268" s="126" t="str">
        <f t="shared" si="20"/>
        <v>0-304L/FH-002X770</v>
      </c>
      <c r="C268" s="126" t="s">
        <v>2901</v>
      </c>
      <c r="D268" s="126" t="s">
        <v>13</v>
      </c>
      <c r="E268" s="143" t="s">
        <v>2910</v>
      </c>
      <c r="F268" s="143" t="s">
        <v>2911</v>
      </c>
      <c r="G268" s="126" t="s">
        <v>230</v>
      </c>
      <c r="H268" s="126" t="s">
        <v>65</v>
      </c>
      <c r="I268" s="127">
        <v>3.8</v>
      </c>
      <c r="J268" s="127">
        <v>2</v>
      </c>
      <c r="K268" s="127"/>
      <c r="L268" s="127"/>
      <c r="M268" s="144">
        <v>770</v>
      </c>
      <c r="N268" s="129">
        <v>9.4949999999999992</v>
      </c>
      <c r="O268" s="129">
        <v>9.5050000000000008</v>
      </c>
      <c r="P268" s="129"/>
      <c r="Q268" s="130"/>
      <c r="R268" s="131"/>
      <c r="S268" s="131"/>
      <c r="T268" s="132">
        <v>44615</v>
      </c>
      <c r="U268" s="132"/>
      <c r="V268" s="132"/>
      <c r="W268" s="132"/>
      <c r="X268" s="132"/>
      <c r="Y268" s="133"/>
      <c r="Z268" s="126" t="s">
        <v>64</v>
      </c>
      <c r="AA268" s="134" t="s">
        <v>154</v>
      </c>
      <c r="AB268" s="134" t="s">
        <v>1256</v>
      </c>
      <c r="AC268" s="134"/>
      <c r="AD268" s="134">
        <v>44496</v>
      </c>
      <c r="AE268" s="134"/>
      <c r="AF268" s="134">
        <f t="shared" ca="1" si="19"/>
        <v>44963</v>
      </c>
      <c r="AG268" s="126">
        <f t="shared" ca="1" si="21"/>
        <v>467</v>
      </c>
      <c r="AH268" s="126" t="str">
        <f t="shared" si="22"/>
        <v/>
      </c>
      <c r="AI268" s="134"/>
      <c r="AJ268" s="143" t="s">
        <v>2912</v>
      </c>
      <c r="AK268" s="129">
        <v>9.4949999999999992</v>
      </c>
      <c r="AL268" s="129">
        <v>9.5050000000000008</v>
      </c>
      <c r="AM268" s="129">
        <v>9.5299999999999994</v>
      </c>
      <c r="AN268" s="129">
        <v>9.5350000000000001</v>
      </c>
      <c r="AO268" s="126" t="str">
        <f t="shared" si="23"/>
        <v/>
      </c>
      <c r="AR268" s="99" t="s">
        <v>136</v>
      </c>
    </row>
    <row r="269" spans="1:59" s="99" customFormat="1" ht="21" customHeight="1" x14ac:dyDescent="0.35">
      <c r="A269" s="99">
        <v>422</v>
      </c>
      <c r="B269" s="126" t="str">
        <f t="shared" si="20"/>
        <v>0-304L/1D-003X770</v>
      </c>
      <c r="C269" s="126" t="s">
        <v>2897</v>
      </c>
      <c r="D269" s="126" t="s">
        <v>11</v>
      </c>
      <c r="E269" s="143" t="s">
        <v>2916</v>
      </c>
      <c r="F269" s="143" t="s">
        <v>2917</v>
      </c>
      <c r="G269" s="126" t="s">
        <v>230</v>
      </c>
      <c r="H269" s="126" t="s">
        <v>139</v>
      </c>
      <c r="I269" s="127">
        <v>2.91</v>
      </c>
      <c r="J269" s="127"/>
      <c r="K269" s="127"/>
      <c r="L269" s="127"/>
      <c r="M269" s="144">
        <v>770</v>
      </c>
      <c r="N269" s="129">
        <v>8.5350000000000001</v>
      </c>
      <c r="O269" s="129">
        <v>8.5350000000000001</v>
      </c>
      <c r="P269" s="129"/>
      <c r="Q269" s="130"/>
      <c r="R269" s="131"/>
      <c r="S269" s="131"/>
      <c r="T269" s="132">
        <v>44615</v>
      </c>
      <c r="U269" s="132"/>
      <c r="V269" s="132"/>
      <c r="W269" s="132"/>
      <c r="X269" s="132"/>
      <c r="Y269" s="133"/>
      <c r="Z269" s="126" t="s">
        <v>64</v>
      </c>
      <c r="AA269" s="134" t="s">
        <v>154</v>
      </c>
      <c r="AB269" s="134" t="s">
        <v>1296</v>
      </c>
      <c r="AC269" s="134"/>
      <c r="AD269" s="134">
        <v>44516</v>
      </c>
      <c r="AE269" s="134"/>
      <c r="AF269" s="134">
        <f t="shared" ca="1" si="19"/>
        <v>44963</v>
      </c>
      <c r="AG269" s="126">
        <f t="shared" ca="1" si="21"/>
        <v>447</v>
      </c>
      <c r="AH269" s="126" t="str">
        <f t="shared" si="22"/>
        <v/>
      </c>
      <c r="AI269" s="134"/>
      <c r="AJ269" s="143" t="s">
        <v>2667</v>
      </c>
      <c r="AK269" s="129">
        <v>8.5350000000000001</v>
      </c>
      <c r="AL269" s="129">
        <v>8.5449999999999999</v>
      </c>
      <c r="AM269" s="129">
        <v>8.5699999999999985</v>
      </c>
      <c r="AN269" s="129">
        <v>8.5749999999999993</v>
      </c>
      <c r="AO269" s="126" t="str">
        <f t="shared" si="23"/>
        <v/>
      </c>
      <c r="AR269" s="99" t="s">
        <v>136</v>
      </c>
    </row>
    <row r="270" spans="1:59" s="99" customFormat="1" ht="21" customHeight="1" x14ac:dyDescent="0.35">
      <c r="A270" s="99">
        <v>421</v>
      </c>
      <c r="B270" s="126" t="str">
        <f t="shared" si="20"/>
        <v>0-304L/FH-001X770</v>
      </c>
      <c r="C270" s="126" t="s">
        <v>2901</v>
      </c>
      <c r="D270" s="126" t="s">
        <v>13</v>
      </c>
      <c r="E270" s="143" t="s">
        <v>1235</v>
      </c>
      <c r="F270" s="143" t="s">
        <v>2902</v>
      </c>
      <c r="G270" s="126" t="s">
        <v>230</v>
      </c>
      <c r="H270" s="126" t="s">
        <v>65</v>
      </c>
      <c r="I270" s="127">
        <v>2.79</v>
      </c>
      <c r="J270" s="127">
        <v>0.95</v>
      </c>
      <c r="K270" s="127"/>
      <c r="L270" s="127"/>
      <c r="M270" s="144">
        <v>770</v>
      </c>
      <c r="N270" s="129">
        <v>10.484999999999999</v>
      </c>
      <c r="O270" s="129">
        <v>10.5</v>
      </c>
      <c r="P270" s="129"/>
      <c r="Q270" s="130"/>
      <c r="R270" s="131"/>
      <c r="S270" s="131"/>
      <c r="T270" s="132">
        <v>44615</v>
      </c>
      <c r="U270" s="132"/>
      <c r="V270" s="132"/>
      <c r="W270" s="132"/>
      <c r="X270" s="132"/>
      <c r="Y270" s="133"/>
      <c r="Z270" s="126" t="s">
        <v>64</v>
      </c>
      <c r="AA270" s="134" t="s">
        <v>154</v>
      </c>
      <c r="AB270" s="134" t="s">
        <v>1239</v>
      </c>
      <c r="AC270" s="134"/>
      <c r="AD270" s="134">
        <v>44496</v>
      </c>
      <c r="AE270" s="134"/>
      <c r="AF270" s="134">
        <f t="shared" ca="1" si="19"/>
        <v>44963</v>
      </c>
      <c r="AG270" s="126">
        <f t="shared" ca="1" si="21"/>
        <v>467</v>
      </c>
      <c r="AH270" s="126" t="str">
        <f t="shared" si="22"/>
        <v/>
      </c>
      <c r="AI270" s="134"/>
      <c r="AJ270" s="143" t="s">
        <v>1240</v>
      </c>
      <c r="AK270" s="129">
        <v>10.484999999999999</v>
      </c>
      <c r="AL270" s="129">
        <v>10.494999999999999</v>
      </c>
      <c r="AM270" s="129">
        <v>10.519999999999998</v>
      </c>
      <c r="AN270" s="129">
        <v>10.524999999999999</v>
      </c>
      <c r="AO270" s="126" t="str">
        <f t="shared" si="23"/>
        <v/>
      </c>
      <c r="AR270" s="99" t="s">
        <v>136</v>
      </c>
    </row>
    <row r="271" spans="1:59" s="99" customFormat="1" ht="21" customHeight="1" x14ac:dyDescent="0.35">
      <c r="A271" s="99">
        <v>424</v>
      </c>
      <c r="B271" s="126" t="str">
        <f t="shared" si="20"/>
        <v>0-304/1D-003X770</v>
      </c>
      <c r="C271" s="126" t="s">
        <v>2897</v>
      </c>
      <c r="D271" s="126" t="s">
        <v>11</v>
      </c>
      <c r="E271" s="143" t="s">
        <v>2918</v>
      </c>
      <c r="F271" s="143" t="s">
        <v>2919</v>
      </c>
      <c r="G271" s="126">
        <v>304</v>
      </c>
      <c r="H271" s="126" t="s">
        <v>139</v>
      </c>
      <c r="I271" s="127">
        <v>3.25</v>
      </c>
      <c r="J271" s="127"/>
      <c r="K271" s="127"/>
      <c r="L271" s="127"/>
      <c r="M271" s="144">
        <v>770</v>
      </c>
      <c r="N271" s="129">
        <v>10.565</v>
      </c>
      <c r="O271" s="129">
        <v>10.565</v>
      </c>
      <c r="P271" s="129"/>
      <c r="Q271" s="130"/>
      <c r="R271" s="131"/>
      <c r="S271" s="131"/>
      <c r="T271" s="132">
        <v>44615</v>
      </c>
      <c r="U271" s="132"/>
      <c r="V271" s="132"/>
      <c r="W271" s="132"/>
      <c r="X271" s="132"/>
      <c r="Y271" s="133" t="s">
        <v>1395</v>
      </c>
      <c r="Z271" s="126" t="s">
        <v>64</v>
      </c>
      <c r="AA271" s="134" t="s">
        <v>154</v>
      </c>
      <c r="AB271" s="134" t="s">
        <v>1330</v>
      </c>
      <c r="AC271" s="134"/>
      <c r="AD271" s="134">
        <v>44554</v>
      </c>
      <c r="AE271" s="134"/>
      <c r="AF271" s="134">
        <f t="shared" ref="AF271:AF311" ca="1" si="24">TODAY()</f>
        <v>44963</v>
      </c>
      <c r="AG271" s="126">
        <f t="shared" ca="1" si="21"/>
        <v>409</v>
      </c>
      <c r="AH271" s="126" t="str">
        <f t="shared" si="22"/>
        <v/>
      </c>
      <c r="AI271" s="134"/>
      <c r="AJ271" s="143" t="s">
        <v>1424</v>
      </c>
      <c r="AK271" s="129">
        <v>10.565</v>
      </c>
      <c r="AL271" s="129">
        <v>10.574999999999999</v>
      </c>
      <c r="AM271" s="129">
        <v>10.599999999999998</v>
      </c>
      <c r="AN271" s="129">
        <v>10.604999999999999</v>
      </c>
      <c r="AO271" s="126" t="str">
        <f t="shared" si="23"/>
        <v/>
      </c>
      <c r="AR271" s="99" t="s">
        <v>136</v>
      </c>
    </row>
    <row r="272" spans="1:59" s="99" customFormat="1" ht="21" customHeight="1" x14ac:dyDescent="0.35">
      <c r="A272" s="99">
        <v>422</v>
      </c>
      <c r="B272" s="126" t="str">
        <f t="shared" si="20"/>
        <v>0-304L/FH-001X770</v>
      </c>
      <c r="C272" s="126" t="s">
        <v>2901</v>
      </c>
      <c r="D272" s="126" t="s">
        <v>13</v>
      </c>
      <c r="E272" s="143" t="s">
        <v>2916</v>
      </c>
      <c r="F272" s="143" t="s">
        <v>2917</v>
      </c>
      <c r="G272" s="126" t="s">
        <v>230</v>
      </c>
      <c r="H272" s="126" t="s">
        <v>65</v>
      </c>
      <c r="I272" s="127">
        <v>2.91</v>
      </c>
      <c r="J272" s="127">
        <v>1</v>
      </c>
      <c r="K272" s="127"/>
      <c r="L272" s="127"/>
      <c r="M272" s="144">
        <v>770</v>
      </c>
      <c r="N272" s="129">
        <v>8.5350000000000001</v>
      </c>
      <c r="O272" s="129">
        <v>8.5449999999999999</v>
      </c>
      <c r="P272" s="129"/>
      <c r="Q272" s="130"/>
      <c r="R272" s="131"/>
      <c r="S272" s="131"/>
      <c r="T272" s="132">
        <v>44615</v>
      </c>
      <c r="U272" s="132"/>
      <c r="V272" s="132"/>
      <c r="W272" s="132"/>
      <c r="X272" s="132"/>
      <c r="Y272" s="133"/>
      <c r="Z272" s="126" t="s">
        <v>64</v>
      </c>
      <c r="AA272" s="134" t="s">
        <v>154</v>
      </c>
      <c r="AB272" s="134" t="s">
        <v>1296</v>
      </c>
      <c r="AC272" s="134"/>
      <c r="AD272" s="134">
        <v>44516</v>
      </c>
      <c r="AE272" s="134"/>
      <c r="AF272" s="134">
        <f t="shared" ca="1" si="24"/>
        <v>44963</v>
      </c>
      <c r="AG272" s="126">
        <f t="shared" ca="1" si="21"/>
        <v>447</v>
      </c>
      <c r="AH272" s="126" t="str">
        <f t="shared" si="22"/>
        <v/>
      </c>
      <c r="AI272" s="134"/>
      <c r="AJ272" s="143" t="s">
        <v>2667</v>
      </c>
      <c r="AK272" s="129">
        <v>8.5350000000000001</v>
      </c>
      <c r="AL272" s="129">
        <v>8.5449999999999999</v>
      </c>
      <c r="AM272" s="129">
        <v>8.5699999999999985</v>
      </c>
      <c r="AN272" s="129">
        <v>8.5749999999999993</v>
      </c>
      <c r="AO272" s="126" t="str">
        <f t="shared" si="23"/>
        <v/>
      </c>
      <c r="AR272" s="99" t="s">
        <v>136</v>
      </c>
    </row>
    <row r="273" spans="1:44" s="99" customFormat="1" ht="21" customHeight="1" x14ac:dyDescent="0.35">
      <c r="A273" s="99">
        <v>422</v>
      </c>
      <c r="B273" s="126" t="str">
        <f t="shared" si="20"/>
        <v>0-304L/1D-003X767</v>
      </c>
      <c r="C273" s="126" t="s">
        <v>2920</v>
      </c>
      <c r="D273" s="126" t="s">
        <v>11</v>
      </c>
      <c r="E273" s="143" t="s">
        <v>2921</v>
      </c>
      <c r="F273" s="143" t="s">
        <v>2922</v>
      </c>
      <c r="G273" s="126" t="s">
        <v>230</v>
      </c>
      <c r="H273" s="126" t="s">
        <v>139</v>
      </c>
      <c r="I273" s="127">
        <v>2.92</v>
      </c>
      <c r="J273" s="127"/>
      <c r="K273" s="127"/>
      <c r="L273" s="127"/>
      <c r="M273" s="144">
        <v>767</v>
      </c>
      <c r="N273" s="129">
        <v>10.46</v>
      </c>
      <c r="O273" s="129">
        <v>10.46</v>
      </c>
      <c r="P273" s="129"/>
      <c r="Q273" s="130"/>
      <c r="R273" s="131"/>
      <c r="S273" s="131"/>
      <c r="T273" s="132">
        <v>44616</v>
      </c>
      <c r="U273" s="132"/>
      <c r="V273" s="132"/>
      <c r="W273" s="132"/>
      <c r="X273" s="132"/>
      <c r="Y273" s="133"/>
      <c r="Z273" s="126" t="s">
        <v>64</v>
      </c>
      <c r="AA273" s="134" t="s">
        <v>154</v>
      </c>
      <c r="AB273" s="134" t="s">
        <v>1296</v>
      </c>
      <c r="AC273" s="134"/>
      <c r="AD273" s="134">
        <v>44516</v>
      </c>
      <c r="AE273" s="134"/>
      <c r="AF273" s="134">
        <f t="shared" ca="1" si="24"/>
        <v>44963</v>
      </c>
      <c r="AG273" s="126">
        <f t="shared" ca="1" si="21"/>
        <v>447</v>
      </c>
      <c r="AH273" s="126" t="str">
        <f t="shared" si="22"/>
        <v/>
      </c>
      <c r="AI273" s="134"/>
      <c r="AJ273" s="143" t="s">
        <v>2602</v>
      </c>
      <c r="AK273" s="129">
        <v>10.46</v>
      </c>
      <c r="AL273" s="129">
        <v>10.47</v>
      </c>
      <c r="AM273" s="129">
        <v>10.494999999999999</v>
      </c>
      <c r="AN273" s="129">
        <v>10.5</v>
      </c>
      <c r="AO273" s="126" t="str">
        <f t="shared" si="23"/>
        <v/>
      </c>
      <c r="AR273" s="99" t="s">
        <v>136</v>
      </c>
    </row>
    <row r="274" spans="1:44" s="99" customFormat="1" ht="21" customHeight="1" x14ac:dyDescent="0.35">
      <c r="A274" s="99">
        <v>421</v>
      </c>
      <c r="B274" s="126" t="str">
        <f t="shared" si="20"/>
        <v>0-304L/FH-001X770</v>
      </c>
      <c r="C274" s="126" t="s">
        <v>2923</v>
      </c>
      <c r="D274" s="126" t="s">
        <v>13</v>
      </c>
      <c r="E274" s="143" t="s">
        <v>2913</v>
      </c>
      <c r="F274" s="143" t="s">
        <v>2914</v>
      </c>
      <c r="G274" s="126" t="s">
        <v>230</v>
      </c>
      <c r="H274" s="126" t="s">
        <v>65</v>
      </c>
      <c r="I274" s="127">
        <v>2.76</v>
      </c>
      <c r="J274" s="127">
        <v>0.6</v>
      </c>
      <c r="K274" s="127"/>
      <c r="L274" s="127"/>
      <c r="M274" s="144">
        <v>770</v>
      </c>
      <c r="N274" s="129">
        <v>10.54</v>
      </c>
      <c r="O274" s="129">
        <v>10.55</v>
      </c>
      <c r="P274" s="129"/>
      <c r="Q274" s="130"/>
      <c r="R274" s="131"/>
      <c r="S274" s="131"/>
      <c r="T274" s="132">
        <v>44615</v>
      </c>
      <c r="U274" s="132"/>
      <c r="V274" s="132"/>
      <c r="W274" s="132"/>
      <c r="X274" s="132"/>
      <c r="Y274" s="133"/>
      <c r="Z274" s="126" t="s">
        <v>64</v>
      </c>
      <c r="AA274" s="134" t="s">
        <v>154</v>
      </c>
      <c r="AB274" s="134" t="s">
        <v>1190</v>
      </c>
      <c r="AC274" s="134"/>
      <c r="AD274" s="134">
        <v>44496</v>
      </c>
      <c r="AE274" s="134"/>
      <c r="AF274" s="134">
        <f t="shared" ca="1" si="24"/>
        <v>44963</v>
      </c>
      <c r="AG274" s="126">
        <f t="shared" ca="1" si="21"/>
        <v>467</v>
      </c>
      <c r="AH274" s="126" t="str">
        <f t="shared" si="22"/>
        <v/>
      </c>
      <c r="AI274" s="134"/>
      <c r="AJ274" s="143" t="s">
        <v>2915</v>
      </c>
      <c r="AK274" s="129">
        <v>10.54</v>
      </c>
      <c r="AL274" s="129">
        <v>10.55</v>
      </c>
      <c r="AM274" s="129">
        <v>10.574999999999999</v>
      </c>
      <c r="AN274" s="129">
        <v>10.58</v>
      </c>
      <c r="AO274" s="126" t="str">
        <f t="shared" si="23"/>
        <v/>
      </c>
      <c r="AR274" s="99" t="s">
        <v>136</v>
      </c>
    </row>
    <row r="275" spans="1:44" s="99" customFormat="1" ht="21" customHeight="1" x14ac:dyDescent="0.35">
      <c r="A275" s="99">
        <v>421</v>
      </c>
      <c r="B275" s="126" t="str">
        <f t="shared" si="20"/>
        <v>0-304L/1D-004X770</v>
      </c>
      <c r="C275" s="126" t="s">
        <v>2920</v>
      </c>
      <c r="D275" s="126" t="s">
        <v>11</v>
      </c>
      <c r="E275" s="143" t="s">
        <v>2924</v>
      </c>
      <c r="F275" s="143" t="s">
        <v>2925</v>
      </c>
      <c r="G275" s="126" t="s">
        <v>230</v>
      </c>
      <c r="H275" s="126" t="s">
        <v>139</v>
      </c>
      <c r="I275" s="127">
        <v>3.5</v>
      </c>
      <c r="J275" s="127"/>
      <c r="K275" s="127"/>
      <c r="L275" s="127"/>
      <c r="M275" s="144">
        <v>770</v>
      </c>
      <c r="N275" s="129">
        <v>10.39</v>
      </c>
      <c r="O275" s="129">
        <v>10.39</v>
      </c>
      <c r="P275" s="129"/>
      <c r="Q275" s="130"/>
      <c r="R275" s="131"/>
      <c r="S275" s="131"/>
      <c r="T275" s="132">
        <v>44616</v>
      </c>
      <c r="U275" s="132"/>
      <c r="V275" s="132"/>
      <c r="W275" s="132"/>
      <c r="X275" s="132"/>
      <c r="Y275" s="133"/>
      <c r="Z275" s="126" t="s">
        <v>64</v>
      </c>
      <c r="AA275" s="134" t="s">
        <v>154</v>
      </c>
      <c r="AB275" s="134" t="s">
        <v>1239</v>
      </c>
      <c r="AC275" s="134"/>
      <c r="AD275" s="134">
        <v>44496</v>
      </c>
      <c r="AE275" s="134"/>
      <c r="AF275" s="134">
        <f t="shared" ca="1" si="24"/>
        <v>44963</v>
      </c>
      <c r="AG275" s="126">
        <f t="shared" ca="1" si="21"/>
        <v>467</v>
      </c>
      <c r="AH275" s="126" t="str">
        <f t="shared" si="22"/>
        <v/>
      </c>
      <c r="AI275" s="134"/>
      <c r="AJ275" s="143" t="s">
        <v>2926</v>
      </c>
      <c r="AK275" s="129">
        <v>10.39</v>
      </c>
      <c r="AL275" s="129">
        <v>10.4</v>
      </c>
      <c r="AM275" s="129">
        <v>10.424999999999999</v>
      </c>
      <c r="AN275" s="129">
        <v>10.43</v>
      </c>
      <c r="AO275" s="126" t="str">
        <f t="shared" si="23"/>
        <v/>
      </c>
      <c r="AR275" s="99" t="s">
        <v>136</v>
      </c>
    </row>
    <row r="276" spans="1:44" s="99" customFormat="1" ht="21" customHeight="1" x14ac:dyDescent="0.35">
      <c r="A276" s="99">
        <v>422</v>
      </c>
      <c r="B276" s="126" t="str">
        <f t="shared" si="20"/>
        <v>0-304L/2B-001X763</v>
      </c>
      <c r="C276" s="126" t="s">
        <v>2927</v>
      </c>
      <c r="D276" s="126" t="s">
        <v>403</v>
      </c>
      <c r="E276" s="143" t="s">
        <v>2823</v>
      </c>
      <c r="F276" s="143" t="s">
        <v>2824</v>
      </c>
      <c r="G276" s="126" t="s">
        <v>230</v>
      </c>
      <c r="H276" s="126" t="s">
        <v>116</v>
      </c>
      <c r="I276" s="127">
        <v>2.88</v>
      </c>
      <c r="J276" s="127">
        <v>0.8</v>
      </c>
      <c r="K276" s="127">
        <v>0.8</v>
      </c>
      <c r="L276" s="127">
        <v>0.81</v>
      </c>
      <c r="M276" s="144">
        <v>763</v>
      </c>
      <c r="N276" s="129">
        <v>8.1999999999999993</v>
      </c>
      <c r="O276" s="129">
        <v>8.1999999999999993</v>
      </c>
      <c r="P276" s="129"/>
      <c r="Q276" s="130" t="s">
        <v>1206</v>
      </c>
      <c r="R276" s="131"/>
      <c r="S276" s="131" t="s">
        <v>305</v>
      </c>
      <c r="T276" s="132" t="s">
        <v>2928</v>
      </c>
      <c r="U276" s="132">
        <v>44607</v>
      </c>
      <c r="V276" s="132">
        <v>44612</v>
      </c>
      <c r="W276" s="132">
        <v>44615</v>
      </c>
      <c r="X276" s="132"/>
      <c r="Y276" s="133"/>
      <c r="Z276" s="126" t="s">
        <v>64</v>
      </c>
      <c r="AA276" s="134" t="s">
        <v>154</v>
      </c>
      <c r="AB276" s="134" t="s">
        <v>1330</v>
      </c>
      <c r="AC276" s="134"/>
      <c r="AD276" s="134">
        <v>44516</v>
      </c>
      <c r="AE276" s="134"/>
      <c r="AF276" s="134">
        <f t="shared" ca="1" si="24"/>
        <v>44963</v>
      </c>
      <c r="AG276" s="126">
        <f t="shared" ca="1" si="21"/>
        <v>447</v>
      </c>
      <c r="AH276" s="126">
        <f t="shared" ca="1" si="22"/>
        <v>351</v>
      </c>
      <c r="AI276" s="134"/>
      <c r="AJ276" s="143" t="s">
        <v>2688</v>
      </c>
      <c r="AK276" s="129">
        <v>8.2850000000000001</v>
      </c>
      <c r="AL276" s="129">
        <v>8.2949999999999999</v>
      </c>
      <c r="AM276" s="129">
        <v>8.3199999999999985</v>
      </c>
      <c r="AN276" s="129">
        <v>8.3249999999999993</v>
      </c>
      <c r="AO276" s="126">
        <f t="shared" ca="1" si="23"/>
        <v>356</v>
      </c>
      <c r="AR276" s="99" t="s">
        <v>136</v>
      </c>
    </row>
    <row r="277" spans="1:44" s="99" customFormat="1" ht="21" customHeight="1" x14ac:dyDescent="0.35">
      <c r="A277" s="99">
        <v>424</v>
      </c>
      <c r="B277" s="126" t="str">
        <f t="shared" si="20"/>
        <v>0-304/FH-001X770</v>
      </c>
      <c r="C277" s="126" t="s">
        <v>2923</v>
      </c>
      <c r="D277" s="126" t="s">
        <v>13</v>
      </c>
      <c r="E277" s="143" t="s">
        <v>2918</v>
      </c>
      <c r="F277" s="143" t="s">
        <v>2919</v>
      </c>
      <c r="G277" s="126">
        <v>304</v>
      </c>
      <c r="H277" s="126" t="s">
        <v>65</v>
      </c>
      <c r="I277" s="127">
        <v>3.25</v>
      </c>
      <c r="J277" s="127">
        <v>1.1599999999999999</v>
      </c>
      <c r="K277" s="127"/>
      <c r="L277" s="127"/>
      <c r="M277" s="144">
        <v>770</v>
      </c>
      <c r="N277" s="129">
        <v>10.565</v>
      </c>
      <c r="O277" s="129">
        <v>10.59</v>
      </c>
      <c r="P277" s="129"/>
      <c r="Q277" s="130"/>
      <c r="R277" s="131"/>
      <c r="S277" s="131"/>
      <c r="T277" s="132">
        <v>44615</v>
      </c>
      <c r="U277" s="132"/>
      <c r="V277" s="132"/>
      <c r="W277" s="132"/>
      <c r="X277" s="132"/>
      <c r="Y277" s="133" t="s">
        <v>1395</v>
      </c>
      <c r="Z277" s="126" t="s">
        <v>64</v>
      </c>
      <c r="AA277" s="134" t="s">
        <v>154</v>
      </c>
      <c r="AB277" s="134" t="s">
        <v>1330</v>
      </c>
      <c r="AC277" s="134"/>
      <c r="AD277" s="134">
        <v>44554</v>
      </c>
      <c r="AE277" s="134"/>
      <c r="AF277" s="134">
        <f t="shared" ca="1" si="24"/>
        <v>44963</v>
      </c>
      <c r="AG277" s="126">
        <f t="shared" ca="1" si="21"/>
        <v>409</v>
      </c>
      <c r="AH277" s="126" t="str">
        <f t="shared" si="22"/>
        <v/>
      </c>
      <c r="AI277" s="134"/>
      <c r="AJ277" s="143" t="s">
        <v>1424</v>
      </c>
      <c r="AK277" s="129">
        <v>10.565</v>
      </c>
      <c r="AL277" s="129">
        <v>10.574999999999999</v>
      </c>
      <c r="AM277" s="129">
        <v>10.599999999999998</v>
      </c>
      <c r="AN277" s="129">
        <v>10.604999999999999</v>
      </c>
      <c r="AO277" s="126" t="str">
        <f t="shared" si="23"/>
        <v/>
      </c>
      <c r="AR277" s="99" t="s">
        <v>136</v>
      </c>
    </row>
    <row r="278" spans="1:44" s="99" customFormat="1" ht="21" customHeight="1" x14ac:dyDescent="0.35">
      <c r="A278" s="99">
        <v>421</v>
      </c>
      <c r="B278" s="126" t="str">
        <f t="shared" si="20"/>
        <v>0-304L/1D-003X770</v>
      </c>
      <c r="C278" s="126" t="s">
        <v>2920</v>
      </c>
      <c r="D278" s="126" t="s">
        <v>11</v>
      </c>
      <c r="E278" s="143" t="s">
        <v>1248</v>
      </c>
      <c r="F278" s="143" t="s">
        <v>1249</v>
      </c>
      <c r="G278" s="126" t="s">
        <v>230</v>
      </c>
      <c r="H278" s="126" t="s">
        <v>139</v>
      </c>
      <c r="I278" s="127">
        <v>3.46</v>
      </c>
      <c r="J278" s="127"/>
      <c r="K278" s="127"/>
      <c r="L278" s="127"/>
      <c r="M278" s="144">
        <v>770</v>
      </c>
      <c r="N278" s="129">
        <v>12.16</v>
      </c>
      <c r="O278" s="129">
        <v>12.16</v>
      </c>
      <c r="P278" s="129"/>
      <c r="Q278" s="130"/>
      <c r="R278" s="131"/>
      <c r="S278" s="131"/>
      <c r="T278" s="132">
        <v>44616</v>
      </c>
      <c r="U278" s="132"/>
      <c r="V278" s="132"/>
      <c r="W278" s="132"/>
      <c r="X278" s="132"/>
      <c r="Y278" s="133"/>
      <c r="Z278" s="126" t="s">
        <v>64</v>
      </c>
      <c r="AA278" s="134" t="s">
        <v>154</v>
      </c>
      <c r="AB278" s="134" t="s">
        <v>1246</v>
      </c>
      <c r="AC278" s="134"/>
      <c r="AD278" s="134">
        <v>44496</v>
      </c>
      <c r="AE278" s="134"/>
      <c r="AF278" s="134">
        <f t="shared" ca="1" si="24"/>
        <v>44963</v>
      </c>
      <c r="AG278" s="126">
        <f t="shared" ca="1" si="21"/>
        <v>467</v>
      </c>
      <c r="AH278" s="126" t="str">
        <f t="shared" si="22"/>
        <v/>
      </c>
      <c r="AI278" s="134"/>
      <c r="AJ278" s="143" t="s">
        <v>1250</v>
      </c>
      <c r="AK278" s="129">
        <v>12.16</v>
      </c>
      <c r="AL278" s="129">
        <v>12.17</v>
      </c>
      <c r="AM278" s="129">
        <v>12.194999999999999</v>
      </c>
      <c r="AN278" s="129">
        <v>12.2</v>
      </c>
      <c r="AO278" s="126" t="str">
        <f t="shared" si="23"/>
        <v/>
      </c>
      <c r="AR278" s="99" t="s">
        <v>136</v>
      </c>
    </row>
    <row r="279" spans="1:44" s="99" customFormat="1" ht="21" customHeight="1" x14ac:dyDescent="0.35">
      <c r="A279" s="99">
        <v>421</v>
      </c>
      <c r="B279" s="126" t="str">
        <f t="shared" si="20"/>
        <v>0-304L/2B-001X761</v>
      </c>
      <c r="C279" s="126" t="s">
        <v>2927</v>
      </c>
      <c r="D279" s="126" t="s">
        <v>403</v>
      </c>
      <c r="E279" s="143" t="s">
        <v>2929</v>
      </c>
      <c r="F279" s="143" t="s">
        <v>2930</v>
      </c>
      <c r="G279" s="126" t="s">
        <v>230</v>
      </c>
      <c r="H279" s="126" t="s">
        <v>116</v>
      </c>
      <c r="I279" s="127">
        <v>2.81</v>
      </c>
      <c r="J279" s="127">
        <v>0.6</v>
      </c>
      <c r="K279" s="127">
        <v>0.59</v>
      </c>
      <c r="L279" s="127">
        <v>0.61</v>
      </c>
      <c r="M279" s="144">
        <v>761</v>
      </c>
      <c r="N279" s="129">
        <v>4.665</v>
      </c>
      <c r="O279" s="129">
        <v>4.665</v>
      </c>
      <c r="P279" s="129"/>
      <c r="Q279" s="130" t="s">
        <v>1206</v>
      </c>
      <c r="R279" s="130" t="s">
        <v>1228</v>
      </c>
      <c r="S279" s="131" t="s">
        <v>2931</v>
      </c>
      <c r="T279" s="132" t="s">
        <v>2932</v>
      </c>
      <c r="U279" s="132">
        <v>44539</v>
      </c>
      <c r="V279" s="132">
        <v>44610</v>
      </c>
      <c r="W279" s="132"/>
      <c r="X279" s="132"/>
      <c r="Y279" s="133"/>
      <c r="Z279" s="126" t="s">
        <v>64</v>
      </c>
      <c r="AA279" s="134" t="s">
        <v>154</v>
      </c>
      <c r="AB279" s="134" t="s">
        <v>1190</v>
      </c>
      <c r="AC279" s="134"/>
      <c r="AD279" s="134">
        <v>44496</v>
      </c>
      <c r="AE279" s="134"/>
      <c r="AF279" s="134">
        <f t="shared" ca="1" si="24"/>
        <v>44963</v>
      </c>
      <c r="AG279" s="126">
        <f t="shared" ca="1" si="21"/>
        <v>467</v>
      </c>
      <c r="AH279" s="126">
        <f t="shared" ca="1" si="22"/>
        <v>353</v>
      </c>
      <c r="AI279" s="134"/>
      <c r="AJ279" s="143" t="s">
        <v>2933</v>
      </c>
      <c r="AK279" s="129">
        <v>10.52</v>
      </c>
      <c r="AL279" s="129">
        <v>10.53</v>
      </c>
      <c r="AM279" s="129">
        <v>10.554999999999998</v>
      </c>
      <c r="AN279" s="129">
        <v>10.559999999999999</v>
      </c>
      <c r="AO279" s="126">
        <f t="shared" ca="1" si="23"/>
        <v>424</v>
      </c>
      <c r="AR279" s="99" t="s">
        <v>136</v>
      </c>
    </row>
    <row r="280" spans="1:44" s="99" customFormat="1" ht="21" customHeight="1" x14ac:dyDescent="0.35">
      <c r="A280" s="99">
        <v>422</v>
      </c>
      <c r="B280" s="126" t="str">
        <f t="shared" si="20"/>
        <v>0-304L/FH-001X767</v>
      </c>
      <c r="C280" s="126" t="s">
        <v>2923</v>
      </c>
      <c r="D280" s="126" t="s">
        <v>13</v>
      </c>
      <c r="E280" s="143" t="s">
        <v>2921</v>
      </c>
      <c r="F280" s="143" t="s">
        <v>2922</v>
      </c>
      <c r="G280" s="126" t="s">
        <v>230</v>
      </c>
      <c r="H280" s="126" t="s">
        <v>65</v>
      </c>
      <c r="I280" s="127">
        <v>2.92</v>
      </c>
      <c r="J280" s="127">
        <v>0.9</v>
      </c>
      <c r="K280" s="127"/>
      <c r="L280" s="127"/>
      <c r="M280" s="144">
        <v>767</v>
      </c>
      <c r="N280" s="129">
        <v>10.46</v>
      </c>
      <c r="O280" s="129">
        <v>10.48</v>
      </c>
      <c r="P280" s="129"/>
      <c r="Q280" s="130"/>
      <c r="R280" s="131"/>
      <c r="S280" s="131"/>
      <c r="T280" s="132">
        <v>44616</v>
      </c>
      <c r="U280" s="132"/>
      <c r="V280" s="132"/>
      <c r="W280" s="132"/>
      <c r="X280" s="132"/>
      <c r="Y280" s="133"/>
      <c r="Z280" s="126" t="s">
        <v>64</v>
      </c>
      <c r="AA280" s="134" t="s">
        <v>154</v>
      </c>
      <c r="AB280" s="134" t="s">
        <v>1296</v>
      </c>
      <c r="AC280" s="134"/>
      <c r="AD280" s="134">
        <v>44516</v>
      </c>
      <c r="AE280" s="134"/>
      <c r="AF280" s="134">
        <f t="shared" ca="1" si="24"/>
        <v>44963</v>
      </c>
      <c r="AG280" s="126">
        <f t="shared" ca="1" si="21"/>
        <v>447</v>
      </c>
      <c r="AH280" s="126" t="str">
        <f t="shared" si="22"/>
        <v/>
      </c>
      <c r="AI280" s="134"/>
      <c r="AJ280" s="143" t="s">
        <v>2602</v>
      </c>
      <c r="AK280" s="129">
        <v>10.46</v>
      </c>
      <c r="AL280" s="129">
        <v>10.47</v>
      </c>
      <c r="AM280" s="129">
        <v>10.494999999999999</v>
      </c>
      <c r="AN280" s="129">
        <v>10.5</v>
      </c>
      <c r="AO280" s="126" t="str">
        <f t="shared" si="23"/>
        <v/>
      </c>
      <c r="AR280" s="99" t="s">
        <v>136</v>
      </c>
    </row>
    <row r="281" spans="1:44" s="99" customFormat="1" ht="21" customHeight="1" x14ac:dyDescent="0.35">
      <c r="A281" s="99">
        <v>421</v>
      </c>
      <c r="B281" s="126" t="str">
        <f t="shared" si="20"/>
        <v>0-304L/1D-003X770</v>
      </c>
      <c r="C281" s="126" t="s">
        <v>2920</v>
      </c>
      <c r="D281" s="126" t="s">
        <v>11</v>
      </c>
      <c r="E281" s="143" t="s">
        <v>2934</v>
      </c>
      <c r="F281" s="143" t="s">
        <v>2935</v>
      </c>
      <c r="G281" s="126" t="s">
        <v>230</v>
      </c>
      <c r="H281" s="126" t="s">
        <v>139</v>
      </c>
      <c r="I281" s="127">
        <v>3.32</v>
      </c>
      <c r="J281" s="127"/>
      <c r="K281" s="127"/>
      <c r="L281" s="127"/>
      <c r="M281" s="144">
        <v>770</v>
      </c>
      <c r="N281" s="129">
        <v>10.555</v>
      </c>
      <c r="O281" s="129">
        <v>10.555</v>
      </c>
      <c r="P281" s="129"/>
      <c r="Q281" s="130"/>
      <c r="R281" s="131"/>
      <c r="S281" s="131"/>
      <c r="T281" s="132">
        <v>44616</v>
      </c>
      <c r="U281" s="132"/>
      <c r="V281" s="132"/>
      <c r="W281" s="132"/>
      <c r="X281" s="132"/>
      <c r="Y281" s="133"/>
      <c r="Z281" s="126" t="s">
        <v>64</v>
      </c>
      <c r="AA281" s="134" t="s">
        <v>154</v>
      </c>
      <c r="AB281" s="134" t="s">
        <v>1246</v>
      </c>
      <c r="AC281" s="134"/>
      <c r="AD281" s="134">
        <v>44496</v>
      </c>
      <c r="AE281" s="134"/>
      <c r="AF281" s="134">
        <f t="shared" ca="1" si="24"/>
        <v>44963</v>
      </c>
      <c r="AG281" s="126">
        <f t="shared" ca="1" si="21"/>
        <v>467</v>
      </c>
      <c r="AH281" s="126" t="str">
        <f t="shared" si="22"/>
        <v/>
      </c>
      <c r="AI281" s="134"/>
      <c r="AJ281" s="143" t="s">
        <v>2936</v>
      </c>
      <c r="AK281" s="129">
        <v>10.555</v>
      </c>
      <c r="AL281" s="129">
        <v>10.565</v>
      </c>
      <c r="AM281" s="129">
        <v>10.589999999999998</v>
      </c>
      <c r="AN281" s="129">
        <v>10.594999999999999</v>
      </c>
      <c r="AO281" s="126" t="str">
        <f t="shared" si="23"/>
        <v/>
      </c>
      <c r="AR281" s="99" t="s">
        <v>136</v>
      </c>
    </row>
    <row r="282" spans="1:44" s="99" customFormat="1" ht="21" customHeight="1" x14ac:dyDescent="0.35">
      <c r="A282" s="99">
        <v>421</v>
      </c>
      <c r="B282" s="126" t="str">
        <f t="shared" si="20"/>
        <v>0-304L/FH-001X770</v>
      </c>
      <c r="C282" s="126" t="s">
        <v>2923</v>
      </c>
      <c r="D282" s="126" t="s">
        <v>13</v>
      </c>
      <c r="E282" s="143" t="s">
        <v>2924</v>
      </c>
      <c r="F282" s="143" t="s">
        <v>2925</v>
      </c>
      <c r="G282" s="126" t="s">
        <v>230</v>
      </c>
      <c r="H282" s="126" t="s">
        <v>65</v>
      </c>
      <c r="I282" s="127">
        <v>3.5</v>
      </c>
      <c r="J282" s="127">
        <v>1.2</v>
      </c>
      <c r="K282" s="127"/>
      <c r="L282" s="127"/>
      <c r="M282" s="144">
        <v>770</v>
      </c>
      <c r="N282" s="129">
        <v>10.39</v>
      </c>
      <c r="O282" s="129">
        <v>10.38</v>
      </c>
      <c r="P282" s="129"/>
      <c r="Q282" s="130"/>
      <c r="R282" s="131"/>
      <c r="S282" s="131"/>
      <c r="T282" s="132">
        <v>44616</v>
      </c>
      <c r="U282" s="132"/>
      <c r="V282" s="132"/>
      <c r="W282" s="132"/>
      <c r="X282" s="132"/>
      <c r="Y282" s="133"/>
      <c r="Z282" s="126" t="s">
        <v>64</v>
      </c>
      <c r="AA282" s="134" t="s">
        <v>154</v>
      </c>
      <c r="AB282" s="134" t="s">
        <v>1239</v>
      </c>
      <c r="AC282" s="134"/>
      <c r="AD282" s="134">
        <v>44496</v>
      </c>
      <c r="AE282" s="134"/>
      <c r="AF282" s="134">
        <f t="shared" ca="1" si="24"/>
        <v>44963</v>
      </c>
      <c r="AG282" s="126">
        <f t="shared" ca="1" si="21"/>
        <v>467</v>
      </c>
      <c r="AH282" s="126" t="str">
        <f t="shared" si="22"/>
        <v/>
      </c>
      <c r="AI282" s="134"/>
      <c r="AJ282" s="143" t="s">
        <v>2926</v>
      </c>
      <c r="AK282" s="129">
        <v>10.39</v>
      </c>
      <c r="AL282" s="129">
        <v>10.4</v>
      </c>
      <c r="AM282" s="129">
        <v>10.424999999999999</v>
      </c>
      <c r="AN282" s="129">
        <v>10.43</v>
      </c>
      <c r="AO282" s="126" t="str">
        <f t="shared" si="23"/>
        <v/>
      </c>
      <c r="AR282" s="99" t="s">
        <v>136</v>
      </c>
    </row>
    <row r="283" spans="1:44" s="99" customFormat="1" ht="21" customHeight="1" x14ac:dyDescent="0.35">
      <c r="A283" s="99">
        <v>422</v>
      </c>
      <c r="B283" s="126" t="str">
        <f t="shared" si="20"/>
        <v>0-304L/1D-003X768</v>
      </c>
      <c r="C283" s="126" t="s">
        <v>2920</v>
      </c>
      <c r="D283" s="126" t="s">
        <v>2937</v>
      </c>
      <c r="E283" s="143" t="s">
        <v>2938</v>
      </c>
      <c r="F283" s="143" t="s">
        <v>2939</v>
      </c>
      <c r="G283" s="126" t="s">
        <v>230</v>
      </c>
      <c r="H283" s="126" t="s">
        <v>139</v>
      </c>
      <c r="I283" s="127">
        <v>3</v>
      </c>
      <c r="J283" s="127"/>
      <c r="K283" s="127"/>
      <c r="L283" s="127"/>
      <c r="M283" s="144">
        <v>768</v>
      </c>
      <c r="N283" s="129">
        <v>10.205</v>
      </c>
      <c r="O283" s="129">
        <v>10.205</v>
      </c>
      <c r="P283" s="129"/>
      <c r="Q283" s="130"/>
      <c r="R283" s="131"/>
      <c r="S283" s="131"/>
      <c r="T283" s="132">
        <v>44616</v>
      </c>
      <c r="U283" s="132"/>
      <c r="V283" s="132"/>
      <c r="W283" s="132"/>
      <c r="X283" s="132"/>
      <c r="Y283" s="133"/>
      <c r="Z283" s="126" t="s">
        <v>64</v>
      </c>
      <c r="AA283" s="134" t="s">
        <v>154</v>
      </c>
      <c r="AB283" s="134" t="s">
        <v>1330</v>
      </c>
      <c r="AC283" s="134"/>
      <c r="AD283" s="134">
        <v>44516</v>
      </c>
      <c r="AE283" s="134"/>
      <c r="AF283" s="134">
        <f t="shared" ca="1" si="24"/>
        <v>44963</v>
      </c>
      <c r="AG283" s="126">
        <f t="shared" ca="1" si="21"/>
        <v>447</v>
      </c>
      <c r="AH283" s="126" t="str">
        <f t="shared" si="22"/>
        <v/>
      </c>
      <c r="AI283" s="134"/>
      <c r="AJ283" s="143" t="s">
        <v>2858</v>
      </c>
      <c r="AK283" s="129">
        <v>10.205</v>
      </c>
      <c r="AL283" s="129">
        <v>10.215</v>
      </c>
      <c r="AM283" s="129">
        <v>10.239999999999998</v>
      </c>
      <c r="AN283" s="129">
        <v>10.244999999999999</v>
      </c>
      <c r="AO283" s="126" t="str">
        <f t="shared" si="23"/>
        <v/>
      </c>
      <c r="AR283" s="99" t="s">
        <v>136</v>
      </c>
    </row>
    <row r="284" spans="1:44" s="99" customFormat="1" ht="21" customHeight="1" x14ac:dyDescent="0.35">
      <c r="A284" s="99">
        <v>421</v>
      </c>
      <c r="B284" s="126" t="str">
        <f t="shared" si="20"/>
        <v>0-304L/FH-000X761</v>
      </c>
      <c r="C284" s="126" t="s">
        <v>2923</v>
      </c>
      <c r="D284" s="126" t="s">
        <v>13</v>
      </c>
      <c r="E284" s="143" t="s">
        <v>2929</v>
      </c>
      <c r="F284" s="143" t="s">
        <v>2930</v>
      </c>
      <c r="G284" s="126" t="s">
        <v>230</v>
      </c>
      <c r="H284" s="126" t="s">
        <v>65</v>
      </c>
      <c r="I284" s="127">
        <v>0.6</v>
      </c>
      <c r="J284" s="127">
        <v>0.3</v>
      </c>
      <c r="K284" s="127"/>
      <c r="L284" s="127"/>
      <c r="M284" s="144">
        <v>761</v>
      </c>
      <c r="N284" s="129">
        <v>4.665</v>
      </c>
      <c r="O284" s="129">
        <v>4.6449999999999996</v>
      </c>
      <c r="P284" s="129"/>
      <c r="Q284" s="130" t="s">
        <v>1206</v>
      </c>
      <c r="R284" s="130" t="s">
        <v>1228</v>
      </c>
      <c r="S284" s="131" t="s">
        <v>2931</v>
      </c>
      <c r="T284" s="132" t="s">
        <v>2932</v>
      </c>
      <c r="U284" s="132">
        <v>44539</v>
      </c>
      <c r="V284" s="132">
        <v>44610</v>
      </c>
      <c r="W284" s="132"/>
      <c r="X284" s="132"/>
      <c r="Y284" s="133"/>
      <c r="Z284" s="126" t="s">
        <v>64</v>
      </c>
      <c r="AA284" s="134" t="s">
        <v>154</v>
      </c>
      <c r="AB284" s="134" t="s">
        <v>1190</v>
      </c>
      <c r="AC284" s="134"/>
      <c r="AD284" s="134">
        <v>44496</v>
      </c>
      <c r="AE284" s="134"/>
      <c r="AF284" s="134">
        <f t="shared" ca="1" si="24"/>
        <v>44963</v>
      </c>
      <c r="AG284" s="126">
        <f t="shared" ca="1" si="21"/>
        <v>467</v>
      </c>
      <c r="AH284" s="126">
        <f t="shared" ca="1" si="22"/>
        <v>353</v>
      </c>
      <c r="AI284" s="134"/>
      <c r="AJ284" s="143" t="s">
        <v>2933</v>
      </c>
      <c r="AK284" s="129">
        <v>10.52</v>
      </c>
      <c r="AL284" s="129">
        <v>10.53</v>
      </c>
      <c r="AM284" s="129">
        <v>10.554999999999998</v>
      </c>
      <c r="AN284" s="129">
        <v>10.559999999999999</v>
      </c>
      <c r="AO284" s="126">
        <f t="shared" ca="1" si="23"/>
        <v>424</v>
      </c>
      <c r="AR284" s="99" t="s">
        <v>136</v>
      </c>
    </row>
    <row r="285" spans="1:44" s="99" customFormat="1" ht="21" customHeight="1" x14ac:dyDescent="0.35">
      <c r="A285" s="99">
        <v>421</v>
      </c>
      <c r="B285" s="126" t="str">
        <f t="shared" si="20"/>
        <v>0-304L/2B-001X765</v>
      </c>
      <c r="C285" s="126" t="s">
        <v>2927</v>
      </c>
      <c r="D285" s="126" t="s">
        <v>403</v>
      </c>
      <c r="E285" s="143" t="s">
        <v>2940</v>
      </c>
      <c r="F285" s="143" t="s">
        <v>2941</v>
      </c>
      <c r="G285" s="126" t="s">
        <v>230</v>
      </c>
      <c r="H285" s="126" t="s">
        <v>116</v>
      </c>
      <c r="I285" s="127">
        <v>2.75</v>
      </c>
      <c r="J285" s="127">
        <v>0.6</v>
      </c>
      <c r="K285" s="127">
        <v>0.59</v>
      </c>
      <c r="L285" s="127">
        <v>0.6</v>
      </c>
      <c r="M285" s="144">
        <v>765</v>
      </c>
      <c r="N285" s="129">
        <v>4.625</v>
      </c>
      <c r="O285" s="129">
        <v>4.625</v>
      </c>
      <c r="P285" s="129"/>
      <c r="Q285" s="130" t="s">
        <v>1143</v>
      </c>
      <c r="R285" s="131"/>
      <c r="S285" s="131"/>
      <c r="T285" s="132" t="s">
        <v>2942</v>
      </c>
      <c r="U285" s="132">
        <v>44538</v>
      </c>
      <c r="V285" s="132">
        <v>44603</v>
      </c>
      <c r="W285" s="132">
        <v>44615</v>
      </c>
      <c r="X285" s="132"/>
      <c r="Y285" s="133"/>
      <c r="Z285" s="126" t="s">
        <v>64</v>
      </c>
      <c r="AA285" s="134" t="s">
        <v>154</v>
      </c>
      <c r="AB285" s="134" t="s">
        <v>1190</v>
      </c>
      <c r="AC285" s="134"/>
      <c r="AD285" s="134">
        <v>44496</v>
      </c>
      <c r="AE285" s="134"/>
      <c r="AF285" s="134">
        <f t="shared" ca="1" si="24"/>
        <v>44963</v>
      </c>
      <c r="AG285" s="126">
        <f t="shared" ca="1" si="21"/>
        <v>467</v>
      </c>
      <c r="AH285" s="126">
        <f t="shared" ca="1" si="22"/>
        <v>360</v>
      </c>
      <c r="AI285" s="134"/>
      <c r="AJ285" s="143" t="s">
        <v>2915</v>
      </c>
      <c r="AK285" s="129">
        <v>10.555</v>
      </c>
      <c r="AL285" s="129">
        <v>10.565</v>
      </c>
      <c r="AM285" s="129">
        <v>10.589999999999998</v>
      </c>
      <c r="AN285" s="129">
        <v>10.594999999999999</v>
      </c>
      <c r="AO285" s="126">
        <f t="shared" ca="1" si="23"/>
        <v>425</v>
      </c>
      <c r="AR285" s="99" t="s">
        <v>136</v>
      </c>
    </row>
    <row r="286" spans="1:44" s="99" customFormat="1" ht="21" customHeight="1" x14ac:dyDescent="0.35">
      <c r="A286" s="99">
        <v>422</v>
      </c>
      <c r="B286" s="126" t="str">
        <f t="shared" si="20"/>
        <v>0-304L/FH-000X763</v>
      </c>
      <c r="C286" s="126" t="s">
        <v>2923</v>
      </c>
      <c r="D286" s="126" t="s">
        <v>13</v>
      </c>
      <c r="E286" s="143" t="s">
        <v>2823</v>
      </c>
      <c r="F286" s="143" t="s">
        <v>2824</v>
      </c>
      <c r="G286" s="126" t="s">
        <v>230</v>
      </c>
      <c r="H286" s="126" t="s">
        <v>65</v>
      </c>
      <c r="I286" s="127">
        <v>0.8</v>
      </c>
      <c r="J286" s="127">
        <v>0.4</v>
      </c>
      <c r="K286" s="127"/>
      <c r="L286" s="127"/>
      <c r="M286" s="144">
        <v>763</v>
      </c>
      <c r="N286" s="129">
        <v>8.1999999999999993</v>
      </c>
      <c r="O286" s="129">
        <v>8.2050000000000001</v>
      </c>
      <c r="P286" s="129"/>
      <c r="Q286" s="130" t="s">
        <v>1206</v>
      </c>
      <c r="R286" s="131"/>
      <c r="S286" s="131" t="s">
        <v>305</v>
      </c>
      <c r="T286" s="132" t="s">
        <v>2928</v>
      </c>
      <c r="U286" s="132">
        <v>44607</v>
      </c>
      <c r="V286" s="132">
        <v>44612</v>
      </c>
      <c r="W286" s="132">
        <v>44615</v>
      </c>
      <c r="X286" s="132"/>
      <c r="Y286" s="133"/>
      <c r="Z286" s="126" t="s">
        <v>64</v>
      </c>
      <c r="AA286" s="134" t="s">
        <v>154</v>
      </c>
      <c r="AB286" s="134" t="s">
        <v>1330</v>
      </c>
      <c r="AC286" s="134"/>
      <c r="AD286" s="134">
        <v>44516</v>
      </c>
      <c r="AE286" s="134"/>
      <c r="AF286" s="134">
        <f t="shared" ca="1" si="24"/>
        <v>44963</v>
      </c>
      <c r="AG286" s="126">
        <f t="shared" ca="1" si="21"/>
        <v>447</v>
      </c>
      <c r="AH286" s="126">
        <f t="shared" ca="1" si="22"/>
        <v>351</v>
      </c>
      <c r="AI286" s="134"/>
      <c r="AJ286" s="143" t="s">
        <v>2688</v>
      </c>
      <c r="AK286" s="129">
        <v>8.2850000000000001</v>
      </c>
      <c r="AL286" s="129">
        <v>8.2949999999999999</v>
      </c>
      <c r="AM286" s="129">
        <v>8.3199999999999985</v>
      </c>
      <c r="AN286" s="129">
        <v>8.3249999999999993</v>
      </c>
      <c r="AO286" s="126">
        <f t="shared" ca="1" si="23"/>
        <v>356</v>
      </c>
      <c r="AR286" s="99" t="s">
        <v>136</v>
      </c>
    </row>
    <row r="287" spans="1:44" s="99" customFormat="1" ht="21" customHeight="1" x14ac:dyDescent="0.35">
      <c r="A287" s="99">
        <v>421</v>
      </c>
      <c r="B287" s="126" t="str">
        <f t="shared" si="20"/>
        <v>0-304L/2B-001X765</v>
      </c>
      <c r="C287" s="126" t="s">
        <v>2927</v>
      </c>
      <c r="D287" s="126" t="s">
        <v>403</v>
      </c>
      <c r="E287" s="143" t="s">
        <v>2884</v>
      </c>
      <c r="F287" s="143" t="s">
        <v>2885</v>
      </c>
      <c r="G287" s="126" t="s">
        <v>230</v>
      </c>
      <c r="H287" s="126" t="s">
        <v>116</v>
      </c>
      <c r="I287" s="127">
        <v>2.88</v>
      </c>
      <c r="J287" s="127">
        <v>0.8</v>
      </c>
      <c r="K287" s="127">
        <v>0.78</v>
      </c>
      <c r="L287" s="127">
        <v>0.8</v>
      </c>
      <c r="M287" s="144">
        <v>765</v>
      </c>
      <c r="N287" s="129">
        <v>11.88</v>
      </c>
      <c r="O287" s="129">
        <v>11.88</v>
      </c>
      <c r="P287" s="129"/>
      <c r="Q287" s="130" t="s">
        <v>1206</v>
      </c>
      <c r="R287" s="131"/>
      <c r="S287" s="131"/>
      <c r="T287" s="132" t="s">
        <v>2943</v>
      </c>
      <c r="U287" s="132">
        <v>44614</v>
      </c>
      <c r="V287" s="132">
        <v>44615</v>
      </c>
      <c r="W287" s="132">
        <v>44616</v>
      </c>
      <c r="X287" s="132"/>
      <c r="Y287" s="133"/>
      <c r="Z287" s="126" t="s">
        <v>64</v>
      </c>
      <c r="AA287" s="134" t="s">
        <v>154</v>
      </c>
      <c r="AB287" s="134" t="s">
        <v>1190</v>
      </c>
      <c r="AC287" s="134"/>
      <c r="AD287" s="134">
        <v>44496</v>
      </c>
      <c r="AE287" s="134"/>
      <c r="AF287" s="134">
        <f t="shared" ca="1" si="24"/>
        <v>44963</v>
      </c>
      <c r="AG287" s="126">
        <f t="shared" ca="1" si="21"/>
        <v>467</v>
      </c>
      <c r="AH287" s="126">
        <f t="shared" ca="1" si="22"/>
        <v>348</v>
      </c>
      <c r="AI287" s="134"/>
      <c r="AJ287" s="143" t="s">
        <v>2751</v>
      </c>
      <c r="AK287" s="129">
        <v>12.08</v>
      </c>
      <c r="AL287" s="129">
        <v>12.09</v>
      </c>
      <c r="AM287" s="129">
        <v>12.114999999999998</v>
      </c>
      <c r="AN287" s="129">
        <v>12.12</v>
      </c>
      <c r="AO287" s="126">
        <f t="shared" ca="1" si="23"/>
        <v>349</v>
      </c>
      <c r="AR287" s="99" t="s">
        <v>136</v>
      </c>
    </row>
    <row r="288" spans="1:44" s="99" customFormat="1" ht="21" customHeight="1" x14ac:dyDescent="0.35">
      <c r="A288" s="99">
        <v>421</v>
      </c>
      <c r="B288" s="126" t="str">
        <f t="shared" si="20"/>
        <v>0-304L/FH-000X765</v>
      </c>
      <c r="C288" s="126" t="s">
        <v>2923</v>
      </c>
      <c r="D288" s="126" t="s">
        <v>13</v>
      </c>
      <c r="E288" s="143" t="s">
        <v>2940</v>
      </c>
      <c r="F288" s="143" t="s">
        <v>2941</v>
      </c>
      <c r="G288" s="126" t="s">
        <v>230</v>
      </c>
      <c r="H288" s="126" t="s">
        <v>65</v>
      </c>
      <c r="I288" s="127">
        <v>0.6</v>
      </c>
      <c r="J288" s="127">
        <v>0.3</v>
      </c>
      <c r="K288" s="127"/>
      <c r="L288" s="127"/>
      <c r="M288" s="144">
        <v>765</v>
      </c>
      <c r="N288" s="129">
        <v>4.625</v>
      </c>
      <c r="O288" s="129">
        <v>4.6100000000000003</v>
      </c>
      <c r="P288" s="129"/>
      <c r="Q288" s="130" t="s">
        <v>1143</v>
      </c>
      <c r="R288" s="131"/>
      <c r="S288" s="131"/>
      <c r="T288" s="132" t="s">
        <v>2942</v>
      </c>
      <c r="U288" s="132">
        <v>44538</v>
      </c>
      <c r="V288" s="132">
        <v>44603</v>
      </c>
      <c r="W288" s="132">
        <v>44615</v>
      </c>
      <c r="X288" s="132"/>
      <c r="Y288" s="133"/>
      <c r="Z288" s="126" t="s">
        <v>64</v>
      </c>
      <c r="AA288" s="134" t="s">
        <v>154</v>
      </c>
      <c r="AB288" s="134" t="s">
        <v>1190</v>
      </c>
      <c r="AC288" s="134"/>
      <c r="AD288" s="134">
        <v>44496</v>
      </c>
      <c r="AE288" s="134"/>
      <c r="AF288" s="134">
        <f t="shared" ca="1" si="24"/>
        <v>44963</v>
      </c>
      <c r="AG288" s="126">
        <f t="shared" ca="1" si="21"/>
        <v>467</v>
      </c>
      <c r="AH288" s="126">
        <f t="shared" ca="1" si="22"/>
        <v>360</v>
      </c>
      <c r="AI288" s="134"/>
      <c r="AJ288" s="143" t="s">
        <v>2915</v>
      </c>
      <c r="AK288" s="129">
        <v>10.555</v>
      </c>
      <c r="AL288" s="129">
        <v>10.565</v>
      </c>
      <c r="AM288" s="129">
        <v>10.589999999999998</v>
      </c>
      <c r="AN288" s="129">
        <v>10.594999999999999</v>
      </c>
      <c r="AO288" s="126">
        <f t="shared" ca="1" si="23"/>
        <v>425</v>
      </c>
      <c r="AR288" s="99" t="s">
        <v>136</v>
      </c>
    </row>
    <row r="289" spans="1:59" s="99" customFormat="1" ht="21" customHeight="1" x14ac:dyDescent="0.35">
      <c r="A289" s="99">
        <v>424</v>
      </c>
      <c r="B289" s="126" t="str">
        <f t="shared" si="20"/>
        <v>0-304/FH-002X772</v>
      </c>
      <c r="C289" s="126" t="s">
        <v>2923</v>
      </c>
      <c r="D289" s="126" t="s">
        <v>13</v>
      </c>
      <c r="E289" s="143" t="s">
        <v>1425</v>
      </c>
      <c r="F289" s="143" t="s">
        <v>2903</v>
      </c>
      <c r="G289" s="126">
        <v>304</v>
      </c>
      <c r="H289" s="126" t="s">
        <v>65</v>
      </c>
      <c r="I289" s="127">
        <v>3.74</v>
      </c>
      <c r="J289" s="127">
        <v>1.5</v>
      </c>
      <c r="K289" s="127"/>
      <c r="L289" s="127"/>
      <c r="M289" s="144">
        <v>772</v>
      </c>
      <c r="N289" s="129">
        <v>10.42</v>
      </c>
      <c r="O289" s="129">
        <v>10.425000000000001</v>
      </c>
      <c r="P289" s="129"/>
      <c r="Q289" s="130"/>
      <c r="R289" s="131"/>
      <c r="S289" s="131"/>
      <c r="T289" s="132">
        <v>44615</v>
      </c>
      <c r="U289" s="132"/>
      <c r="V289" s="132"/>
      <c r="W289" s="132"/>
      <c r="X289" s="132"/>
      <c r="Y289" s="133" t="s">
        <v>1395</v>
      </c>
      <c r="Z289" s="126" t="s">
        <v>64</v>
      </c>
      <c r="AA289" s="134" t="s">
        <v>154</v>
      </c>
      <c r="AB289" s="134" t="s">
        <v>1330</v>
      </c>
      <c r="AC289" s="134"/>
      <c r="AD289" s="134">
        <v>44554</v>
      </c>
      <c r="AE289" s="134"/>
      <c r="AF289" s="134">
        <f t="shared" ca="1" si="24"/>
        <v>44963</v>
      </c>
      <c r="AG289" s="126">
        <f t="shared" ca="1" si="21"/>
        <v>409</v>
      </c>
      <c r="AH289" s="126" t="str">
        <f t="shared" si="22"/>
        <v/>
      </c>
      <c r="AI289" s="134"/>
      <c r="AJ289" s="143" t="s">
        <v>1427</v>
      </c>
      <c r="AK289" s="129">
        <v>10.42</v>
      </c>
      <c r="AL289" s="129">
        <v>10.43</v>
      </c>
      <c r="AM289" s="129">
        <v>10.454999999999998</v>
      </c>
      <c r="AN289" s="129">
        <v>10.459999999999999</v>
      </c>
      <c r="AO289" s="126" t="str">
        <f t="shared" si="23"/>
        <v/>
      </c>
      <c r="AR289" s="99" t="s">
        <v>136</v>
      </c>
    </row>
    <row r="290" spans="1:59" s="99" customFormat="1" ht="21" customHeight="1" x14ac:dyDescent="0.35">
      <c r="A290" s="99">
        <v>422</v>
      </c>
      <c r="B290" s="126" t="str">
        <f t="shared" si="20"/>
        <v>0-304L/1D-004X777</v>
      </c>
      <c r="C290" s="126" t="s">
        <v>2920</v>
      </c>
      <c r="D290" s="126" t="s">
        <v>11</v>
      </c>
      <c r="E290" s="143" t="s">
        <v>2944</v>
      </c>
      <c r="F290" s="143" t="s">
        <v>2945</v>
      </c>
      <c r="G290" s="126" t="s">
        <v>230</v>
      </c>
      <c r="H290" s="126" t="s">
        <v>139</v>
      </c>
      <c r="I290" s="127">
        <v>3.8</v>
      </c>
      <c r="J290" s="127"/>
      <c r="K290" s="127"/>
      <c r="L290" s="127"/>
      <c r="M290" s="144">
        <v>777</v>
      </c>
      <c r="N290" s="129">
        <v>10.475</v>
      </c>
      <c r="O290" s="129">
        <v>10.475</v>
      </c>
      <c r="P290" s="129"/>
      <c r="Q290" s="130"/>
      <c r="R290" s="131"/>
      <c r="S290" s="131"/>
      <c r="T290" s="132">
        <v>44616</v>
      </c>
      <c r="U290" s="132"/>
      <c r="V290" s="132"/>
      <c r="W290" s="132"/>
      <c r="X290" s="132"/>
      <c r="Y290" s="133"/>
      <c r="Z290" s="126" t="s">
        <v>64</v>
      </c>
      <c r="AA290" s="134" t="s">
        <v>154</v>
      </c>
      <c r="AB290" s="134" t="s">
        <v>1330</v>
      </c>
      <c r="AC290" s="134"/>
      <c r="AD290" s="134">
        <v>44516</v>
      </c>
      <c r="AE290" s="134"/>
      <c r="AF290" s="134">
        <f t="shared" ca="1" si="24"/>
        <v>44963</v>
      </c>
      <c r="AG290" s="126">
        <f t="shared" ca="1" si="21"/>
        <v>447</v>
      </c>
      <c r="AH290" s="126" t="str">
        <f t="shared" si="22"/>
        <v/>
      </c>
      <c r="AI290" s="134"/>
      <c r="AJ290" s="143" t="s">
        <v>2946</v>
      </c>
      <c r="AK290" s="129">
        <v>10.475</v>
      </c>
      <c r="AL290" s="129">
        <v>10.484999999999999</v>
      </c>
      <c r="AM290" s="129">
        <v>10.509999999999998</v>
      </c>
      <c r="AN290" s="129">
        <v>10.514999999999999</v>
      </c>
      <c r="AO290" s="126" t="str">
        <f t="shared" si="23"/>
        <v/>
      </c>
      <c r="AR290" s="99" t="s">
        <v>136</v>
      </c>
    </row>
    <row r="291" spans="1:59" s="99" customFormat="1" ht="21" customHeight="1" x14ac:dyDescent="0.35">
      <c r="A291" s="99">
        <v>421</v>
      </c>
      <c r="B291" s="126" t="str">
        <f t="shared" si="20"/>
        <v>0-304L/FH-001X770</v>
      </c>
      <c r="C291" s="126" t="s">
        <v>2923</v>
      </c>
      <c r="D291" s="126" t="s">
        <v>13</v>
      </c>
      <c r="E291" s="143" t="s">
        <v>2934</v>
      </c>
      <c r="F291" s="143" t="s">
        <v>2935</v>
      </c>
      <c r="G291" s="126" t="s">
        <v>230</v>
      </c>
      <c r="H291" s="126" t="s">
        <v>65</v>
      </c>
      <c r="I291" s="127">
        <v>3.32</v>
      </c>
      <c r="J291" s="127">
        <v>1.1499999999999999</v>
      </c>
      <c r="K291" s="127"/>
      <c r="L291" s="127"/>
      <c r="M291" s="144">
        <v>770</v>
      </c>
      <c r="N291" s="129">
        <v>10.555</v>
      </c>
      <c r="O291" s="129">
        <v>10.574999999999999</v>
      </c>
      <c r="P291" s="129"/>
      <c r="Q291" s="130"/>
      <c r="R291" s="131"/>
      <c r="S291" s="131"/>
      <c r="T291" s="132">
        <v>44616</v>
      </c>
      <c r="U291" s="132"/>
      <c r="V291" s="132"/>
      <c r="W291" s="132"/>
      <c r="X291" s="132"/>
      <c r="Y291" s="133"/>
      <c r="Z291" s="126" t="s">
        <v>64</v>
      </c>
      <c r="AA291" s="134" t="s">
        <v>154</v>
      </c>
      <c r="AB291" s="134" t="s">
        <v>1246</v>
      </c>
      <c r="AC291" s="134"/>
      <c r="AD291" s="134">
        <v>44496</v>
      </c>
      <c r="AE291" s="134"/>
      <c r="AF291" s="134">
        <f t="shared" ca="1" si="24"/>
        <v>44963</v>
      </c>
      <c r="AG291" s="126">
        <f t="shared" ca="1" si="21"/>
        <v>467</v>
      </c>
      <c r="AH291" s="126" t="str">
        <f t="shared" si="22"/>
        <v/>
      </c>
      <c r="AI291" s="134"/>
      <c r="AJ291" s="143" t="s">
        <v>2936</v>
      </c>
      <c r="AK291" s="129">
        <v>10.555</v>
      </c>
      <c r="AL291" s="129">
        <v>10.565</v>
      </c>
      <c r="AM291" s="129">
        <v>10.589999999999998</v>
      </c>
      <c r="AN291" s="129">
        <v>10.594999999999999</v>
      </c>
      <c r="AO291" s="126" t="str">
        <f t="shared" si="23"/>
        <v/>
      </c>
      <c r="AR291" s="99" t="s">
        <v>136</v>
      </c>
    </row>
    <row r="292" spans="1:59" s="99" customFormat="1" ht="21" customHeight="1" x14ac:dyDescent="0.35">
      <c r="A292" s="99">
        <v>421</v>
      </c>
      <c r="B292" s="126" t="str">
        <f t="shared" si="20"/>
        <v>0-304L/1D-004X770</v>
      </c>
      <c r="C292" s="126" t="s">
        <v>2920</v>
      </c>
      <c r="D292" s="126" t="s">
        <v>11</v>
      </c>
      <c r="E292" s="143" t="s">
        <v>2947</v>
      </c>
      <c r="F292" s="143" t="s">
        <v>2948</v>
      </c>
      <c r="G292" s="126" t="s">
        <v>230</v>
      </c>
      <c r="H292" s="126" t="s">
        <v>139</v>
      </c>
      <c r="I292" s="127">
        <v>3.78</v>
      </c>
      <c r="J292" s="127"/>
      <c r="K292" s="127"/>
      <c r="L292" s="127"/>
      <c r="M292" s="144">
        <v>770</v>
      </c>
      <c r="N292" s="129">
        <v>12.04</v>
      </c>
      <c r="O292" s="129">
        <v>12.04</v>
      </c>
      <c r="P292" s="129"/>
      <c r="Q292" s="130"/>
      <c r="R292" s="131"/>
      <c r="S292" s="131"/>
      <c r="T292" s="132">
        <v>44616</v>
      </c>
      <c r="U292" s="132"/>
      <c r="V292" s="132"/>
      <c r="W292" s="132"/>
      <c r="X292" s="132"/>
      <c r="Y292" s="133"/>
      <c r="Z292" s="126" t="s">
        <v>64</v>
      </c>
      <c r="AA292" s="134" t="s">
        <v>154</v>
      </c>
      <c r="AB292" s="134" t="s">
        <v>1256</v>
      </c>
      <c r="AC292" s="134"/>
      <c r="AD292" s="134">
        <v>44496</v>
      </c>
      <c r="AE292" s="134"/>
      <c r="AF292" s="134">
        <f t="shared" ca="1" si="24"/>
        <v>44963</v>
      </c>
      <c r="AG292" s="126">
        <f t="shared" ca="1" si="21"/>
        <v>467</v>
      </c>
      <c r="AH292" s="126" t="str">
        <f t="shared" si="22"/>
        <v/>
      </c>
      <c r="AI292" s="134"/>
      <c r="AJ292" s="143" t="s">
        <v>2949</v>
      </c>
      <c r="AK292" s="129">
        <v>12.04</v>
      </c>
      <c r="AL292" s="129">
        <v>12.05</v>
      </c>
      <c r="AM292" s="129">
        <v>12.074999999999999</v>
      </c>
      <c r="AN292" s="129">
        <v>12.08</v>
      </c>
      <c r="AO292" s="126" t="str">
        <f t="shared" si="23"/>
        <v/>
      </c>
      <c r="AR292" s="99" t="s">
        <v>136</v>
      </c>
    </row>
    <row r="293" spans="1:59" s="99" customFormat="1" ht="21" customHeight="1" x14ac:dyDescent="0.35">
      <c r="A293" s="99">
        <v>422</v>
      </c>
      <c r="B293" s="126" t="str">
        <f t="shared" si="20"/>
        <v>0-304L/FH-002X777</v>
      </c>
      <c r="C293" s="126" t="s">
        <v>2923</v>
      </c>
      <c r="D293" s="126" t="s">
        <v>13</v>
      </c>
      <c r="E293" s="143" t="s">
        <v>2944</v>
      </c>
      <c r="F293" s="143" t="s">
        <v>2945</v>
      </c>
      <c r="G293" s="126" t="s">
        <v>230</v>
      </c>
      <c r="H293" s="126" t="s">
        <v>65</v>
      </c>
      <c r="I293" s="127">
        <v>3.8</v>
      </c>
      <c r="J293" s="127">
        <v>2</v>
      </c>
      <c r="K293" s="127"/>
      <c r="L293" s="127"/>
      <c r="M293" s="144">
        <v>777</v>
      </c>
      <c r="N293" s="129">
        <v>10.475</v>
      </c>
      <c r="O293" s="129">
        <v>10.484999999999999</v>
      </c>
      <c r="P293" s="129"/>
      <c r="Q293" s="130"/>
      <c r="R293" s="131"/>
      <c r="S293" s="131"/>
      <c r="T293" s="132">
        <v>44616</v>
      </c>
      <c r="U293" s="132"/>
      <c r="V293" s="132"/>
      <c r="W293" s="132"/>
      <c r="X293" s="132"/>
      <c r="Y293" s="133"/>
      <c r="Z293" s="126" t="s">
        <v>64</v>
      </c>
      <c r="AA293" s="134" t="s">
        <v>154</v>
      </c>
      <c r="AB293" s="134" t="s">
        <v>1330</v>
      </c>
      <c r="AC293" s="134"/>
      <c r="AD293" s="134">
        <v>44516</v>
      </c>
      <c r="AE293" s="134"/>
      <c r="AF293" s="134">
        <f t="shared" ca="1" si="24"/>
        <v>44963</v>
      </c>
      <c r="AG293" s="126">
        <f t="shared" ca="1" si="21"/>
        <v>447</v>
      </c>
      <c r="AH293" s="126" t="str">
        <f t="shared" si="22"/>
        <v/>
      </c>
      <c r="AI293" s="134"/>
      <c r="AJ293" s="143" t="s">
        <v>2946</v>
      </c>
      <c r="AK293" s="129">
        <v>10.475</v>
      </c>
      <c r="AL293" s="129">
        <v>10.484999999999999</v>
      </c>
      <c r="AM293" s="129">
        <v>10.509999999999998</v>
      </c>
      <c r="AN293" s="129">
        <v>10.514999999999999</v>
      </c>
      <c r="AO293" s="126" t="str">
        <f t="shared" si="23"/>
        <v/>
      </c>
      <c r="AR293" s="99" t="s">
        <v>136</v>
      </c>
    </row>
    <row r="294" spans="1:59" s="99" customFormat="1" ht="21" customHeight="1" x14ac:dyDescent="0.35">
      <c r="A294" s="99">
        <v>424</v>
      </c>
      <c r="B294" s="126" t="str">
        <f t="shared" si="20"/>
        <v>0-304/1D-004X770</v>
      </c>
      <c r="C294" s="126" t="s">
        <v>2950</v>
      </c>
      <c r="D294" s="126" t="s">
        <v>11</v>
      </c>
      <c r="E294" s="143" t="s">
        <v>2951</v>
      </c>
      <c r="F294" s="143" t="s">
        <v>2952</v>
      </c>
      <c r="G294" s="126">
        <v>304</v>
      </c>
      <c r="H294" s="126" t="s">
        <v>139</v>
      </c>
      <c r="I294" s="127">
        <v>3.78</v>
      </c>
      <c r="J294" s="127"/>
      <c r="K294" s="127"/>
      <c r="L294" s="127"/>
      <c r="M294" s="144">
        <v>770</v>
      </c>
      <c r="N294" s="129">
        <v>11.82</v>
      </c>
      <c r="O294" s="129">
        <v>11.82</v>
      </c>
      <c r="P294" s="129"/>
      <c r="Q294" s="130"/>
      <c r="R294" s="131"/>
      <c r="S294" s="131"/>
      <c r="T294" s="132">
        <v>44617</v>
      </c>
      <c r="U294" s="132"/>
      <c r="V294" s="132"/>
      <c r="W294" s="132"/>
      <c r="X294" s="132"/>
      <c r="Y294" s="133" t="s">
        <v>1395</v>
      </c>
      <c r="Z294" s="126" t="s">
        <v>64</v>
      </c>
      <c r="AA294" s="134" t="s">
        <v>154</v>
      </c>
      <c r="AB294" s="134" t="s">
        <v>1516</v>
      </c>
      <c r="AC294" s="134"/>
      <c r="AD294" s="134">
        <v>44554</v>
      </c>
      <c r="AE294" s="134"/>
      <c r="AF294" s="134">
        <f t="shared" ca="1" si="24"/>
        <v>44963</v>
      </c>
      <c r="AG294" s="126">
        <f t="shared" ca="1" si="21"/>
        <v>409</v>
      </c>
      <c r="AH294" s="126" t="str">
        <f t="shared" si="22"/>
        <v/>
      </c>
      <c r="AI294" s="134"/>
      <c r="AJ294" s="143" t="s">
        <v>1718</v>
      </c>
      <c r="AK294" s="129">
        <v>11.82</v>
      </c>
      <c r="AL294" s="129">
        <v>11.83</v>
      </c>
      <c r="AM294" s="129">
        <v>11.854999999999999</v>
      </c>
      <c r="AN294" s="129">
        <v>11.86</v>
      </c>
      <c r="AO294" s="126" t="str">
        <f t="shared" si="23"/>
        <v/>
      </c>
      <c r="AR294" s="99" t="s">
        <v>136</v>
      </c>
    </row>
    <row r="295" spans="1:59" s="99" customFormat="1" ht="21" customHeight="1" x14ac:dyDescent="0.35">
      <c r="A295" s="99">
        <v>421</v>
      </c>
      <c r="B295" s="126" t="str">
        <f t="shared" si="20"/>
        <v>0-304L/2B-001X762</v>
      </c>
      <c r="C295" s="126" t="s">
        <v>2953</v>
      </c>
      <c r="D295" s="126" t="s">
        <v>403</v>
      </c>
      <c r="E295" s="143" t="s">
        <v>1235</v>
      </c>
      <c r="F295" s="143" t="s">
        <v>2902</v>
      </c>
      <c r="G295" s="126" t="s">
        <v>230</v>
      </c>
      <c r="H295" s="126" t="s">
        <v>116</v>
      </c>
      <c r="I295" s="127">
        <v>2.79</v>
      </c>
      <c r="J295" s="127">
        <v>0.95</v>
      </c>
      <c r="K295" s="127">
        <v>0.94</v>
      </c>
      <c r="L295" s="127">
        <v>0.95</v>
      </c>
      <c r="M295" s="144">
        <v>762</v>
      </c>
      <c r="N295" s="129">
        <v>10.48</v>
      </c>
      <c r="O295" s="129">
        <v>10.48</v>
      </c>
      <c r="P295" s="129"/>
      <c r="Q295" s="130" t="s">
        <v>1206</v>
      </c>
      <c r="R295" s="131"/>
      <c r="S295" s="131" t="s">
        <v>305</v>
      </c>
      <c r="T295" s="132" t="s">
        <v>1237</v>
      </c>
      <c r="U295" s="132">
        <v>44615</v>
      </c>
      <c r="V295" s="132">
        <v>44616</v>
      </c>
      <c r="W295" s="132">
        <v>44616</v>
      </c>
      <c r="X295" s="132"/>
      <c r="Y295" s="133"/>
      <c r="Z295" s="126" t="s">
        <v>64</v>
      </c>
      <c r="AA295" s="134" t="s">
        <v>154</v>
      </c>
      <c r="AB295" s="134" t="s">
        <v>1239</v>
      </c>
      <c r="AC295" s="134"/>
      <c r="AD295" s="134">
        <v>44496</v>
      </c>
      <c r="AE295" s="134"/>
      <c r="AF295" s="134">
        <f t="shared" ca="1" si="24"/>
        <v>44963</v>
      </c>
      <c r="AG295" s="126">
        <f t="shared" ca="1" si="21"/>
        <v>467</v>
      </c>
      <c r="AH295" s="126">
        <f t="shared" ca="1" si="22"/>
        <v>347</v>
      </c>
      <c r="AI295" s="134"/>
      <c r="AJ295" s="143" t="s">
        <v>1240</v>
      </c>
      <c r="AK295" s="129">
        <v>10.484999999999999</v>
      </c>
      <c r="AL295" s="129">
        <v>10.494999999999999</v>
      </c>
      <c r="AM295" s="129">
        <v>10.519999999999998</v>
      </c>
      <c r="AN295" s="129">
        <v>10.524999999999999</v>
      </c>
      <c r="AO295" s="126">
        <f t="shared" ca="1" si="23"/>
        <v>348</v>
      </c>
      <c r="AR295" s="99" t="s">
        <v>136</v>
      </c>
    </row>
    <row r="296" spans="1:59" s="99" customFormat="1" ht="21" customHeight="1" x14ac:dyDescent="0.35">
      <c r="A296" s="99">
        <v>421</v>
      </c>
      <c r="B296" s="126" t="str">
        <f t="shared" si="20"/>
        <v>0-304L/FH-000X765</v>
      </c>
      <c r="C296" s="126" t="s">
        <v>2954</v>
      </c>
      <c r="D296" s="126" t="s">
        <v>13</v>
      </c>
      <c r="E296" s="143" t="s">
        <v>2884</v>
      </c>
      <c r="F296" s="143" t="s">
        <v>2885</v>
      </c>
      <c r="G296" s="126" t="s">
        <v>230</v>
      </c>
      <c r="H296" s="126" t="s">
        <v>65</v>
      </c>
      <c r="I296" s="127">
        <v>0.8</v>
      </c>
      <c r="J296" s="127">
        <v>0.4</v>
      </c>
      <c r="K296" s="127"/>
      <c r="L296" s="127"/>
      <c r="M296" s="144">
        <v>765</v>
      </c>
      <c r="N296" s="129">
        <v>11.88</v>
      </c>
      <c r="O296" s="129">
        <v>11.88</v>
      </c>
      <c r="P296" s="129"/>
      <c r="Q296" s="130" t="s">
        <v>1206</v>
      </c>
      <c r="R296" s="131"/>
      <c r="S296" s="131"/>
      <c r="T296" s="132" t="s">
        <v>2943</v>
      </c>
      <c r="U296" s="132">
        <v>44614</v>
      </c>
      <c r="V296" s="132">
        <v>44615</v>
      </c>
      <c r="W296" s="132">
        <v>44616</v>
      </c>
      <c r="X296" s="132"/>
      <c r="Y296" s="133"/>
      <c r="Z296" s="126" t="s">
        <v>64</v>
      </c>
      <c r="AA296" s="134" t="s">
        <v>154</v>
      </c>
      <c r="AB296" s="134" t="s">
        <v>1190</v>
      </c>
      <c r="AC296" s="134"/>
      <c r="AD296" s="134">
        <v>44496</v>
      </c>
      <c r="AE296" s="134"/>
      <c r="AF296" s="134">
        <f t="shared" ca="1" si="24"/>
        <v>44963</v>
      </c>
      <c r="AG296" s="126">
        <f t="shared" ca="1" si="21"/>
        <v>467</v>
      </c>
      <c r="AH296" s="126">
        <f t="shared" ca="1" si="22"/>
        <v>348</v>
      </c>
      <c r="AI296" s="134"/>
      <c r="AJ296" s="143" t="s">
        <v>2751</v>
      </c>
      <c r="AK296" s="129">
        <v>12.08</v>
      </c>
      <c r="AL296" s="129">
        <v>12.09</v>
      </c>
      <c r="AM296" s="129">
        <v>12.114999999999998</v>
      </c>
      <c r="AN296" s="129">
        <v>12.12</v>
      </c>
      <c r="AO296" s="126">
        <f t="shared" ca="1" si="23"/>
        <v>349</v>
      </c>
      <c r="AR296" s="99" t="s">
        <v>136</v>
      </c>
    </row>
    <row r="297" spans="1:59" s="99" customFormat="1" ht="21" customHeight="1" x14ac:dyDescent="0.35">
      <c r="A297" s="99">
        <v>419</v>
      </c>
      <c r="B297" s="126" t="str">
        <f t="shared" si="20"/>
        <v>0-304/2B-001X761</v>
      </c>
      <c r="C297" s="126" t="s">
        <v>2953</v>
      </c>
      <c r="D297" s="126" t="s">
        <v>403</v>
      </c>
      <c r="E297" s="143" t="s">
        <v>2955</v>
      </c>
      <c r="F297" s="143" t="s">
        <v>2956</v>
      </c>
      <c r="G297" s="126">
        <v>304</v>
      </c>
      <c r="H297" s="126" t="s">
        <v>116</v>
      </c>
      <c r="I297" s="127">
        <v>2.78</v>
      </c>
      <c r="J297" s="127">
        <v>0.6</v>
      </c>
      <c r="K297" s="127">
        <v>0.59</v>
      </c>
      <c r="L297" s="127">
        <v>0.61</v>
      </c>
      <c r="M297" s="144">
        <v>761</v>
      </c>
      <c r="N297" s="129">
        <v>6.1</v>
      </c>
      <c r="O297" s="129">
        <v>6.1</v>
      </c>
      <c r="P297" s="129"/>
      <c r="Q297" s="130" t="s">
        <v>117</v>
      </c>
      <c r="R297" s="130" t="s">
        <v>1134</v>
      </c>
      <c r="S297" s="130" t="s">
        <v>2957</v>
      </c>
      <c r="T297" s="132" t="s">
        <v>2958</v>
      </c>
      <c r="U297" s="132">
        <v>44461</v>
      </c>
      <c r="V297" s="132">
        <v>44466</v>
      </c>
      <c r="W297" s="132" t="s">
        <v>2959</v>
      </c>
      <c r="X297" s="132"/>
      <c r="Y297" s="133"/>
      <c r="Z297" s="126" t="s">
        <v>64</v>
      </c>
      <c r="AA297" s="134" t="s">
        <v>154</v>
      </c>
      <c r="AB297" s="134" t="s">
        <v>793</v>
      </c>
      <c r="AC297" s="134"/>
      <c r="AD297" s="134">
        <v>44444</v>
      </c>
      <c r="AE297" s="134"/>
      <c r="AF297" s="134">
        <f t="shared" ca="1" si="24"/>
        <v>44963</v>
      </c>
      <c r="AG297" s="126">
        <f t="shared" ca="1" si="21"/>
        <v>519</v>
      </c>
      <c r="AH297" s="126">
        <f t="shared" ca="1" si="22"/>
        <v>497</v>
      </c>
      <c r="AI297" s="134"/>
      <c r="AJ297" s="143" t="s">
        <v>2960</v>
      </c>
      <c r="AK297" s="129">
        <v>12.145</v>
      </c>
      <c r="AL297" s="129">
        <v>12.154999999999999</v>
      </c>
      <c r="AM297" s="129">
        <v>12.179999999999998</v>
      </c>
      <c r="AN297" s="129">
        <v>12.184999999999999</v>
      </c>
      <c r="AO297" s="126">
        <f t="shared" ca="1" si="23"/>
        <v>502</v>
      </c>
      <c r="AR297" s="99" t="s">
        <v>136</v>
      </c>
      <c r="BG297" s="135" t="s">
        <v>281</v>
      </c>
    </row>
    <row r="298" spans="1:59" s="99" customFormat="1" ht="21" customHeight="1" x14ac:dyDescent="0.35">
      <c r="A298" s="99">
        <v>421</v>
      </c>
      <c r="B298" s="126" t="str">
        <f t="shared" si="20"/>
        <v>0-304L/FH-001X762</v>
      </c>
      <c r="C298" s="126" t="s">
        <v>2954</v>
      </c>
      <c r="D298" s="126" t="s">
        <v>13</v>
      </c>
      <c r="E298" s="143" t="s">
        <v>1235</v>
      </c>
      <c r="F298" s="143" t="s">
        <v>2961</v>
      </c>
      <c r="G298" s="126" t="s">
        <v>230</v>
      </c>
      <c r="H298" s="126" t="s">
        <v>65</v>
      </c>
      <c r="I298" s="127">
        <v>0.95</v>
      </c>
      <c r="J298" s="127">
        <v>0.5</v>
      </c>
      <c r="K298" s="127"/>
      <c r="L298" s="127"/>
      <c r="M298" s="144">
        <v>762</v>
      </c>
      <c r="N298" s="814">
        <v>10.48</v>
      </c>
      <c r="O298" s="129">
        <v>4.76</v>
      </c>
      <c r="P298" s="129"/>
      <c r="Q298" s="130" t="s">
        <v>1206</v>
      </c>
      <c r="R298" s="131"/>
      <c r="S298" s="131" t="s">
        <v>305</v>
      </c>
      <c r="T298" s="132" t="s">
        <v>1237</v>
      </c>
      <c r="U298" s="132">
        <v>44615</v>
      </c>
      <c r="V298" s="132">
        <v>44616</v>
      </c>
      <c r="W298" s="132">
        <v>44616</v>
      </c>
      <c r="X298" s="132"/>
      <c r="Y298" s="133"/>
      <c r="Z298" s="126" t="s">
        <v>64</v>
      </c>
      <c r="AA298" s="134" t="s">
        <v>154</v>
      </c>
      <c r="AB298" s="134" t="s">
        <v>1239</v>
      </c>
      <c r="AC298" s="134"/>
      <c r="AD298" s="134">
        <v>44496</v>
      </c>
      <c r="AE298" s="134"/>
      <c r="AF298" s="134">
        <f t="shared" ca="1" si="24"/>
        <v>44963</v>
      </c>
      <c r="AG298" s="126">
        <f t="shared" ca="1" si="21"/>
        <v>467</v>
      </c>
      <c r="AH298" s="126">
        <f t="shared" ca="1" si="22"/>
        <v>347</v>
      </c>
      <c r="AI298" s="134"/>
      <c r="AJ298" s="143" t="s">
        <v>1240</v>
      </c>
      <c r="AK298" s="129">
        <v>10.484999999999999</v>
      </c>
      <c r="AL298" s="129">
        <v>10.494999999999999</v>
      </c>
      <c r="AM298" s="129">
        <v>10.519999999999998</v>
      </c>
      <c r="AN298" s="129">
        <v>10.524999999999999</v>
      </c>
      <c r="AO298" s="126">
        <f t="shared" ca="1" si="23"/>
        <v>348</v>
      </c>
      <c r="AR298" s="99" t="s">
        <v>136</v>
      </c>
    </row>
    <row r="299" spans="1:59" s="99" customFormat="1" ht="21" customHeight="1" x14ac:dyDescent="0.35">
      <c r="A299" s="99">
        <v>421</v>
      </c>
      <c r="B299" s="126" t="str">
        <f t="shared" si="20"/>
        <v>0-304L/FH-001X762</v>
      </c>
      <c r="C299" s="126" t="s">
        <v>2954</v>
      </c>
      <c r="D299" s="126" t="s">
        <v>13</v>
      </c>
      <c r="E299" s="143" t="s">
        <v>1235</v>
      </c>
      <c r="F299" s="143" t="s">
        <v>1236</v>
      </c>
      <c r="G299" s="126" t="s">
        <v>230</v>
      </c>
      <c r="H299" s="126" t="s">
        <v>65</v>
      </c>
      <c r="I299" s="127">
        <v>0.95</v>
      </c>
      <c r="J299" s="127">
        <v>0.5</v>
      </c>
      <c r="K299" s="127"/>
      <c r="L299" s="127"/>
      <c r="M299" s="144">
        <v>762</v>
      </c>
      <c r="N299" s="815"/>
      <c r="O299" s="129">
        <v>5.6</v>
      </c>
      <c r="P299" s="129"/>
      <c r="Q299" s="130" t="s">
        <v>1206</v>
      </c>
      <c r="R299" s="131"/>
      <c r="S299" s="131" t="s">
        <v>305</v>
      </c>
      <c r="T299" s="132" t="s">
        <v>1237</v>
      </c>
      <c r="U299" s="132">
        <v>44615</v>
      </c>
      <c r="V299" s="132">
        <v>44616</v>
      </c>
      <c r="W299" s="132">
        <v>44616</v>
      </c>
      <c r="X299" s="132"/>
      <c r="Y299" s="133"/>
      <c r="Z299" s="126" t="s">
        <v>64</v>
      </c>
      <c r="AA299" s="134" t="s">
        <v>154</v>
      </c>
      <c r="AB299" s="134" t="s">
        <v>1239</v>
      </c>
      <c r="AC299" s="134"/>
      <c r="AD299" s="134">
        <v>44496</v>
      </c>
      <c r="AE299" s="134"/>
      <c r="AF299" s="134">
        <f t="shared" ca="1" si="24"/>
        <v>44963</v>
      </c>
      <c r="AG299" s="126">
        <f t="shared" ca="1" si="21"/>
        <v>467</v>
      </c>
      <c r="AH299" s="126">
        <f t="shared" ca="1" si="22"/>
        <v>347</v>
      </c>
      <c r="AI299" s="134"/>
      <c r="AJ299" s="143" t="s">
        <v>1240</v>
      </c>
      <c r="AK299" s="129">
        <v>10.484999999999999</v>
      </c>
      <c r="AL299" s="129">
        <v>10.494999999999999</v>
      </c>
      <c r="AM299" s="129">
        <v>10.519999999999998</v>
      </c>
      <c r="AN299" s="129">
        <v>10.524999999999999</v>
      </c>
      <c r="AO299" s="126">
        <f t="shared" ca="1" si="23"/>
        <v>348</v>
      </c>
      <c r="AR299" s="99" t="s">
        <v>136</v>
      </c>
    </row>
    <row r="300" spans="1:59" s="99" customFormat="1" ht="21" customHeight="1" x14ac:dyDescent="0.35">
      <c r="A300" s="99">
        <v>357</v>
      </c>
      <c r="B300" s="126" t="str">
        <f t="shared" si="20"/>
        <v>0-304/2B-001X690</v>
      </c>
      <c r="C300" s="126" t="s">
        <v>2953</v>
      </c>
      <c r="D300" s="126" t="s">
        <v>396</v>
      </c>
      <c r="E300" s="143" t="s">
        <v>359</v>
      </c>
      <c r="F300" s="143" t="s">
        <v>360</v>
      </c>
      <c r="G300" s="126">
        <v>304</v>
      </c>
      <c r="H300" s="126" t="s">
        <v>116</v>
      </c>
      <c r="I300" s="127">
        <v>1</v>
      </c>
      <c r="J300" s="127">
        <v>1</v>
      </c>
      <c r="K300" s="127">
        <v>0.98</v>
      </c>
      <c r="L300" s="127">
        <v>1</v>
      </c>
      <c r="M300" s="144">
        <v>690</v>
      </c>
      <c r="N300" s="129">
        <v>8.4250000000000007</v>
      </c>
      <c r="O300" s="129">
        <v>8.4250000000000007</v>
      </c>
      <c r="P300" s="129"/>
      <c r="Q300" s="130" t="s">
        <v>361</v>
      </c>
      <c r="R300" s="131"/>
      <c r="S300" s="131" t="s">
        <v>362</v>
      </c>
      <c r="T300" s="132">
        <v>44617</v>
      </c>
      <c r="U300" s="132"/>
      <c r="V300" s="132">
        <v>44365</v>
      </c>
      <c r="W300" s="132">
        <v>44294</v>
      </c>
      <c r="X300" s="132"/>
      <c r="Y300" s="133"/>
      <c r="Z300" s="126" t="s">
        <v>65</v>
      </c>
      <c r="AA300" s="134" t="s">
        <v>132</v>
      </c>
      <c r="AB300" s="134" t="s">
        <v>365</v>
      </c>
      <c r="AC300" s="134">
        <v>44228</v>
      </c>
      <c r="AD300" s="134">
        <v>44245</v>
      </c>
      <c r="AE300" s="134"/>
      <c r="AF300" s="134">
        <f t="shared" ca="1" si="24"/>
        <v>44963</v>
      </c>
      <c r="AG300" s="126">
        <f t="shared" ca="1" si="21"/>
        <v>718</v>
      </c>
      <c r="AH300" s="126">
        <f t="shared" ca="1" si="22"/>
        <v>598</v>
      </c>
      <c r="AI300" s="134" t="s">
        <v>366</v>
      </c>
      <c r="AJ300" s="143" t="s">
        <v>367</v>
      </c>
      <c r="AK300" s="129">
        <v>8.4459999999999997</v>
      </c>
      <c r="AL300" s="129">
        <v>8.4809999999999999</v>
      </c>
      <c r="AM300" s="129">
        <v>8.5059999999999985</v>
      </c>
      <c r="AN300" s="129">
        <v>8.5109999999999992</v>
      </c>
      <c r="AO300" s="126" t="str">
        <f t="shared" si="23"/>
        <v/>
      </c>
      <c r="AR300" s="99" t="s">
        <v>136</v>
      </c>
      <c r="BG300" s="135" t="s">
        <v>137</v>
      </c>
    </row>
    <row r="301" spans="1:59" s="99" customFormat="1" ht="21" customHeight="1" x14ac:dyDescent="0.35">
      <c r="A301" s="99">
        <v>419</v>
      </c>
      <c r="B301" s="126" t="str">
        <f t="shared" si="20"/>
        <v>0-304/FH-000X761</v>
      </c>
      <c r="C301" s="126" t="s">
        <v>2954</v>
      </c>
      <c r="D301" s="126" t="s">
        <v>13</v>
      </c>
      <c r="E301" s="143" t="s">
        <v>2955</v>
      </c>
      <c r="F301" s="143" t="s">
        <v>2956</v>
      </c>
      <c r="G301" s="126">
        <v>304</v>
      </c>
      <c r="H301" s="126" t="s">
        <v>65</v>
      </c>
      <c r="I301" s="127">
        <v>0.6</v>
      </c>
      <c r="J301" s="127">
        <v>0.3</v>
      </c>
      <c r="K301" s="127"/>
      <c r="L301" s="127"/>
      <c r="M301" s="144">
        <v>761</v>
      </c>
      <c r="N301" s="129">
        <v>6.1</v>
      </c>
      <c r="O301" s="129">
        <v>6.1150000000000002</v>
      </c>
      <c r="P301" s="129"/>
      <c r="Q301" s="130" t="s">
        <v>117</v>
      </c>
      <c r="R301" s="130" t="s">
        <v>1134</v>
      </c>
      <c r="S301" s="130" t="s">
        <v>2957</v>
      </c>
      <c r="T301" s="132" t="s">
        <v>2958</v>
      </c>
      <c r="U301" s="132">
        <v>44461</v>
      </c>
      <c r="V301" s="132">
        <v>44466</v>
      </c>
      <c r="W301" s="132" t="s">
        <v>2959</v>
      </c>
      <c r="X301" s="132"/>
      <c r="Y301" s="133"/>
      <c r="Z301" s="126" t="s">
        <v>64</v>
      </c>
      <c r="AA301" s="134" t="s">
        <v>154</v>
      </c>
      <c r="AB301" s="134" t="s">
        <v>793</v>
      </c>
      <c r="AC301" s="134"/>
      <c r="AD301" s="134">
        <v>44444</v>
      </c>
      <c r="AE301" s="134"/>
      <c r="AF301" s="134">
        <f t="shared" ca="1" si="24"/>
        <v>44963</v>
      </c>
      <c r="AG301" s="126">
        <f t="shared" ca="1" si="21"/>
        <v>519</v>
      </c>
      <c r="AH301" s="126">
        <f t="shared" ca="1" si="22"/>
        <v>497</v>
      </c>
      <c r="AI301" s="134"/>
      <c r="AJ301" s="143" t="s">
        <v>2960</v>
      </c>
      <c r="AK301" s="129">
        <v>12.145</v>
      </c>
      <c r="AL301" s="129">
        <v>12.154999999999999</v>
      </c>
      <c r="AM301" s="129">
        <v>12.179999999999998</v>
      </c>
      <c r="AN301" s="129">
        <v>12.184999999999999</v>
      </c>
      <c r="AO301" s="126">
        <f t="shared" ca="1" si="23"/>
        <v>502</v>
      </c>
      <c r="AR301" s="99" t="s">
        <v>136</v>
      </c>
      <c r="BG301" s="135" t="s">
        <v>281</v>
      </c>
    </row>
    <row r="302" spans="1:59" s="99" customFormat="1" ht="21" customHeight="1" x14ac:dyDescent="0.35">
      <c r="A302" s="99">
        <v>421</v>
      </c>
      <c r="B302" s="126" t="str">
        <f>IF(C302="HOLD RM","HOLD RM",IF(C302="BAL","WIP",IF(C302="HOLD SLT","HOLD SLT",IF(C302="MILL","RM",IF(C302="RE SLT","WIP",IF(C302="RM","RM",IF(C302="RM BAL","RM",IF(C302="RM SLT","RM",IF(C302="RR","WIP",IF(C302="SKP","WIP",IF(C302="SLT","WIP",IF(C302="CTL","WIP",IF(C302="RM SLT RUST","RM SLT RUST",0)))))))))))))&amp;"-"&amp;G302&amp;"/"&amp;IF(H302="2B","2B",IF(H302="NO.1","1D",IF(H302="FH","FH",0)))&amp;"-"&amp;IF(J302="",(TEXT(I302,"0.00")),TEXT(J302,"0.00"))&amp;"X"&amp;M302</f>
        <v>0-304L/2B-001X762</v>
      </c>
      <c r="C302" s="126" t="s">
        <v>2953</v>
      </c>
      <c r="D302" s="126" t="s">
        <v>403</v>
      </c>
      <c r="E302" s="143" t="s">
        <v>2913</v>
      </c>
      <c r="F302" s="143" t="s">
        <v>2962</v>
      </c>
      <c r="G302" s="126" t="s">
        <v>230</v>
      </c>
      <c r="H302" s="126" t="s">
        <v>116</v>
      </c>
      <c r="I302" s="127">
        <v>2.76</v>
      </c>
      <c r="J302" s="127">
        <v>0.6</v>
      </c>
      <c r="K302" s="127"/>
      <c r="L302" s="127"/>
      <c r="M302" s="144">
        <v>762</v>
      </c>
      <c r="N302" s="129">
        <v>5.01</v>
      </c>
      <c r="O302" s="129">
        <v>5.01</v>
      </c>
      <c r="P302" s="129"/>
      <c r="Q302" s="130" t="s">
        <v>1206</v>
      </c>
      <c r="R302" s="131"/>
      <c r="S302" s="131"/>
      <c r="T302" s="132" t="s">
        <v>1237</v>
      </c>
      <c r="U302" s="132">
        <v>44616</v>
      </c>
      <c r="V302" s="132">
        <v>44617</v>
      </c>
      <c r="W302" s="132">
        <v>44617</v>
      </c>
      <c r="X302" s="132"/>
      <c r="Y302" s="133"/>
      <c r="Z302" s="126" t="s">
        <v>64</v>
      </c>
      <c r="AA302" s="134" t="s">
        <v>154</v>
      </c>
      <c r="AB302" s="134" t="s">
        <v>1190</v>
      </c>
      <c r="AC302" s="134"/>
      <c r="AD302" s="134">
        <v>44496</v>
      </c>
      <c r="AE302" s="134"/>
      <c r="AF302" s="134">
        <f ca="1">TODAY()</f>
        <v>44963</v>
      </c>
      <c r="AG302" s="126">
        <f ca="1">IF(AD302&lt;&gt;0,AF302-AD302,0)</f>
        <v>467</v>
      </c>
      <c r="AH302" s="126">
        <f ca="1">IF(ISNUMBER(V302)=TRUE,AF302-V302,IF(V302="","",(AF302)-(MID(RIGHT(V302,10),4,2)&amp;"/"&amp;LEFT((RIGHT(V302,10)),2)&amp;"/"&amp;RIGHT(V302,4))))</f>
        <v>346</v>
      </c>
      <c r="AI302" s="134"/>
      <c r="AJ302" s="143" t="s">
        <v>2915</v>
      </c>
      <c r="AK302" s="129">
        <v>10.54</v>
      </c>
      <c r="AL302" s="129">
        <v>10.55</v>
      </c>
      <c r="AM302" s="129">
        <v>10.574999999999999</v>
      </c>
      <c r="AN302" s="129">
        <v>10.58</v>
      </c>
      <c r="AO302" s="126">
        <f ca="1">IF(ISNUMBER(U302)=TRUE,AF302-U302,IF(U302="","",(AF302)-(MID(RIGHT(U302,10),4,2)&amp;"/"&amp;LEFT((RIGHT(U302,10)),2)&amp;"/"&amp;RIGHT(U302,4))))</f>
        <v>347</v>
      </c>
      <c r="AR302" s="99" t="s">
        <v>136</v>
      </c>
    </row>
    <row r="303" spans="1:59" s="99" customFormat="1" ht="21" customHeight="1" x14ac:dyDescent="0.35">
      <c r="A303" s="99">
        <v>424</v>
      </c>
      <c r="B303" s="126" t="str">
        <f t="shared" ref="B303:B311" si="25">IF(C303="HOLD RM","HOLD RM",IF(C303="BAL","WIP",IF(C303="HOLD SLT","HOLD SLT",IF(C303="MILL","RM",IF(C303="RE SLT","WIP",IF(C303="RM","RM",IF(C303="RM BAL","RM",IF(C303="RM SLT","RM",IF(C303="RR","WIP",IF(C303="SKP","WIP",IF(C303="SLT","WIP",IF(C303="CTL","WIP",IF(C303="RM SLT RUST","RM SLT RUST",0)))))))))))))&amp;"-"&amp;G303&amp;"/"&amp;IF(H303="2B","2B",IF(H303="NO.1","1D",IF(H303="FH","FH",0)))&amp;"-"&amp;IF(J303="",(TEXT(I303,"0.00")),TEXT(J303,"0.00"))&amp;"X"&amp;M303</f>
        <v>0-304/FH-001X770</v>
      </c>
      <c r="C303" s="126" t="s">
        <v>2954</v>
      </c>
      <c r="D303" s="126" t="s">
        <v>13</v>
      </c>
      <c r="E303" s="143" t="s">
        <v>2951</v>
      </c>
      <c r="F303" s="143" t="s">
        <v>2952</v>
      </c>
      <c r="G303" s="126">
        <v>304</v>
      </c>
      <c r="H303" s="126" t="s">
        <v>65</v>
      </c>
      <c r="I303" s="127">
        <v>3.78</v>
      </c>
      <c r="J303" s="127">
        <v>1.31</v>
      </c>
      <c r="K303" s="127"/>
      <c r="L303" s="127"/>
      <c r="M303" s="144">
        <v>770</v>
      </c>
      <c r="N303" s="129">
        <v>11.82</v>
      </c>
      <c r="O303" s="129">
        <v>11.845000000000001</v>
      </c>
      <c r="P303" s="129"/>
      <c r="Q303" s="130"/>
      <c r="R303" s="131"/>
      <c r="S303" s="131"/>
      <c r="T303" s="132">
        <v>44617</v>
      </c>
      <c r="U303" s="132"/>
      <c r="V303" s="132"/>
      <c r="W303" s="132"/>
      <c r="X303" s="132"/>
      <c r="Y303" s="133" t="s">
        <v>1395</v>
      </c>
      <c r="Z303" s="126" t="s">
        <v>64</v>
      </c>
      <c r="AA303" s="134" t="s">
        <v>154</v>
      </c>
      <c r="AB303" s="134" t="s">
        <v>1516</v>
      </c>
      <c r="AC303" s="134"/>
      <c r="AD303" s="134">
        <v>44554</v>
      </c>
      <c r="AE303" s="134"/>
      <c r="AF303" s="134">
        <f t="shared" ca="1" si="24"/>
        <v>44963</v>
      </c>
      <c r="AG303" s="126">
        <f t="shared" ref="AG303:AG311" ca="1" si="26">IF(AD303&lt;&gt;0,AF303-AD303,0)</f>
        <v>409</v>
      </c>
      <c r="AH303" s="126" t="str">
        <f t="shared" ref="AH303:AH311" si="27">IF(ISNUMBER(V303)=TRUE,AF303-V303,IF(V303="","",(AF303)-(MID(RIGHT(V303,10),4,2)&amp;"/"&amp;LEFT((RIGHT(V303,10)),2)&amp;"/"&amp;RIGHT(V303,4))))</f>
        <v/>
      </c>
      <c r="AI303" s="134"/>
      <c r="AJ303" s="143" t="s">
        <v>1718</v>
      </c>
      <c r="AK303" s="129">
        <v>11.82</v>
      </c>
      <c r="AL303" s="129">
        <v>11.83</v>
      </c>
      <c r="AM303" s="129">
        <v>11.854999999999999</v>
      </c>
      <c r="AN303" s="129">
        <v>11.86</v>
      </c>
      <c r="AO303" s="126" t="str">
        <f t="shared" ref="AO303:AO311" si="28">IF(ISNUMBER(U303)=TRUE,AF303-U303,IF(U303="","",(AF303)-(MID(RIGHT(U303,10),4,2)&amp;"/"&amp;LEFT((RIGHT(U303,10)),2)&amp;"/"&amp;RIGHT(U303,4))))</f>
        <v/>
      </c>
      <c r="AR303" s="99" t="s">
        <v>136</v>
      </c>
    </row>
    <row r="304" spans="1:59" s="99" customFormat="1" ht="21" customHeight="1" x14ac:dyDescent="0.35">
      <c r="A304" s="99">
        <v>421</v>
      </c>
      <c r="B304" s="126" t="str">
        <f t="shared" si="25"/>
        <v>0-304L/1D-003X770</v>
      </c>
      <c r="C304" s="126" t="s">
        <v>2950</v>
      </c>
      <c r="D304" s="126" t="s">
        <v>11</v>
      </c>
      <c r="E304" s="143" t="s">
        <v>2963</v>
      </c>
      <c r="F304" s="143" t="s">
        <v>2964</v>
      </c>
      <c r="G304" s="126" t="s">
        <v>230</v>
      </c>
      <c r="H304" s="126" t="s">
        <v>139</v>
      </c>
      <c r="I304" s="127">
        <v>2.89</v>
      </c>
      <c r="J304" s="127"/>
      <c r="K304" s="127"/>
      <c r="L304" s="127"/>
      <c r="M304" s="144">
        <v>770</v>
      </c>
      <c r="N304" s="129">
        <v>8</v>
      </c>
      <c r="O304" s="129">
        <v>8</v>
      </c>
      <c r="P304" s="129"/>
      <c r="Q304" s="130"/>
      <c r="R304" s="131"/>
      <c r="S304" s="131"/>
      <c r="T304" s="132">
        <v>44617</v>
      </c>
      <c r="U304" s="132"/>
      <c r="V304" s="132"/>
      <c r="W304" s="132"/>
      <c r="X304" s="132"/>
      <c r="Y304" s="133"/>
      <c r="Z304" s="126" t="s">
        <v>64</v>
      </c>
      <c r="AA304" s="134" t="s">
        <v>154</v>
      </c>
      <c r="AB304" s="134" t="s">
        <v>1190</v>
      </c>
      <c r="AC304" s="134"/>
      <c r="AD304" s="134">
        <v>44496</v>
      </c>
      <c r="AE304" s="134"/>
      <c r="AF304" s="134">
        <f t="shared" ca="1" si="24"/>
        <v>44963</v>
      </c>
      <c r="AG304" s="126">
        <f t="shared" ca="1" si="26"/>
        <v>467</v>
      </c>
      <c r="AH304" s="126" t="str">
        <f t="shared" si="27"/>
        <v/>
      </c>
      <c r="AI304" s="134"/>
      <c r="AJ304" s="143" t="s">
        <v>2965</v>
      </c>
      <c r="AK304" s="129">
        <v>8</v>
      </c>
      <c r="AL304" s="129">
        <v>8.01</v>
      </c>
      <c r="AM304" s="129">
        <v>8.0349999999999984</v>
      </c>
      <c r="AN304" s="129">
        <v>8.0399999999999991</v>
      </c>
      <c r="AO304" s="126" t="str">
        <f t="shared" si="28"/>
        <v/>
      </c>
      <c r="AR304" s="99" t="s">
        <v>136</v>
      </c>
    </row>
    <row r="305" spans="1:59" s="99" customFormat="1" ht="21" customHeight="1" x14ac:dyDescent="0.35">
      <c r="A305" s="99">
        <v>421</v>
      </c>
      <c r="B305" s="126" t="str">
        <f t="shared" si="25"/>
        <v>0-304L/FH-001X770</v>
      </c>
      <c r="C305" s="126" t="s">
        <v>2954</v>
      </c>
      <c r="D305" s="126" t="s">
        <v>13</v>
      </c>
      <c r="E305" s="143" t="s">
        <v>2947</v>
      </c>
      <c r="F305" s="143" t="s">
        <v>2948</v>
      </c>
      <c r="G305" s="126" t="s">
        <v>230</v>
      </c>
      <c r="H305" s="126" t="s">
        <v>65</v>
      </c>
      <c r="I305" s="127">
        <v>3.78</v>
      </c>
      <c r="J305" s="127">
        <v>1.31</v>
      </c>
      <c r="K305" s="127"/>
      <c r="L305" s="127"/>
      <c r="M305" s="144">
        <v>770</v>
      </c>
      <c r="N305" s="129">
        <v>12.04</v>
      </c>
      <c r="O305" s="129">
        <v>12.065</v>
      </c>
      <c r="P305" s="129"/>
      <c r="Q305" s="130"/>
      <c r="R305" s="131"/>
      <c r="S305" s="131"/>
      <c r="T305" s="132">
        <v>44616</v>
      </c>
      <c r="U305" s="132"/>
      <c r="V305" s="132"/>
      <c r="W305" s="132"/>
      <c r="X305" s="132"/>
      <c r="Y305" s="133"/>
      <c r="Z305" s="126" t="s">
        <v>64</v>
      </c>
      <c r="AA305" s="134" t="s">
        <v>154</v>
      </c>
      <c r="AB305" s="134" t="s">
        <v>1256</v>
      </c>
      <c r="AC305" s="134"/>
      <c r="AD305" s="134">
        <v>44496</v>
      </c>
      <c r="AE305" s="134"/>
      <c r="AF305" s="134">
        <f t="shared" ca="1" si="24"/>
        <v>44963</v>
      </c>
      <c r="AG305" s="126">
        <f t="shared" ca="1" si="26"/>
        <v>467</v>
      </c>
      <c r="AH305" s="126" t="str">
        <f t="shared" si="27"/>
        <v/>
      </c>
      <c r="AI305" s="134"/>
      <c r="AJ305" s="143" t="s">
        <v>2949</v>
      </c>
      <c r="AK305" s="129">
        <v>12.04</v>
      </c>
      <c r="AL305" s="129">
        <v>12.05</v>
      </c>
      <c r="AM305" s="129">
        <v>12.074999999999999</v>
      </c>
      <c r="AN305" s="129">
        <v>12.08</v>
      </c>
      <c r="AO305" s="126" t="str">
        <f t="shared" si="28"/>
        <v/>
      </c>
      <c r="AR305" s="99" t="s">
        <v>136</v>
      </c>
    </row>
    <row r="306" spans="1:59" s="99" customFormat="1" ht="21" customHeight="1" x14ac:dyDescent="0.35">
      <c r="A306" s="99">
        <v>421</v>
      </c>
      <c r="B306" s="126" t="str">
        <f t="shared" si="25"/>
        <v>0-304/1D-003X770</v>
      </c>
      <c r="C306" s="126" t="s">
        <v>2950</v>
      </c>
      <c r="D306" s="126" t="s">
        <v>11</v>
      </c>
      <c r="E306" s="143" t="s">
        <v>1241</v>
      </c>
      <c r="F306" s="143" t="s">
        <v>1242</v>
      </c>
      <c r="G306" s="126">
        <v>304</v>
      </c>
      <c r="H306" s="126" t="s">
        <v>139</v>
      </c>
      <c r="I306" s="127">
        <v>3</v>
      </c>
      <c r="J306" s="127"/>
      <c r="K306" s="127"/>
      <c r="L306" s="127"/>
      <c r="M306" s="144">
        <v>770</v>
      </c>
      <c r="N306" s="129">
        <v>10.425000000000001</v>
      </c>
      <c r="O306" s="129">
        <v>10.425000000000001</v>
      </c>
      <c r="P306" s="129"/>
      <c r="Q306" s="130"/>
      <c r="R306" s="131"/>
      <c r="S306" s="131"/>
      <c r="T306" s="132">
        <v>44617</v>
      </c>
      <c r="U306" s="132"/>
      <c r="V306" s="132"/>
      <c r="W306" s="132"/>
      <c r="X306" s="132"/>
      <c r="Y306" s="133"/>
      <c r="Z306" s="126" t="s">
        <v>64</v>
      </c>
      <c r="AA306" s="134" t="s">
        <v>154</v>
      </c>
      <c r="AB306" s="134" t="s">
        <v>1239</v>
      </c>
      <c r="AC306" s="134"/>
      <c r="AD306" s="134">
        <v>44496</v>
      </c>
      <c r="AE306" s="134"/>
      <c r="AF306" s="134">
        <f t="shared" ca="1" si="24"/>
        <v>44963</v>
      </c>
      <c r="AG306" s="126">
        <f t="shared" ca="1" si="26"/>
        <v>467</v>
      </c>
      <c r="AH306" s="126" t="str">
        <f t="shared" si="27"/>
        <v/>
      </c>
      <c r="AI306" s="134"/>
      <c r="AJ306" s="143" t="s">
        <v>1243</v>
      </c>
      <c r="AK306" s="129">
        <v>10.425000000000001</v>
      </c>
      <c r="AL306" s="129">
        <v>10.435</v>
      </c>
      <c r="AM306" s="129">
        <v>10.459999999999999</v>
      </c>
      <c r="AN306" s="129">
        <v>10.465</v>
      </c>
      <c r="AO306" s="126" t="str">
        <f t="shared" si="28"/>
        <v/>
      </c>
      <c r="AR306" s="99" t="s">
        <v>136</v>
      </c>
    </row>
    <row r="307" spans="1:59" s="99" customFormat="1" ht="21" customHeight="1" x14ac:dyDescent="0.35">
      <c r="A307" s="99">
        <v>421</v>
      </c>
      <c r="B307" s="126" t="str">
        <f t="shared" si="25"/>
        <v>0-304L/FH-001X770</v>
      </c>
      <c r="C307" s="126" t="s">
        <v>2954</v>
      </c>
      <c r="D307" s="126" t="s">
        <v>13</v>
      </c>
      <c r="E307" s="143" t="s">
        <v>2963</v>
      </c>
      <c r="F307" s="143" t="s">
        <v>2964</v>
      </c>
      <c r="G307" s="126" t="s">
        <v>230</v>
      </c>
      <c r="H307" s="126" t="s">
        <v>65</v>
      </c>
      <c r="I307" s="127">
        <v>2.89</v>
      </c>
      <c r="J307" s="127">
        <v>0.9</v>
      </c>
      <c r="K307" s="127"/>
      <c r="L307" s="127"/>
      <c r="M307" s="144">
        <v>770</v>
      </c>
      <c r="N307" s="129">
        <v>8</v>
      </c>
      <c r="O307" s="129">
        <v>8.0050000000000008</v>
      </c>
      <c r="P307" s="129"/>
      <c r="Q307" s="130"/>
      <c r="R307" s="131"/>
      <c r="S307" s="131"/>
      <c r="T307" s="132">
        <v>44617</v>
      </c>
      <c r="U307" s="132"/>
      <c r="V307" s="132"/>
      <c r="W307" s="132"/>
      <c r="X307" s="132"/>
      <c r="Y307" s="133"/>
      <c r="Z307" s="126" t="s">
        <v>64</v>
      </c>
      <c r="AA307" s="134" t="s">
        <v>154</v>
      </c>
      <c r="AB307" s="134" t="s">
        <v>1190</v>
      </c>
      <c r="AC307" s="134"/>
      <c r="AD307" s="134">
        <v>44496</v>
      </c>
      <c r="AE307" s="134"/>
      <c r="AF307" s="134">
        <f t="shared" ca="1" si="24"/>
        <v>44963</v>
      </c>
      <c r="AG307" s="126">
        <f t="shared" ca="1" si="26"/>
        <v>467</v>
      </c>
      <c r="AH307" s="126" t="str">
        <f t="shared" si="27"/>
        <v/>
      </c>
      <c r="AI307" s="134"/>
      <c r="AJ307" s="143" t="s">
        <v>2965</v>
      </c>
      <c r="AK307" s="129">
        <v>8</v>
      </c>
      <c r="AL307" s="129">
        <v>8.01</v>
      </c>
      <c r="AM307" s="129">
        <v>8.0349999999999984</v>
      </c>
      <c r="AN307" s="129">
        <v>8.0399999999999991</v>
      </c>
      <c r="AO307" s="126" t="str">
        <f t="shared" si="28"/>
        <v/>
      </c>
      <c r="AR307" s="99" t="s">
        <v>136</v>
      </c>
    </row>
    <row r="308" spans="1:59" s="99" customFormat="1" ht="21" customHeight="1" x14ac:dyDescent="0.35">
      <c r="A308" s="99">
        <v>422</v>
      </c>
      <c r="B308" s="126" t="str">
        <f t="shared" si="25"/>
        <v>0-304L/1D-003X768</v>
      </c>
      <c r="C308" s="126" t="s">
        <v>2950</v>
      </c>
      <c r="D308" s="126" t="s">
        <v>11</v>
      </c>
      <c r="E308" s="143" t="s">
        <v>1308</v>
      </c>
      <c r="F308" s="143" t="s">
        <v>1309</v>
      </c>
      <c r="G308" s="126" t="s">
        <v>230</v>
      </c>
      <c r="H308" s="126" t="s">
        <v>139</v>
      </c>
      <c r="I308" s="127">
        <v>2.9</v>
      </c>
      <c r="J308" s="127"/>
      <c r="K308" s="127"/>
      <c r="L308" s="127"/>
      <c r="M308" s="144">
        <v>768</v>
      </c>
      <c r="N308" s="129">
        <v>6.89</v>
      </c>
      <c r="O308" s="129">
        <v>6.89</v>
      </c>
      <c r="P308" s="129"/>
      <c r="Q308" s="130"/>
      <c r="R308" s="131"/>
      <c r="S308" s="131"/>
      <c r="T308" s="132">
        <v>44617</v>
      </c>
      <c r="U308" s="132"/>
      <c r="V308" s="132"/>
      <c r="W308" s="132"/>
      <c r="X308" s="132"/>
      <c r="Y308" s="133"/>
      <c r="Z308" s="126" t="s">
        <v>64</v>
      </c>
      <c r="AA308" s="134" t="s">
        <v>154</v>
      </c>
      <c r="AB308" s="134" t="s">
        <v>1296</v>
      </c>
      <c r="AC308" s="134"/>
      <c r="AD308" s="134">
        <v>44516</v>
      </c>
      <c r="AE308" s="134"/>
      <c r="AF308" s="134">
        <f t="shared" ca="1" si="24"/>
        <v>44963</v>
      </c>
      <c r="AG308" s="126">
        <f t="shared" ca="1" si="26"/>
        <v>447</v>
      </c>
      <c r="AH308" s="126" t="str">
        <f t="shared" si="27"/>
        <v/>
      </c>
      <c r="AI308" s="134"/>
      <c r="AJ308" s="143" t="s">
        <v>1310</v>
      </c>
      <c r="AK308" s="129">
        <v>6.89</v>
      </c>
      <c r="AL308" s="129">
        <v>6.9</v>
      </c>
      <c r="AM308" s="129">
        <v>6.9250000000000007</v>
      </c>
      <c r="AN308" s="129">
        <v>6.9300000000000006</v>
      </c>
      <c r="AO308" s="126" t="str">
        <f t="shared" si="28"/>
        <v/>
      </c>
      <c r="AR308" s="99" t="s">
        <v>136</v>
      </c>
    </row>
    <row r="309" spans="1:59" s="99" customFormat="1" ht="21" customHeight="1" x14ac:dyDescent="0.35">
      <c r="A309" s="99">
        <v>357</v>
      </c>
      <c r="B309" s="126" t="str">
        <f t="shared" si="25"/>
        <v>0-304/2B-001X690</v>
      </c>
      <c r="C309" s="126" t="s">
        <v>2966</v>
      </c>
      <c r="D309" s="126" t="s">
        <v>2967</v>
      </c>
      <c r="E309" s="143" t="s">
        <v>359</v>
      </c>
      <c r="F309" s="143" t="s">
        <v>360</v>
      </c>
      <c r="G309" s="126">
        <v>304</v>
      </c>
      <c r="H309" s="126" t="s">
        <v>116</v>
      </c>
      <c r="I309" s="127">
        <v>1</v>
      </c>
      <c r="J309" s="127">
        <v>1</v>
      </c>
      <c r="K309" s="127">
        <v>0.98</v>
      </c>
      <c r="L309" s="127">
        <v>1</v>
      </c>
      <c r="M309" s="144">
        <v>690</v>
      </c>
      <c r="N309" s="129">
        <v>8.4250000000000007</v>
      </c>
      <c r="O309" s="129">
        <v>8.3350000000000009</v>
      </c>
      <c r="P309" s="129"/>
      <c r="Q309" s="130" t="s">
        <v>2968</v>
      </c>
      <c r="R309" s="131"/>
      <c r="S309" s="131" t="s">
        <v>362</v>
      </c>
      <c r="T309" s="132">
        <v>44617</v>
      </c>
      <c r="U309" s="132"/>
      <c r="V309" s="132">
        <v>44365</v>
      </c>
      <c r="W309" s="132">
        <v>44294</v>
      </c>
      <c r="X309" s="132"/>
      <c r="Y309" s="133"/>
      <c r="Z309" s="126" t="s">
        <v>65</v>
      </c>
      <c r="AA309" s="134" t="s">
        <v>132</v>
      </c>
      <c r="AB309" s="134" t="s">
        <v>365</v>
      </c>
      <c r="AC309" s="134">
        <v>44228</v>
      </c>
      <c r="AD309" s="134">
        <v>44245</v>
      </c>
      <c r="AE309" s="134"/>
      <c r="AF309" s="134">
        <f t="shared" ca="1" si="24"/>
        <v>44963</v>
      </c>
      <c r="AG309" s="126">
        <f t="shared" ca="1" si="26"/>
        <v>718</v>
      </c>
      <c r="AH309" s="126">
        <f t="shared" ca="1" si="27"/>
        <v>598</v>
      </c>
      <c r="AI309" s="134" t="s">
        <v>366</v>
      </c>
      <c r="AJ309" s="143" t="s">
        <v>367</v>
      </c>
      <c r="AK309" s="129">
        <v>8.4459999999999997</v>
      </c>
      <c r="AL309" s="129">
        <v>8.4809999999999999</v>
      </c>
      <c r="AM309" s="129">
        <v>8.5059999999999985</v>
      </c>
      <c r="AN309" s="129">
        <v>8.5109999999999992</v>
      </c>
      <c r="AO309" s="126" t="str">
        <f t="shared" si="28"/>
        <v/>
      </c>
      <c r="AR309" s="99" t="s">
        <v>136</v>
      </c>
      <c r="BG309" s="135" t="s">
        <v>137</v>
      </c>
    </row>
    <row r="310" spans="1:59" s="99" customFormat="1" ht="21" customHeight="1" x14ac:dyDescent="0.35">
      <c r="A310" s="99">
        <v>422</v>
      </c>
      <c r="B310" s="126" t="str">
        <f t="shared" si="25"/>
        <v>0-304L/FH-001X768</v>
      </c>
      <c r="C310" s="126" t="s">
        <v>2969</v>
      </c>
      <c r="D310" s="126" t="s">
        <v>13</v>
      </c>
      <c r="E310" s="143" t="s">
        <v>2938</v>
      </c>
      <c r="F310" s="143" t="s">
        <v>2939</v>
      </c>
      <c r="G310" s="126" t="s">
        <v>230</v>
      </c>
      <c r="H310" s="126" t="s">
        <v>65</v>
      </c>
      <c r="I310" s="127">
        <v>3</v>
      </c>
      <c r="J310" s="127">
        <v>0.8</v>
      </c>
      <c r="K310" s="127"/>
      <c r="L310" s="127"/>
      <c r="M310" s="144">
        <v>768</v>
      </c>
      <c r="N310" s="129">
        <v>10.205</v>
      </c>
      <c r="O310" s="129">
        <v>10.220000000000001</v>
      </c>
      <c r="P310" s="129"/>
      <c r="Q310" s="130"/>
      <c r="R310" s="131"/>
      <c r="S310" s="131"/>
      <c r="T310" s="132">
        <v>44616</v>
      </c>
      <c r="U310" s="132"/>
      <c r="V310" s="132"/>
      <c r="W310" s="132"/>
      <c r="X310" s="132"/>
      <c r="Y310" s="133"/>
      <c r="Z310" s="126" t="s">
        <v>64</v>
      </c>
      <c r="AA310" s="134" t="s">
        <v>154</v>
      </c>
      <c r="AB310" s="134" t="s">
        <v>1330</v>
      </c>
      <c r="AC310" s="134"/>
      <c r="AD310" s="134">
        <v>44516</v>
      </c>
      <c r="AE310" s="134"/>
      <c r="AF310" s="134">
        <f t="shared" ca="1" si="24"/>
        <v>44963</v>
      </c>
      <c r="AG310" s="126">
        <f t="shared" ca="1" si="26"/>
        <v>447</v>
      </c>
      <c r="AH310" s="126" t="str">
        <f t="shared" si="27"/>
        <v/>
      </c>
      <c r="AI310" s="134"/>
      <c r="AJ310" s="143" t="s">
        <v>2858</v>
      </c>
      <c r="AK310" s="129">
        <v>10.205</v>
      </c>
      <c r="AL310" s="129">
        <v>10.215</v>
      </c>
      <c r="AM310" s="129">
        <v>10.239999999999998</v>
      </c>
      <c r="AN310" s="129">
        <v>10.244999999999999</v>
      </c>
      <c r="AO310" s="126" t="str">
        <f t="shared" si="28"/>
        <v/>
      </c>
      <c r="AR310" s="99" t="s">
        <v>136</v>
      </c>
    </row>
    <row r="311" spans="1:59" s="99" customFormat="1" ht="21" customHeight="1" x14ac:dyDescent="0.35">
      <c r="A311" s="99">
        <v>421</v>
      </c>
      <c r="B311" s="126" t="str">
        <f t="shared" si="25"/>
        <v>0-304L/1D-003X770</v>
      </c>
      <c r="C311" s="126" t="s">
        <v>2970</v>
      </c>
      <c r="D311" s="126" t="s">
        <v>11</v>
      </c>
      <c r="E311" s="143" t="s">
        <v>1188</v>
      </c>
      <c r="F311" s="143" t="s">
        <v>1189</v>
      </c>
      <c r="G311" s="126" t="s">
        <v>230</v>
      </c>
      <c r="H311" s="126" t="s">
        <v>139</v>
      </c>
      <c r="I311" s="127">
        <v>2.81</v>
      </c>
      <c r="J311" s="127"/>
      <c r="K311" s="127"/>
      <c r="L311" s="127"/>
      <c r="M311" s="144">
        <v>770</v>
      </c>
      <c r="N311" s="129">
        <v>12.17</v>
      </c>
      <c r="O311" s="129">
        <v>12.17</v>
      </c>
      <c r="P311" s="129"/>
      <c r="Q311" s="130"/>
      <c r="R311" s="131"/>
      <c r="S311" s="131"/>
      <c r="T311" s="132">
        <v>44618</v>
      </c>
      <c r="U311" s="132"/>
      <c r="V311" s="132"/>
      <c r="W311" s="132"/>
      <c r="X311" s="132"/>
      <c r="Y311" s="133"/>
      <c r="Z311" s="126" t="s">
        <v>64</v>
      </c>
      <c r="AA311" s="134" t="s">
        <v>154</v>
      </c>
      <c r="AB311" s="134" t="s">
        <v>1190</v>
      </c>
      <c r="AC311" s="134"/>
      <c r="AD311" s="134">
        <v>44496</v>
      </c>
      <c r="AE311" s="134"/>
      <c r="AF311" s="134">
        <f t="shared" ca="1" si="24"/>
        <v>44963</v>
      </c>
      <c r="AG311" s="126">
        <f t="shared" ca="1" si="26"/>
        <v>467</v>
      </c>
      <c r="AH311" s="126" t="str">
        <f t="shared" si="27"/>
        <v/>
      </c>
      <c r="AI311" s="134"/>
      <c r="AJ311" s="143" t="s">
        <v>1191</v>
      </c>
      <c r="AK311" s="129">
        <v>12.17</v>
      </c>
      <c r="AL311" s="129">
        <v>12.18</v>
      </c>
      <c r="AM311" s="129">
        <v>12.204999999999998</v>
      </c>
      <c r="AN311" s="129">
        <v>12.209999999999999</v>
      </c>
      <c r="AO311" s="126" t="str">
        <f t="shared" si="28"/>
        <v/>
      </c>
      <c r="AR311" s="99" t="s">
        <v>136</v>
      </c>
    </row>
    <row r="312" spans="1:59" s="99" customFormat="1" ht="21" customHeight="1" x14ac:dyDescent="0.35">
      <c r="A312" s="99">
        <v>421</v>
      </c>
      <c r="B312" s="126" t="str">
        <f>IF(C312="HOLD RM","HOLD RM",IF(C312="BAL","WIP",IF(C312="HOLD SLT","HOLD SLT",IF(C312="MILL","RM",IF(C312="RE SLT","WIP",IF(C312="RM","RM",IF(C312="RM BAL","RM",IF(C312="RM SLT","RM",IF(C312="RR","WIP",IF(C312="SKP","WIP",IF(C312="SLT","WIP",IF(C312="CTL","WIP",IF(C312="RM SLT RUST","RM SLT RUST",0)))))))))))))&amp;"-"&amp;G312&amp;"/"&amp;IF(H312="2B","2B",IF(H312="NO.1","1D",IF(H312="FH","FH",0)))&amp;"-"&amp;IF(J312="",(TEXT(I312,"0.00")),TEXT(J312,"0.00"))&amp;"X"&amp;M312</f>
        <v>0-304L/FH-001X762</v>
      </c>
      <c r="C312" s="126" t="s">
        <v>2969</v>
      </c>
      <c r="D312" s="126" t="s">
        <v>13</v>
      </c>
      <c r="E312" s="143" t="s">
        <v>2913</v>
      </c>
      <c r="F312" s="143" t="s">
        <v>2962</v>
      </c>
      <c r="G312" s="126" t="s">
        <v>230</v>
      </c>
      <c r="H312" s="126" t="s">
        <v>65</v>
      </c>
      <c r="I312" s="127">
        <v>2.76</v>
      </c>
      <c r="J312" s="127">
        <v>0.6</v>
      </c>
      <c r="K312" s="127">
        <v>0.3</v>
      </c>
      <c r="L312" s="127"/>
      <c r="M312" s="144">
        <v>762</v>
      </c>
      <c r="N312" s="129">
        <v>5.01</v>
      </c>
      <c r="O312" s="129">
        <v>4.99</v>
      </c>
      <c r="P312" s="129"/>
      <c r="Q312" s="130" t="s">
        <v>1206</v>
      </c>
      <c r="R312" s="131"/>
      <c r="S312" s="131"/>
      <c r="T312" s="132" t="s">
        <v>1237</v>
      </c>
      <c r="U312" s="132">
        <v>44616</v>
      </c>
      <c r="V312" s="132">
        <v>44617</v>
      </c>
      <c r="W312" s="132">
        <v>44617</v>
      </c>
      <c r="X312" s="132"/>
      <c r="Y312" s="133"/>
      <c r="Z312" s="126" t="s">
        <v>64</v>
      </c>
      <c r="AA312" s="134" t="s">
        <v>154</v>
      </c>
      <c r="AB312" s="134" t="s">
        <v>1190</v>
      </c>
      <c r="AC312" s="134"/>
      <c r="AD312" s="134">
        <v>44496</v>
      </c>
      <c r="AE312" s="134"/>
      <c r="AF312" s="134">
        <f ca="1">TODAY()</f>
        <v>44963</v>
      </c>
      <c r="AG312" s="126">
        <f ca="1">IF(AD312&lt;&gt;0,AF312-AD312,0)</f>
        <v>467</v>
      </c>
      <c r="AH312" s="126">
        <f ca="1">IF(ISNUMBER(V312)=TRUE,AF312-V312,IF(V312="","",(AF312)-(MID(RIGHT(V312,10),4,2)&amp;"/"&amp;LEFT((RIGHT(V312,10)),2)&amp;"/"&amp;RIGHT(V312,4))))</f>
        <v>346</v>
      </c>
      <c r="AI312" s="134"/>
      <c r="AJ312" s="143" t="s">
        <v>2915</v>
      </c>
      <c r="AK312" s="129">
        <v>10.54</v>
      </c>
      <c r="AL312" s="129">
        <v>10.55</v>
      </c>
      <c r="AM312" s="129">
        <v>10.574999999999999</v>
      </c>
      <c r="AN312" s="129">
        <v>10.58</v>
      </c>
      <c r="AO312" s="126">
        <f ca="1">IF(ISNUMBER(U312)=TRUE,AF312-U312,IF(U312="","",(AF312)-(MID(RIGHT(U312,10),4,2)&amp;"/"&amp;LEFT((RIGHT(U312,10)),2)&amp;"/"&amp;RIGHT(U312,4))))</f>
        <v>347</v>
      </c>
      <c r="AR312" s="99" t="s">
        <v>136</v>
      </c>
    </row>
    <row r="313" spans="1:59" s="99" customFormat="1" ht="21" customHeight="1" x14ac:dyDescent="0.35">
      <c r="A313" s="99">
        <v>421</v>
      </c>
      <c r="B313" s="126" t="str">
        <f t="shared" ref="B313:B357" si="29">IF(C313="HOLD RM","HOLD RM",IF(C313="BAL","WIP",IF(C313="HOLD SLT","HOLD SLT",IF(C313="MILL","RM",IF(C313="RE SLT","WIP",IF(C313="RM","RM",IF(C313="RM BAL","RM",IF(C313="RM SLT","RM",IF(C313="RR","WIP",IF(C313="SKP","WIP",IF(C313="SLT","WIP",IF(C313="CTL","WIP",IF(C313="RM SLT RUST","RM SLT RUST",0)))))))))))))&amp;"-"&amp;G313&amp;"/"&amp;IF(H313="2B","2B",IF(H313="NO.1","1D",IF(H313="FH","FH",0)))&amp;"-"&amp;IF(J313="",(TEXT(I313,"0.00")),TEXT(J313,"0.00"))&amp;"X"&amp;M313</f>
        <v>0-304L/2B-001X763</v>
      </c>
      <c r="C313" s="126" t="s">
        <v>2971</v>
      </c>
      <c r="D313" s="126" t="s">
        <v>403</v>
      </c>
      <c r="E313" s="143" t="s">
        <v>1218</v>
      </c>
      <c r="F313" s="143" t="s">
        <v>1219</v>
      </c>
      <c r="G313" s="126" t="s">
        <v>230</v>
      </c>
      <c r="H313" s="126" t="s">
        <v>116</v>
      </c>
      <c r="I313" s="127">
        <v>2.89</v>
      </c>
      <c r="J313" s="127">
        <v>0.74</v>
      </c>
      <c r="K313" s="149">
        <v>0.75</v>
      </c>
      <c r="L313" s="149">
        <v>0.77</v>
      </c>
      <c r="M313" s="144">
        <v>763</v>
      </c>
      <c r="N313" s="129">
        <v>4.76</v>
      </c>
      <c r="O313" s="129">
        <v>4.76</v>
      </c>
      <c r="P313" s="129"/>
      <c r="Q313" s="130" t="s">
        <v>1143</v>
      </c>
      <c r="R313" s="131"/>
      <c r="S313" s="131"/>
      <c r="T313" s="132" t="s">
        <v>1221</v>
      </c>
      <c r="U313" s="132">
        <v>44538</v>
      </c>
      <c r="V313" s="132">
        <v>44603</v>
      </c>
      <c r="W313" s="132">
        <v>44617</v>
      </c>
      <c r="X313" s="132"/>
      <c r="Y313" s="133"/>
      <c r="Z313" s="126" t="s">
        <v>64</v>
      </c>
      <c r="AA313" s="134" t="s">
        <v>154</v>
      </c>
      <c r="AB313" s="134" t="s">
        <v>1190</v>
      </c>
      <c r="AC313" s="134"/>
      <c r="AD313" s="134">
        <v>44496</v>
      </c>
      <c r="AE313" s="134"/>
      <c r="AF313" s="134">
        <f t="shared" ref="AF313:AF357" ca="1" si="30">TODAY()</f>
        <v>44963</v>
      </c>
      <c r="AG313" s="126">
        <f t="shared" ref="AG313:AG357" ca="1" si="31">IF(AD313&lt;&gt;0,AF313-AD313,0)</f>
        <v>467</v>
      </c>
      <c r="AH313" s="126">
        <f t="shared" ref="AH313:AH357" ca="1" si="32">IF(ISNUMBER(V313)=TRUE,AF313-V313,IF(V313="","",(AF313)-(MID(RIGHT(V313,10),4,2)&amp;"/"&amp;LEFT((RIGHT(V313,10)),2)&amp;"/"&amp;RIGHT(V313,4))))</f>
        <v>360</v>
      </c>
      <c r="AI313" s="134"/>
      <c r="AJ313" s="143" t="s">
        <v>1222</v>
      </c>
      <c r="AK313" s="129">
        <v>12.03</v>
      </c>
      <c r="AL313" s="129">
        <v>12.04</v>
      </c>
      <c r="AM313" s="129">
        <v>12.064999999999998</v>
      </c>
      <c r="AN313" s="129">
        <v>12.069999999999999</v>
      </c>
      <c r="AO313" s="126">
        <f t="shared" ref="AO313:AO357" ca="1" si="33">IF(ISNUMBER(U313)=TRUE,AF313-U313,IF(U313="","",(AF313)-(MID(RIGHT(U313,10),4,2)&amp;"/"&amp;LEFT((RIGHT(U313,10)),2)&amp;"/"&amp;RIGHT(U313,4))))</f>
        <v>425</v>
      </c>
      <c r="AR313" s="99" t="s">
        <v>136</v>
      </c>
    </row>
    <row r="314" spans="1:59" s="99" customFormat="1" ht="21" customHeight="1" x14ac:dyDescent="0.35">
      <c r="A314" s="99">
        <v>357</v>
      </c>
      <c r="B314" s="126" t="str">
        <f t="shared" si="29"/>
        <v>0-304/FH-001X690</v>
      </c>
      <c r="C314" s="126" t="s">
        <v>2969</v>
      </c>
      <c r="D314" s="126" t="s">
        <v>13</v>
      </c>
      <c r="E314" s="143" t="s">
        <v>359</v>
      </c>
      <c r="F314" s="143" t="s">
        <v>360</v>
      </c>
      <c r="G314" s="126">
        <v>304</v>
      </c>
      <c r="H314" s="126" t="s">
        <v>65</v>
      </c>
      <c r="I314" s="127">
        <v>1</v>
      </c>
      <c r="J314" s="127">
        <v>0.5</v>
      </c>
      <c r="K314" s="127"/>
      <c r="L314" s="127"/>
      <c r="M314" s="144">
        <v>690</v>
      </c>
      <c r="N314" s="129">
        <v>8.3350000000000009</v>
      </c>
      <c r="O314" s="129">
        <v>8.34</v>
      </c>
      <c r="P314" s="129"/>
      <c r="Q314" s="130" t="s">
        <v>2968</v>
      </c>
      <c r="R314" s="131"/>
      <c r="S314" s="131" t="s">
        <v>362</v>
      </c>
      <c r="T314" s="132">
        <v>44617</v>
      </c>
      <c r="U314" s="132"/>
      <c r="V314" s="132">
        <v>44365</v>
      </c>
      <c r="W314" s="132">
        <v>44294</v>
      </c>
      <c r="X314" s="132"/>
      <c r="Y314" s="133"/>
      <c r="Z314" s="126" t="s">
        <v>65</v>
      </c>
      <c r="AA314" s="134" t="s">
        <v>132</v>
      </c>
      <c r="AB314" s="134" t="s">
        <v>365</v>
      </c>
      <c r="AC314" s="134">
        <v>44228</v>
      </c>
      <c r="AD314" s="134">
        <v>44245</v>
      </c>
      <c r="AE314" s="134"/>
      <c r="AF314" s="134">
        <f t="shared" ca="1" si="30"/>
        <v>44963</v>
      </c>
      <c r="AG314" s="126">
        <f t="shared" ca="1" si="31"/>
        <v>718</v>
      </c>
      <c r="AH314" s="126">
        <f t="shared" ca="1" si="32"/>
        <v>598</v>
      </c>
      <c r="AI314" s="134" t="s">
        <v>366</v>
      </c>
      <c r="AJ314" s="143" t="s">
        <v>367</v>
      </c>
      <c r="AK314" s="129">
        <v>8.4459999999999997</v>
      </c>
      <c r="AL314" s="129">
        <v>8.4809999999999999</v>
      </c>
      <c r="AM314" s="129">
        <v>8.5059999999999985</v>
      </c>
      <c r="AN314" s="129">
        <v>8.5109999999999992</v>
      </c>
      <c r="AO314" s="126" t="str">
        <f t="shared" si="33"/>
        <v/>
      </c>
      <c r="AR314" s="99" t="s">
        <v>136</v>
      </c>
      <c r="BG314" s="135" t="s">
        <v>137</v>
      </c>
    </row>
    <row r="315" spans="1:59" s="99" customFormat="1" ht="21" customHeight="1" x14ac:dyDescent="0.35">
      <c r="A315" s="99">
        <v>421</v>
      </c>
      <c r="B315" s="126" t="str">
        <f t="shared" si="29"/>
        <v>0-304L/FH-000X763</v>
      </c>
      <c r="C315" s="126" t="s">
        <v>2969</v>
      </c>
      <c r="D315" s="126" t="s">
        <v>13</v>
      </c>
      <c r="E315" s="143" t="s">
        <v>1218</v>
      </c>
      <c r="F315" s="143" t="s">
        <v>1219</v>
      </c>
      <c r="G315" s="126" t="s">
        <v>230</v>
      </c>
      <c r="H315" s="126" t="s">
        <v>65</v>
      </c>
      <c r="I315" s="127">
        <v>0.74</v>
      </c>
      <c r="J315" s="127">
        <v>0.4</v>
      </c>
      <c r="K315" s="149"/>
      <c r="L315" s="149"/>
      <c r="M315" s="144">
        <v>763</v>
      </c>
      <c r="N315" s="129">
        <v>4.76</v>
      </c>
      <c r="O315" s="129">
        <v>4.75</v>
      </c>
      <c r="P315" s="129"/>
      <c r="Q315" s="130" t="s">
        <v>1143</v>
      </c>
      <c r="R315" s="131"/>
      <c r="S315" s="131"/>
      <c r="T315" s="132" t="s">
        <v>1221</v>
      </c>
      <c r="U315" s="132">
        <v>44538</v>
      </c>
      <c r="V315" s="132">
        <v>44603</v>
      </c>
      <c r="W315" s="132">
        <v>44617</v>
      </c>
      <c r="X315" s="132"/>
      <c r="Y315" s="133"/>
      <c r="Z315" s="126" t="s">
        <v>64</v>
      </c>
      <c r="AA315" s="134" t="s">
        <v>154</v>
      </c>
      <c r="AB315" s="134" t="s">
        <v>1190</v>
      </c>
      <c r="AC315" s="134"/>
      <c r="AD315" s="134">
        <v>44496</v>
      </c>
      <c r="AE315" s="134"/>
      <c r="AF315" s="134">
        <f t="shared" ca="1" si="30"/>
        <v>44963</v>
      </c>
      <c r="AG315" s="126">
        <f t="shared" ca="1" si="31"/>
        <v>467</v>
      </c>
      <c r="AH315" s="126">
        <f t="shared" ca="1" si="32"/>
        <v>360</v>
      </c>
      <c r="AI315" s="134"/>
      <c r="AJ315" s="143" t="s">
        <v>1222</v>
      </c>
      <c r="AK315" s="129">
        <v>12.03</v>
      </c>
      <c r="AL315" s="129">
        <v>12.04</v>
      </c>
      <c r="AM315" s="129">
        <v>12.064999999999998</v>
      </c>
      <c r="AN315" s="129">
        <v>12.069999999999999</v>
      </c>
      <c r="AO315" s="126">
        <f t="shared" ca="1" si="33"/>
        <v>425</v>
      </c>
      <c r="AR315" s="99" t="s">
        <v>136</v>
      </c>
    </row>
    <row r="316" spans="1:59" s="99" customFormat="1" ht="21" customHeight="1" x14ac:dyDescent="0.35">
      <c r="A316" s="99">
        <v>421</v>
      </c>
      <c r="B316" s="126" t="str">
        <f t="shared" si="29"/>
        <v>0-304/FH-001X770</v>
      </c>
      <c r="C316" s="126" t="s">
        <v>2969</v>
      </c>
      <c r="D316" s="126" t="s">
        <v>13</v>
      </c>
      <c r="E316" s="143" t="s">
        <v>1241</v>
      </c>
      <c r="F316" s="143" t="s">
        <v>1242</v>
      </c>
      <c r="G316" s="126">
        <v>304</v>
      </c>
      <c r="H316" s="126" t="s">
        <v>65</v>
      </c>
      <c r="I316" s="127">
        <v>3</v>
      </c>
      <c r="J316" s="127">
        <v>0.92</v>
      </c>
      <c r="K316" s="127"/>
      <c r="L316" s="127"/>
      <c r="M316" s="144">
        <v>770</v>
      </c>
      <c r="N316" s="129">
        <v>10.425000000000001</v>
      </c>
      <c r="O316" s="129">
        <v>10.45</v>
      </c>
      <c r="P316" s="129"/>
      <c r="Q316" s="130"/>
      <c r="R316" s="131"/>
      <c r="S316" s="131"/>
      <c r="T316" s="132">
        <v>44617</v>
      </c>
      <c r="U316" s="132"/>
      <c r="V316" s="132"/>
      <c r="W316" s="132"/>
      <c r="X316" s="132"/>
      <c r="Y316" s="133"/>
      <c r="Z316" s="126" t="s">
        <v>64</v>
      </c>
      <c r="AA316" s="134" t="s">
        <v>154</v>
      </c>
      <c r="AB316" s="134" t="s">
        <v>1239</v>
      </c>
      <c r="AC316" s="134"/>
      <c r="AD316" s="134">
        <v>44496</v>
      </c>
      <c r="AE316" s="134"/>
      <c r="AF316" s="134">
        <f t="shared" ca="1" si="30"/>
        <v>44963</v>
      </c>
      <c r="AG316" s="126">
        <f t="shared" ca="1" si="31"/>
        <v>467</v>
      </c>
      <c r="AH316" s="126" t="str">
        <f t="shared" si="32"/>
        <v/>
      </c>
      <c r="AI316" s="134"/>
      <c r="AJ316" s="143" t="s">
        <v>1243</v>
      </c>
      <c r="AK316" s="129">
        <v>10.425000000000001</v>
      </c>
      <c r="AL316" s="129">
        <v>10.435</v>
      </c>
      <c r="AM316" s="129">
        <v>10.459999999999999</v>
      </c>
      <c r="AN316" s="129">
        <v>10.465</v>
      </c>
      <c r="AO316" s="126" t="str">
        <f t="shared" si="33"/>
        <v/>
      </c>
      <c r="AR316" s="99" t="s">
        <v>136</v>
      </c>
    </row>
    <row r="317" spans="1:59" s="99" customFormat="1" ht="21" customHeight="1" x14ac:dyDescent="0.35">
      <c r="A317" s="99">
        <v>424</v>
      </c>
      <c r="B317" s="126" t="str">
        <f t="shared" si="29"/>
        <v>0-304L/1D-004X768</v>
      </c>
      <c r="C317" s="126" t="s">
        <v>2970</v>
      </c>
      <c r="D317" s="126" t="s">
        <v>11</v>
      </c>
      <c r="E317" s="143" t="s">
        <v>1511</v>
      </c>
      <c r="F317" s="143" t="s">
        <v>1512</v>
      </c>
      <c r="G317" s="126" t="s">
        <v>230</v>
      </c>
      <c r="H317" s="126" t="s">
        <v>139</v>
      </c>
      <c r="I317" s="127">
        <v>3.77</v>
      </c>
      <c r="J317" s="127"/>
      <c r="K317" s="127"/>
      <c r="L317" s="127"/>
      <c r="M317" s="144">
        <v>768</v>
      </c>
      <c r="N317" s="129">
        <v>11.955</v>
      </c>
      <c r="O317" s="129">
        <v>11.955</v>
      </c>
      <c r="P317" s="129"/>
      <c r="Q317" s="130"/>
      <c r="R317" s="131"/>
      <c r="S317" s="131"/>
      <c r="T317" s="132">
        <v>44618</v>
      </c>
      <c r="U317" s="132"/>
      <c r="V317" s="132"/>
      <c r="W317" s="132"/>
      <c r="X317" s="132"/>
      <c r="Y317" s="133" t="s">
        <v>1395</v>
      </c>
      <c r="Z317" s="126" t="s">
        <v>64</v>
      </c>
      <c r="AA317" s="134" t="s">
        <v>154</v>
      </c>
      <c r="AB317" s="134" t="s">
        <v>1330</v>
      </c>
      <c r="AC317" s="134"/>
      <c r="AD317" s="134">
        <v>44554</v>
      </c>
      <c r="AE317" s="134"/>
      <c r="AF317" s="134">
        <f t="shared" ca="1" si="30"/>
        <v>44963</v>
      </c>
      <c r="AG317" s="126">
        <f t="shared" ca="1" si="31"/>
        <v>409</v>
      </c>
      <c r="AH317" s="126" t="str">
        <f t="shared" si="32"/>
        <v/>
      </c>
      <c r="AI317" s="134"/>
      <c r="AJ317" s="143" t="s">
        <v>1513</v>
      </c>
      <c r="AK317" s="129">
        <v>11.955</v>
      </c>
      <c r="AL317" s="129">
        <v>11.965</v>
      </c>
      <c r="AM317" s="129">
        <v>11.989999999999998</v>
      </c>
      <c r="AN317" s="129">
        <v>11.994999999999999</v>
      </c>
      <c r="AO317" s="126" t="str">
        <f t="shared" si="33"/>
        <v/>
      </c>
      <c r="AR317" s="99" t="s">
        <v>136</v>
      </c>
    </row>
    <row r="318" spans="1:59" s="99" customFormat="1" ht="21" customHeight="1" x14ac:dyDescent="0.35">
      <c r="A318" s="99">
        <v>421</v>
      </c>
      <c r="B318" s="126" t="str">
        <f t="shared" si="29"/>
        <v>0-304L/FH-001X770</v>
      </c>
      <c r="C318" s="126" t="s">
        <v>2969</v>
      </c>
      <c r="D318" s="126" t="s">
        <v>13</v>
      </c>
      <c r="E318" s="143" t="s">
        <v>1248</v>
      </c>
      <c r="F318" s="143" t="s">
        <v>1249</v>
      </c>
      <c r="G318" s="126" t="s">
        <v>230</v>
      </c>
      <c r="H318" s="126" t="s">
        <v>65</v>
      </c>
      <c r="I318" s="127">
        <v>3.46</v>
      </c>
      <c r="J318" s="127">
        <v>1.1000000000000001</v>
      </c>
      <c r="K318" s="127"/>
      <c r="L318" s="127"/>
      <c r="M318" s="144">
        <v>770</v>
      </c>
      <c r="N318" s="129">
        <v>12.16</v>
      </c>
      <c r="O318" s="129">
        <v>12.18</v>
      </c>
      <c r="P318" s="129"/>
      <c r="Q318" s="130"/>
      <c r="R318" s="131"/>
      <c r="S318" s="131"/>
      <c r="T318" s="132">
        <v>44616</v>
      </c>
      <c r="U318" s="132"/>
      <c r="V318" s="132"/>
      <c r="W318" s="132"/>
      <c r="X318" s="132"/>
      <c r="Y318" s="133"/>
      <c r="Z318" s="126" t="s">
        <v>64</v>
      </c>
      <c r="AA318" s="134" t="s">
        <v>154</v>
      </c>
      <c r="AB318" s="134" t="s">
        <v>1246</v>
      </c>
      <c r="AC318" s="134"/>
      <c r="AD318" s="134">
        <v>44496</v>
      </c>
      <c r="AE318" s="134"/>
      <c r="AF318" s="134">
        <f t="shared" ca="1" si="30"/>
        <v>44963</v>
      </c>
      <c r="AG318" s="126">
        <f t="shared" ca="1" si="31"/>
        <v>467</v>
      </c>
      <c r="AH318" s="126" t="str">
        <f t="shared" si="32"/>
        <v/>
      </c>
      <c r="AI318" s="134"/>
      <c r="AJ318" s="143" t="s">
        <v>1250</v>
      </c>
      <c r="AK318" s="129">
        <v>12.16</v>
      </c>
      <c r="AL318" s="129">
        <v>12.17</v>
      </c>
      <c r="AM318" s="129">
        <v>12.194999999999999</v>
      </c>
      <c r="AN318" s="129">
        <v>12.2</v>
      </c>
      <c r="AO318" s="126" t="str">
        <f t="shared" si="33"/>
        <v/>
      </c>
      <c r="AR318" s="99" t="s">
        <v>136</v>
      </c>
    </row>
    <row r="319" spans="1:59" s="99" customFormat="1" ht="21" customHeight="1" x14ac:dyDescent="0.35">
      <c r="A319" s="99">
        <v>421</v>
      </c>
      <c r="B319" s="126" t="str">
        <f t="shared" si="29"/>
        <v>0-304L/1D-004X770</v>
      </c>
      <c r="C319" s="126" t="s">
        <v>2970</v>
      </c>
      <c r="D319" s="126" t="s">
        <v>11</v>
      </c>
      <c r="E319" s="143" t="s">
        <v>1214</v>
      </c>
      <c r="F319" s="143" t="s">
        <v>1215</v>
      </c>
      <c r="G319" s="126" t="s">
        <v>230</v>
      </c>
      <c r="H319" s="126" t="s">
        <v>139</v>
      </c>
      <c r="I319" s="127">
        <v>3.88</v>
      </c>
      <c r="J319" s="127"/>
      <c r="K319" s="127"/>
      <c r="L319" s="127"/>
      <c r="M319" s="144">
        <v>770</v>
      </c>
      <c r="N319" s="129">
        <v>12.145</v>
      </c>
      <c r="O319" s="129">
        <v>12.145</v>
      </c>
      <c r="P319" s="129"/>
      <c r="Q319" s="130"/>
      <c r="R319" s="131"/>
      <c r="S319" s="131"/>
      <c r="T319" s="132">
        <v>44618</v>
      </c>
      <c r="U319" s="132"/>
      <c r="V319" s="132"/>
      <c r="W319" s="132"/>
      <c r="X319" s="132"/>
      <c r="Y319" s="133"/>
      <c r="Z319" s="126" t="s">
        <v>64</v>
      </c>
      <c r="AA319" s="134" t="s">
        <v>154</v>
      </c>
      <c r="AB319" s="134" t="s">
        <v>1190</v>
      </c>
      <c r="AC319" s="134"/>
      <c r="AD319" s="134">
        <v>44496</v>
      </c>
      <c r="AE319" s="134"/>
      <c r="AF319" s="134">
        <f t="shared" ca="1" si="30"/>
        <v>44963</v>
      </c>
      <c r="AG319" s="126">
        <f t="shared" ca="1" si="31"/>
        <v>467</v>
      </c>
      <c r="AH319" s="126" t="str">
        <f t="shared" si="32"/>
        <v/>
      </c>
      <c r="AI319" s="134"/>
      <c r="AJ319" s="143" t="s">
        <v>1217</v>
      </c>
      <c r="AK319" s="129">
        <v>12.145</v>
      </c>
      <c r="AL319" s="129">
        <v>12.154999999999999</v>
      </c>
      <c r="AM319" s="129">
        <v>12.179999999999998</v>
      </c>
      <c r="AN319" s="129">
        <v>12.184999999999999</v>
      </c>
      <c r="AO319" s="126" t="str">
        <f t="shared" si="33"/>
        <v/>
      </c>
      <c r="AR319" s="99" t="s">
        <v>136</v>
      </c>
    </row>
    <row r="320" spans="1:59" s="99" customFormat="1" ht="21" customHeight="1" x14ac:dyDescent="0.35">
      <c r="A320" s="99">
        <v>424</v>
      </c>
      <c r="B320" s="126" t="str">
        <f t="shared" si="29"/>
        <v>0-304L/FH-001X768</v>
      </c>
      <c r="C320" s="126" t="s">
        <v>2969</v>
      </c>
      <c r="D320" s="126" t="s">
        <v>13</v>
      </c>
      <c r="E320" s="143" t="s">
        <v>1511</v>
      </c>
      <c r="F320" s="143" t="s">
        <v>1512</v>
      </c>
      <c r="G320" s="126" t="s">
        <v>230</v>
      </c>
      <c r="H320" s="126" t="s">
        <v>65</v>
      </c>
      <c r="I320" s="127">
        <v>3.77</v>
      </c>
      <c r="J320" s="127">
        <v>1.1000000000000001</v>
      </c>
      <c r="K320" s="127"/>
      <c r="L320" s="127"/>
      <c r="M320" s="144">
        <v>768</v>
      </c>
      <c r="N320" s="129">
        <v>11.955</v>
      </c>
      <c r="O320" s="129">
        <v>12.05</v>
      </c>
      <c r="P320" s="129"/>
      <c r="Q320" s="130"/>
      <c r="R320" s="131"/>
      <c r="S320" s="131"/>
      <c r="T320" s="132">
        <v>44618</v>
      </c>
      <c r="U320" s="132"/>
      <c r="V320" s="132"/>
      <c r="W320" s="132"/>
      <c r="X320" s="132"/>
      <c r="Y320" s="133" t="s">
        <v>1395</v>
      </c>
      <c r="Z320" s="126" t="s">
        <v>64</v>
      </c>
      <c r="AA320" s="134" t="s">
        <v>154</v>
      </c>
      <c r="AB320" s="134" t="s">
        <v>1330</v>
      </c>
      <c r="AC320" s="134"/>
      <c r="AD320" s="134">
        <v>44554</v>
      </c>
      <c r="AE320" s="134"/>
      <c r="AF320" s="134">
        <f t="shared" ca="1" si="30"/>
        <v>44963</v>
      </c>
      <c r="AG320" s="126">
        <f t="shared" ca="1" si="31"/>
        <v>409</v>
      </c>
      <c r="AH320" s="126" t="str">
        <f t="shared" si="32"/>
        <v/>
      </c>
      <c r="AI320" s="134"/>
      <c r="AJ320" s="143" t="s">
        <v>1513</v>
      </c>
      <c r="AK320" s="129">
        <v>11.955</v>
      </c>
      <c r="AL320" s="129">
        <v>11.965</v>
      </c>
      <c r="AM320" s="129">
        <v>11.989999999999998</v>
      </c>
      <c r="AN320" s="129">
        <v>11.994999999999999</v>
      </c>
      <c r="AO320" s="126" t="str">
        <f t="shared" si="33"/>
        <v/>
      </c>
      <c r="AR320" s="99" t="s">
        <v>136</v>
      </c>
    </row>
    <row r="321" spans="1:59" s="99" customFormat="1" ht="21" customHeight="1" x14ac:dyDescent="0.35">
      <c r="A321" s="99">
        <v>417</v>
      </c>
      <c r="B321" s="126" t="str">
        <f t="shared" si="29"/>
        <v>0-316L/2B-002X770</v>
      </c>
      <c r="C321" s="126" t="s">
        <v>2971</v>
      </c>
      <c r="D321" s="126" t="s">
        <v>403</v>
      </c>
      <c r="E321" s="143" t="s">
        <v>1163</v>
      </c>
      <c r="F321" s="143" t="s">
        <v>1164</v>
      </c>
      <c r="G321" s="126" t="s">
        <v>148</v>
      </c>
      <c r="H321" s="126" t="s">
        <v>116</v>
      </c>
      <c r="I321" s="127">
        <v>3.85</v>
      </c>
      <c r="J321" s="127">
        <v>2</v>
      </c>
      <c r="K321" s="127">
        <v>2.0099999999999998</v>
      </c>
      <c r="L321" s="127">
        <v>2.04</v>
      </c>
      <c r="M321" s="144">
        <v>770</v>
      </c>
      <c r="N321" s="129">
        <v>5.375</v>
      </c>
      <c r="O321" s="129">
        <v>5.375</v>
      </c>
      <c r="P321" s="129"/>
      <c r="Q321" s="130" t="s">
        <v>1165</v>
      </c>
      <c r="R321" s="131" t="s">
        <v>390</v>
      </c>
      <c r="S321" s="131"/>
      <c r="T321" s="132" t="s">
        <v>1166</v>
      </c>
      <c r="U321" s="132">
        <v>44442</v>
      </c>
      <c r="V321" s="132">
        <v>44445</v>
      </c>
      <c r="W321" s="132"/>
      <c r="X321" s="132"/>
      <c r="Y321" s="133"/>
      <c r="Z321" s="126" t="s">
        <v>64</v>
      </c>
      <c r="AA321" s="134" t="s">
        <v>154</v>
      </c>
      <c r="AB321" s="134" t="s">
        <v>1169</v>
      </c>
      <c r="AC321" s="134"/>
      <c r="AD321" s="134">
        <v>44431</v>
      </c>
      <c r="AE321" s="134"/>
      <c r="AF321" s="134">
        <f t="shared" ca="1" si="30"/>
        <v>44963</v>
      </c>
      <c r="AG321" s="126">
        <f t="shared" ca="1" si="31"/>
        <v>532</v>
      </c>
      <c r="AH321" s="126">
        <f t="shared" ca="1" si="32"/>
        <v>518</v>
      </c>
      <c r="AI321" s="134"/>
      <c r="AJ321" s="143" t="s">
        <v>1170</v>
      </c>
      <c r="AK321" s="129">
        <v>10.585000000000001</v>
      </c>
      <c r="AL321" s="129">
        <v>10.595000000000001</v>
      </c>
      <c r="AM321" s="129">
        <v>10.62</v>
      </c>
      <c r="AN321" s="129">
        <v>10.625</v>
      </c>
      <c r="AO321" s="126">
        <f t="shared" ca="1" si="33"/>
        <v>521</v>
      </c>
      <c r="AR321" s="99" t="s">
        <v>136</v>
      </c>
      <c r="BG321" s="135" t="s">
        <v>157</v>
      </c>
    </row>
    <row r="322" spans="1:59" s="99" customFormat="1" ht="20.25" customHeight="1" x14ac:dyDescent="0.35">
      <c r="A322" s="99">
        <v>421</v>
      </c>
      <c r="B322" s="126" t="str">
        <f t="shared" si="29"/>
        <v>0-304L/FH-002X770</v>
      </c>
      <c r="C322" s="126" t="s">
        <v>2972</v>
      </c>
      <c r="D322" s="126" t="s">
        <v>13</v>
      </c>
      <c r="E322" s="143" t="s">
        <v>1214</v>
      </c>
      <c r="F322" s="143" t="s">
        <v>1215</v>
      </c>
      <c r="G322" s="126" t="s">
        <v>230</v>
      </c>
      <c r="H322" s="126" t="s">
        <v>65</v>
      </c>
      <c r="I322" s="127">
        <v>3.88</v>
      </c>
      <c r="J322" s="127">
        <v>1.9</v>
      </c>
      <c r="K322" s="127"/>
      <c r="L322" s="127"/>
      <c r="M322" s="144">
        <v>770</v>
      </c>
      <c r="N322" s="129">
        <v>12.145</v>
      </c>
      <c r="O322" s="129">
        <v>12.16</v>
      </c>
      <c r="P322" s="129"/>
      <c r="Q322" s="130"/>
      <c r="R322" s="131"/>
      <c r="S322" s="131"/>
      <c r="T322" s="132">
        <v>44618</v>
      </c>
      <c r="U322" s="132"/>
      <c r="V322" s="132"/>
      <c r="W322" s="132"/>
      <c r="X322" s="132"/>
      <c r="Y322" s="133"/>
      <c r="Z322" s="126" t="s">
        <v>64</v>
      </c>
      <c r="AA322" s="134" t="s">
        <v>154</v>
      </c>
      <c r="AB322" s="134" t="s">
        <v>1190</v>
      </c>
      <c r="AC322" s="134"/>
      <c r="AD322" s="134">
        <v>44496</v>
      </c>
      <c r="AE322" s="134"/>
      <c r="AF322" s="134">
        <f t="shared" ca="1" si="30"/>
        <v>44963</v>
      </c>
      <c r="AG322" s="126">
        <f t="shared" ca="1" si="31"/>
        <v>467</v>
      </c>
      <c r="AH322" s="126" t="str">
        <f t="shared" si="32"/>
        <v/>
      </c>
      <c r="AI322" s="134"/>
      <c r="AJ322" s="143" t="s">
        <v>1217</v>
      </c>
      <c r="AK322" s="129">
        <v>12.145</v>
      </c>
      <c r="AL322" s="129">
        <v>12.154999999999999</v>
      </c>
      <c r="AM322" s="129">
        <v>12.179999999999998</v>
      </c>
      <c r="AN322" s="129">
        <v>12.184999999999999</v>
      </c>
      <c r="AO322" s="126" t="str">
        <f t="shared" si="33"/>
        <v/>
      </c>
      <c r="AR322" s="99" t="s">
        <v>136</v>
      </c>
    </row>
    <row r="323" spans="1:59" s="99" customFormat="1" ht="21" customHeight="1" x14ac:dyDescent="0.35">
      <c r="A323" s="99">
        <v>421</v>
      </c>
      <c r="B323" s="126" t="str">
        <f t="shared" si="29"/>
        <v>0-304L/1D-004X770</v>
      </c>
      <c r="C323" s="126" t="s">
        <v>2973</v>
      </c>
      <c r="D323" s="126" t="s">
        <v>11</v>
      </c>
      <c r="E323" s="143" t="s">
        <v>1265</v>
      </c>
      <c r="F323" s="143" t="s">
        <v>1266</v>
      </c>
      <c r="G323" s="126" t="s">
        <v>230</v>
      </c>
      <c r="H323" s="126" t="s">
        <v>139</v>
      </c>
      <c r="I323" s="127">
        <v>3.7</v>
      </c>
      <c r="J323" s="127"/>
      <c r="K323" s="127"/>
      <c r="L323" s="127"/>
      <c r="M323" s="144">
        <v>770</v>
      </c>
      <c r="N323" s="129">
        <v>10.484999999999999</v>
      </c>
      <c r="O323" s="129">
        <v>10.484999999999999</v>
      </c>
      <c r="P323" s="129"/>
      <c r="Q323" s="130"/>
      <c r="R323" s="131"/>
      <c r="S323" s="131"/>
      <c r="T323" s="132">
        <v>44619</v>
      </c>
      <c r="U323" s="132"/>
      <c r="V323" s="132"/>
      <c r="W323" s="132"/>
      <c r="X323" s="132"/>
      <c r="Y323" s="133"/>
      <c r="Z323" s="126" t="s">
        <v>64</v>
      </c>
      <c r="AA323" s="134" t="s">
        <v>154</v>
      </c>
      <c r="AB323" s="134" t="s">
        <v>1267</v>
      </c>
      <c r="AC323" s="134"/>
      <c r="AD323" s="134">
        <v>44496</v>
      </c>
      <c r="AE323" s="134"/>
      <c r="AF323" s="134">
        <f t="shared" ca="1" si="30"/>
        <v>44963</v>
      </c>
      <c r="AG323" s="126">
        <f t="shared" ca="1" si="31"/>
        <v>467</v>
      </c>
      <c r="AH323" s="126" t="str">
        <f t="shared" si="32"/>
        <v/>
      </c>
      <c r="AI323" s="134"/>
      <c r="AJ323" s="143" t="s">
        <v>1268</v>
      </c>
      <c r="AK323" s="129">
        <v>10.484999999999999</v>
      </c>
      <c r="AL323" s="129">
        <v>10.494999999999999</v>
      </c>
      <c r="AM323" s="129">
        <v>10.519999999999998</v>
      </c>
      <c r="AN323" s="129">
        <v>10.524999999999999</v>
      </c>
      <c r="AO323" s="126" t="str">
        <f t="shared" si="33"/>
        <v/>
      </c>
      <c r="AR323" s="99" t="s">
        <v>136</v>
      </c>
    </row>
    <row r="324" spans="1:59" s="99" customFormat="1" ht="21" customHeight="1" x14ac:dyDescent="0.35">
      <c r="A324" s="99">
        <v>422</v>
      </c>
      <c r="B324" s="126" t="str">
        <f t="shared" si="29"/>
        <v>0-304L/FH-001X768</v>
      </c>
      <c r="C324" s="126" t="s">
        <v>2972</v>
      </c>
      <c r="D324" s="126" t="s">
        <v>13</v>
      </c>
      <c r="E324" s="143" t="s">
        <v>1308</v>
      </c>
      <c r="F324" s="143" t="s">
        <v>1309</v>
      </c>
      <c r="G324" s="126" t="s">
        <v>230</v>
      </c>
      <c r="H324" s="126" t="s">
        <v>65</v>
      </c>
      <c r="I324" s="127">
        <v>2.9</v>
      </c>
      <c r="J324" s="127">
        <v>0.9</v>
      </c>
      <c r="K324" s="127"/>
      <c r="L324" s="127"/>
      <c r="M324" s="144">
        <v>768</v>
      </c>
      <c r="N324" s="129">
        <v>6.89</v>
      </c>
      <c r="O324" s="129">
        <v>6.8849999999999998</v>
      </c>
      <c r="P324" s="129"/>
      <c r="Q324" s="130"/>
      <c r="R324" s="131"/>
      <c r="S324" s="131"/>
      <c r="T324" s="132">
        <v>44617</v>
      </c>
      <c r="U324" s="132"/>
      <c r="V324" s="132"/>
      <c r="W324" s="132"/>
      <c r="X324" s="132"/>
      <c r="Y324" s="133"/>
      <c r="Z324" s="126" t="s">
        <v>64</v>
      </c>
      <c r="AA324" s="134" t="s">
        <v>154</v>
      </c>
      <c r="AB324" s="134" t="s">
        <v>1296</v>
      </c>
      <c r="AC324" s="134"/>
      <c r="AD324" s="134">
        <v>44516</v>
      </c>
      <c r="AE324" s="134"/>
      <c r="AF324" s="134">
        <f t="shared" ca="1" si="30"/>
        <v>44963</v>
      </c>
      <c r="AG324" s="126">
        <f t="shared" ca="1" si="31"/>
        <v>447</v>
      </c>
      <c r="AH324" s="126" t="str">
        <f t="shared" si="32"/>
        <v/>
      </c>
      <c r="AI324" s="134"/>
      <c r="AJ324" s="143" t="s">
        <v>1310</v>
      </c>
      <c r="AK324" s="129">
        <v>6.89</v>
      </c>
      <c r="AL324" s="129">
        <v>6.9</v>
      </c>
      <c r="AM324" s="129">
        <v>6.9250000000000007</v>
      </c>
      <c r="AN324" s="129">
        <v>6.9300000000000006</v>
      </c>
      <c r="AO324" s="126" t="str">
        <f t="shared" si="33"/>
        <v/>
      </c>
      <c r="AR324" s="99" t="s">
        <v>136</v>
      </c>
    </row>
    <row r="325" spans="1:59" s="99" customFormat="1" ht="21" customHeight="1" x14ac:dyDescent="0.35">
      <c r="A325" s="99">
        <v>424</v>
      </c>
      <c r="B325" s="126" t="str">
        <f t="shared" si="29"/>
        <v>0-304/1D-004X771</v>
      </c>
      <c r="C325" s="126" t="s">
        <v>2973</v>
      </c>
      <c r="D325" s="126" t="s">
        <v>11</v>
      </c>
      <c r="E325" s="143" t="s">
        <v>1704</v>
      </c>
      <c r="F325" s="143" t="s">
        <v>1705</v>
      </c>
      <c r="G325" s="126">
        <v>304</v>
      </c>
      <c r="H325" s="126" t="s">
        <v>139</v>
      </c>
      <c r="I325" s="127">
        <v>3.78</v>
      </c>
      <c r="J325" s="127"/>
      <c r="K325" s="127"/>
      <c r="L325" s="127"/>
      <c r="M325" s="144">
        <v>771</v>
      </c>
      <c r="N325" s="129">
        <v>11.92</v>
      </c>
      <c r="O325" s="129">
        <v>11.92</v>
      </c>
      <c r="P325" s="129"/>
      <c r="Q325" s="130"/>
      <c r="R325" s="131"/>
      <c r="S325" s="131"/>
      <c r="T325" s="132">
        <v>44619</v>
      </c>
      <c r="U325" s="132"/>
      <c r="V325" s="132"/>
      <c r="W325" s="132"/>
      <c r="X325" s="132"/>
      <c r="Y325" s="133" t="s">
        <v>1395</v>
      </c>
      <c r="Z325" s="126" t="s">
        <v>64</v>
      </c>
      <c r="AA325" s="134" t="s">
        <v>154</v>
      </c>
      <c r="AB325" s="134" t="s">
        <v>1516</v>
      </c>
      <c r="AC325" s="134"/>
      <c r="AD325" s="134">
        <v>44554</v>
      </c>
      <c r="AE325" s="134"/>
      <c r="AF325" s="134">
        <f t="shared" ca="1" si="30"/>
        <v>44963</v>
      </c>
      <c r="AG325" s="126">
        <f t="shared" ca="1" si="31"/>
        <v>409</v>
      </c>
      <c r="AH325" s="126" t="str">
        <f t="shared" si="32"/>
        <v/>
      </c>
      <c r="AI325" s="134"/>
      <c r="AJ325" s="143" t="s">
        <v>1703</v>
      </c>
      <c r="AK325" s="129">
        <v>11.92</v>
      </c>
      <c r="AL325" s="129">
        <v>11.93</v>
      </c>
      <c r="AM325" s="129">
        <v>11.954999999999998</v>
      </c>
      <c r="AN325" s="129">
        <v>11.959999999999999</v>
      </c>
      <c r="AO325" s="126" t="str">
        <f t="shared" si="33"/>
        <v/>
      </c>
      <c r="AR325" s="99" t="s">
        <v>136</v>
      </c>
    </row>
    <row r="326" spans="1:59" s="99" customFormat="1" ht="21" customHeight="1" x14ac:dyDescent="0.35">
      <c r="A326" s="99">
        <v>421</v>
      </c>
      <c r="B326" s="126" t="str">
        <f t="shared" si="29"/>
        <v>0-304L/FH-001X770</v>
      </c>
      <c r="C326" s="126" t="s">
        <v>2972</v>
      </c>
      <c r="D326" s="126" t="s">
        <v>13</v>
      </c>
      <c r="E326" s="143" t="s">
        <v>1188</v>
      </c>
      <c r="F326" s="143" t="s">
        <v>1189</v>
      </c>
      <c r="G326" s="126" t="s">
        <v>230</v>
      </c>
      <c r="H326" s="126" t="s">
        <v>65</v>
      </c>
      <c r="I326" s="127">
        <v>2.81</v>
      </c>
      <c r="J326" s="127">
        <v>0.95</v>
      </c>
      <c r="K326" s="127"/>
      <c r="L326" s="127"/>
      <c r="M326" s="144">
        <v>770</v>
      </c>
      <c r="N326" s="129">
        <v>12.17</v>
      </c>
      <c r="O326" s="129">
        <v>12.2</v>
      </c>
      <c r="P326" s="129"/>
      <c r="Q326" s="130"/>
      <c r="R326" s="131"/>
      <c r="S326" s="131"/>
      <c r="T326" s="132">
        <v>44618</v>
      </c>
      <c r="U326" s="132"/>
      <c r="V326" s="132"/>
      <c r="W326" s="132"/>
      <c r="X326" s="132"/>
      <c r="Y326" s="133"/>
      <c r="Z326" s="126" t="s">
        <v>64</v>
      </c>
      <c r="AA326" s="134" t="s">
        <v>154</v>
      </c>
      <c r="AB326" s="134" t="s">
        <v>1190</v>
      </c>
      <c r="AC326" s="134"/>
      <c r="AD326" s="134">
        <v>44496</v>
      </c>
      <c r="AE326" s="134"/>
      <c r="AF326" s="134">
        <f t="shared" ca="1" si="30"/>
        <v>44963</v>
      </c>
      <c r="AG326" s="126">
        <f t="shared" ca="1" si="31"/>
        <v>467</v>
      </c>
      <c r="AH326" s="126" t="str">
        <f t="shared" si="32"/>
        <v/>
      </c>
      <c r="AI326" s="134"/>
      <c r="AJ326" s="143" t="s">
        <v>1191</v>
      </c>
      <c r="AK326" s="129">
        <v>12.17</v>
      </c>
      <c r="AL326" s="129">
        <v>12.18</v>
      </c>
      <c r="AM326" s="129">
        <v>12.204999999999998</v>
      </c>
      <c r="AN326" s="129">
        <v>12.209999999999999</v>
      </c>
      <c r="AO326" s="126" t="str">
        <f t="shared" si="33"/>
        <v/>
      </c>
      <c r="AR326" s="99" t="s">
        <v>136</v>
      </c>
    </row>
    <row r="327" spans="1:59" s="99" customFormat="1" ht="21" customHeight="1" x14ac:dyDescent="0.35">
      <c r="A327" s="99">
        <v>421</v>
      </c>
      <c r="B327" s="126" t="str">
        <f t="shared" si="29"/>
        <v>0-304L/1D-004X770</v>
      </c>
      <c r="C327" s="126" t="s">
        <v>2973</v>
      </c>
      <c r="D327" s="126" t="s">
        <v>11</v>
      </c>
      <c r="E327" s="143" t="s">
        <v>1244</v>
      </c>
      <c r="F327" s="143" t="s">
        <v>1245</v>
      </c>
      <c r="G327" s="126" t="s">
        <v>230</v>
      </c>
      <c r="H327" s="126" t="s">
        <v>139</v>
      </c>
      <c r="I327" s="127">
        <v>3.78</v>
      </c>
      <c r="J327" s="127"/>
      <c r="K327" s="127"/>
      <c r="L327" s="127"/>
      <c r="M327" s="144">
        <v>770</v>
      </c>
      <c r="N327" s="129">
        <v>11.73</v>
      </c>
      <c r="O327" s="129">
        <v>11.73</v>
      </c>
      <c r="P327" s="129"/>
      <c r="Q327" s="130"/>
      <c r="R327" s="131"/>
      <c r="S327" s="131"/>
      <c r="T327" s="132">
        <v>44619</v>
      </c>
      <c r="U327" s="132"/>
      <c r="V327" s="132"/>
      <c r="W327" s="132"/>
      <c r="X327" s="132"/>
      <c r="Y327" s="133"/>
      <c r="Z327" s="126" t="s">
        <v>64</v>
      </c>
      <c r="AA327" s="134" t="s">
        <v>154</v>
      </c>
      <c r="AB327" s="134" t="s">
        <v>1246</v>
      </c>
      <c r="AC327" s="134"/>
      <c r="AD327" s="134">
        <v>44496</v>
      </c>
      <c r="AE327" s="134"/>
      <c r="AF327" s="134">
        <f t="shared" ca="1" si="30"/>
        <v>44963</v>
      </c>
      <c r="AG327" s="126">
        <f t="shared" ca="1" si="31"/>
        <v>467</v>
      </c>
      <c r="AH327" s="126" t="str">
        <f t="shared" si="32"/>
        <v/>
      </c>
      <c r="AI327" s="134"/>
      <c r="AJ327" s="143" t="s">
        <v>1247</v>
      </c>
      <c r="AK327" s="129">
        <v>11.73</v>
      </c>
      <c r="AL327" s="129">
        <v>11.74</v>
      </c>
      <c r="AM327" s="129">
        <v>11.764999999999999</v>
      </c>
      <c r="AN327" s="129">
        <v>11.77</v>
      </c>
      <c r="AO327" s="126" t="str">
        <f t="shared" si="33"/>
        <v/>
      </c>
      <c r="AR327" s="99" t="s">
        <v>136</v>
      </c>
    </row>
    <row r="328" spans="1:59" s="99" customFormat="1" ht="21" customHeight="1" x14ac:dyDescent="0.35">
      <c r="A328" s="99">
        <v>421</v>
      </c>
      <c r="B328" s="126" t="str">
        <f t="shared" si="29"/>
        <v>0-304L/FH-001X770</v>
      </c>
      <c r="C328" s="126" t="s">
        <v>2972</v>
      </c>
      <c r="D328" s="126" t="s">
        <v>13</v>
      </c>
      <c r="E328" s="143" t="s">
        <v>1265</v>
      </c>
      <c r="F328" s="143" t="s">
        <v>1266</v>
      </c>
      <c r="G328" s="126" t="s">
        <v>230</v>
      </c>
      <c r="H328" s="126" t="s">
        <v>65</v>
      </c>
      <c r="I328" s="127">
        <v>3.7</v>
      </c>
      <c r="J328" s="127">
        <v>1.1000000000000001</v>
      </c>
      <c r="K328" s="127"/>
      <c r="L328" s="127"/>
      <c r="M328" s="144">
        <v>770</v>
      </c>
      <c r="N328" s="129">
        <v>10.484999999999999</v>
      </c>
      <c r="O328" s="129">
        <v>10.51</v>
      </c>
      <c r="P328" s="129"/>
      <c r="Q328" s="130"/>
      <c r="R328" s="131"/>
      <c r="S328" s="131"/>
      <c r="T328" s="132">
        <v>44619</v>
      </c>
      <c r="U328" s="132"/>
      <c r="V328" s="132"/>
      <c r="W328" s="132"/>
      <c r="X328" s="132"/>
      <c r="Y328" s="133"/>
      <c r="Z328" s="126" t="s">
        <v>64</v>
      </c>
      <c r="AA328" s="134" t="s">
        <v>154</v>
      </c>
      <c r="AB328" s="134" t="s">
        <v>1267</v>
      </c>
      <c r="AC328" s="134"/>
      <c r="AD328" s="134">
        <v>44496</v>
      </c>
      <c r="AE328" s="134"/>
      <c r="AF328" s="134">
        <f t="shared" ca="1" si="30"/>
        <v>44963</v>
      </c>
      <c r="AG328" s="126">
        <f t="shared" ca="1" si="31"/>
        <v>467</v>
      </c>
      <c r="AH328" s="126" t="str">
        <f t="shared" si="32"/>
        <v/>
      </c>
      <c r="AI328" s="134"/>
      <c r="AJ328" s="143" t="s">
        <v>1268</v>
      </c>
      <c r="AK328" s="129">
        <v>10.484999999999999</v>
      </c>
      <c r="AL328" s="129">
        <v>10.494999999999999</v>
      </c>
      <c r="AM328" s="129">
        <v>10.519999999999998</v>
      </c>
      <c r="AN328" s="129">
        <v>10.524999999999999</v>
      </c>
      <c r="AO328" s="126" t="str">
        <f t="shared" si="33"/>
        <v/>
      </c>
      <c r="AR328" s="99" t="s">
        <v>136</v>
      </c>
    </row>
    <row r="329" spans="1:59" s="99" customFormat="1" ht="21" customHeight="1" x14ac:dyDescent="0.35">
      <c r="A329" s="99">
        <v>424</v>
      </c>
      <c r="B329" s="126" t="str">
        <f t="shared" si="29"/>
        <v>0-304L/1D-004X764</v>
      </c>
      <c r="C329" s="126" t="s">
        <v>2973</v>
      </c>
      <c r="D329" s="126" t="s">
        <v>11</v>
      </c>
      <c r="E329" s="143" t="s">
        <v>1393</v>
      </c>
      <c r="F329" s="143" t="s">
        <v>1394</v>
      </c>
      <c r="G329" s="126" t="s">
        <v>230</v>
      </c>
      <c r="H329" s="126" t="s">
        <v>139</v>
      </c>
      <c r="I329" s="127">
        <v>3.78</v>
      </c>
      <c r="J329" s="127"/>
      <c r="K329" s="127"/>
      <c r="L329" s="127"/>
      <c r="M329" s="144">
        <v>764</v>
      </c>
      <c r="N329" s="129">
        <v>10.220000000000001</v>
      </c>
      <c r="O329" s="129">
        <v>10.220000000000001</v>
      </c>
      <c r="P329" s="129"/>
      <c r="Q329" s="130"/>
      <c r="R329" s="131"/>
      <c r="S329" s="131"/>
      <c r="T329" s="132">
        <v>44619</v>
      </c>
      <c r="U329" s="132"/>
      <c r="V329" s="132"/>
      <c r="W329" s="132"/>
      <c r="X329" s="132"/>
      <c r="Y329" s="133" t="s">
        <v>1395</v>
      </c>
      <c r="Z329" s="126" t="s">
        <v>64</v>
      </c>
      <c r="AA329" s="134" t="s">
        <v>154</v>
      </c>
      <c r="AB329" s="134" t="s">
        <v>1330</v>
      </c>
      <c r="AC329" s="134"/>
      <c r="AD329" s="134">
        <v>44554</v>
      </c>
      <c r="AE329" s="134"/>
      <c r="AF329" s="134">
        <f t="shared" ca="1" si="30"/>
        <v>44963</v>
      </c>
      <c r="AG329" s="126">
        <f t="shared" ca="1" si="31"/>
        <v>409</v>
      </c>
      <c r="AH329" s="126" t="str">
        <f t="shared" si="32"/>
        <v/>
      </c>
      <c r="AI329" s="134"/>
      <c r="AJ329" s="143" t="s">
        <v>1396</v>
      </c>
      <c r="AK329" s="129">
        <v>10.220000000000001</v>
      </c>
      <c r="AL329" s="129">
        <v>10.23</v>
      </c>
      <c r="AM329" s="129">
        <v>10.254999999999999</v>
      </c>
      <c r="AN329" s="129">
        <v>10.26</v>
      </c>
      <c r="AO329" s="126" t="str">
        <f t="shared" si="33"/>
        <v/>
      </c>
      <c r="AR329" s="99" t="s">
        <v>136</v>
      </c>
    </row>
    <row r="330" spans="1:59" s="99" customFormat="1" ht="21" customHeight="1" x14ac:dyDescent="0.35">
      <c r="A330" s="99">
        <v>421</v>
      </c>
      <c r="B330" s="126" t="str">
        <f t="shared" si="29"/>
        <v>0-304L/FH-001X770</v>
      </c>
      <c r="C330" s="126" t="s">
        <v>2972</v>
      </c>
      <c r="D330" s="126" t="s">
        <v>13</v>
      </c>
      <c r="E330" s="143" t="s">
        <v>1244</v>
      </c>
      <c r="F330" s="143" t="s">
        <v>1245</v>
      </c>
      <c r="G330" s="126" t="s">
        <v>230</v>
      </c>
      <c r="H330" s="126" t="s">
        <v>65</v>
      </c>
      <c r="I330" s="127">
        <v>3.78</v>
      </c>
      <c r="J330" s="127">
        <v>1.4</v>
      </c>
      <c r="K330" s="127"/>
      <c r="L330" s="127"/>
      <c r="M330" s="144">
        <v>770</v>
      </c>
      <c r="N330" s="129">
        <v>11.73</v>
      </c>
      <c r="O330" s="129">
        <v>11.775</v>
      </c>
      <c r="P330" s="129"/>
      <c r="Q330" s="130"/>
      <c r="R330" s="131"/>
      <c r="S330" s="131"/>
      <c r="T330" s="132">
        <v>44619</v>
      </c>
      <c r="U330" s="132"/>
      <c r="V330" s="132"/>
      <c r="W330" s="132"/>
      <c r="X330" s="132"/>
      <c r="Y330" s="133"/>
      <c r="Z330" s="126" t="s">
        <v>64</v>
      </c>
      <c r="AA330" s="134" t="s">
        <v>154</v>
      </c>
      <c r="AB330" s="134" t="s">
        <v>1246</v>
      </c>
      <c r="AC330" s="134"/>
      <c r="AD330" s="134">
        <v>44496</v>
      </c>
      <c r="AE330" s="134"/>
      <c r="AF330" s="134">
        <f t="shared" ca="1" si="30"/>
        <v>44963</v>
      </c>
      <c r="AG330" s="126">
        <f t="shared" ca="1" si="31"/>
        <v>467</v>
      </c>
      <c r="AH330" s="126" t="str">
        <f t="shared" si="32"/>
        <v/>
      </c>
      <c r="AI330" s="134"/>
      <c r="AJ330" s="143" t="s">
        <v>1247</v>
      </c>
      <c r="AK330" s="129">
        <v>11.73</v>
      </c>
      <c r="AL330" s="129">
        <v>11.74</v>
      </c>
      <c r="AM330" s="129">
        <v>11.764999999999999</v>
      </c>
      <c r="AN330" s="129">
        <v>11.77</v>
      </c>
      <c r="AO330" s="126" t="str">
        <f t="shared" si="33"/>
        <v/>
      </c>
      <c r="AR330" s="99" t="s">
        <v>136</v>
      </c>
    </row>
    <row r="331" spans="1:59" s="99" customFormat="1" ht="21" customHeight="1" x14ac:dyDescent="0.35">
      <c r="A331" s="99">
        <v>424</v>
      </c>
      <c r="B331" s="126" t="str">
        <f t="shared" si="29"/>
        <v>0-304L/1D-003X767</v>
      </c>
      <c r="C331" s="126" t="s">
        <v>2973</v>
      </c>
      <c r="D331" s="126" t="s">
        <v>11</v>
      </c>
      <c r="E331" s="143" t="s">
        <v>1397</v>
      </c>
      <c r="F331" s="143" t="s">
        <v>1398</v>
      </c>
      <c r="G331" s="126" t="s">
        <v>230</v>
      </c>
      <c r="H331" s="126" t="s">
        <v>139</v>
      </c>
      <c r="I331" s="127">
        <v>3.43</v>
      </c>
      <c r="J331" s="127"/>
      <c r="K331" s="127"/>
      <c r="L331" s="127"/>
      <c r="M331" s="144">
        <v>767</v>
      </c>
      <c r="N331" s="129">
        <v>10.52</v>
      </c>
      <c r="O331" s="129">
        <v>10.52</v>
      </c>
      <c r="P331" s="129"/>
      <c r="Q331" s="130"/>
      <c r="R331" s="131"/>
      <c r="S331" s="131"/>
      <c r="T331" s="132">
        <v>44619</v>
      </c>
      <c r="U331" s="132"/>
      <c r="V331" s="132"/>
      <c r="W331" s="132"/>
      <c r="X331" s="132"/>
      <c r="Y331" s="133" t="s">
        <v>1366</v>
      </c>
      <c r="Z331" s="126" t="s">
        <v>64</v>
      </c>
      <c r="AA331" s="134" t="s">
        <v>154</v>
      </c>
      <c r="AB331" s="134" t="s">
        <v>1330</v>
      </c>
      <c r="AC331" s="134"/>
      <c r="AD331" s="134">
        <v>44554</v>
      </c>
      <c r="AE331" s="134"/>
      <c r="AF331" s="134">
        <f t="shared" ca="1" si="30"/>
        <v>44963</v>
      </c>
      <c r="AG331" s="126">
        <f t="shared" ca="1" si="31"/>
        <v>409</v>
      </c>
      <c r="AH331" s="126" t="str">
        <f t="shared" si="32"/>
        <v/>
      </c>
      <c r="AI331" s="134"/>
      <c r="AJ331" s="143" t="s">
        <v>1399</v>
      </c>
      <c r="AK331" s="129">
        <v>10.52</v>
      </c>
      <c r="AL331" s="129">
        <v>10.53</v>
      </c>
      <c r="AM331" s="129">
        <v>10.554999999999998</v>
      </c>
      <c r="AN331" s="129">
        <v>10.559999999999999</v>
      </c>
      <c r="AO331" s="126" t="str">
        <f t="shared" si="33"/>
        <v/>
      </c>
      <c r="AR331" s="99" t="s">
        <v>136</v>
      </c>
    </row>
    <row r="332" spans="1:59" s="99" customFormat="1" ht="21" customHeight="1" x14ac:dyDescent="0.35">
      <c r="A332" s="99">
        <v>424</v>
      </c>
      <c r="B332" s="126" t="str">
        <f t="shared" si="29"/>
        <v>0-304L/FH-001X764</v>
      </c>
      <c r="C332" s="126" t="s">
        <v>2972</v>
      </c>
      <c r="D332" s="126" t="s">
        <v>13</v>
      </c>
      <c r="E332" s="143" t="s">
        <v>1393</v>
      </c>
      <c r="F332" s="143" t="s">
        <v>1394</v>
      </c>
      <c r="G332" s="126" t="s">
        <v>230</v>
      </c>
      <c r="H332" s="126" t="s">
        <v>65</v>
      </c>
      <c r="I332" s="127">
        <v>3.78</v>
      </c>
      <c r="J332" s="127">
        <v>1.4</v>
      </c>
      <c r="K332" s="127"/>
      <c r="L332" s="127"/>
      <c r="M332" s="144">
        <v>764</v>
      </c>
      <c r="N332" s="129">
        <v>10.220000000000001</v>
      </c>
      <c r="O332" s="129">
        <v>10.24</v>
      </c>
      <c r="P332" s="129"/>
      <c r="Q332" s="130"/>
      <c r="R332" s="131"/>
      <c r="S332" s="131"/>
      <c r="T332" s="132">
        <v>44619</v>
      </c>
      <c r="U332" s="132"/>
      <c r="V332" s="132"/>
      <c r="W332" s="132"/>
      <c r="X332" s="132"/>
      <c r="Y332" s="133" t="s">
        <v>1395</v>
      </c>
      <c r="Z332" s="126" t="s">
        <v>64</v>
      </c>
      <c r="AA332" s="134" t="s">
        <v>154</v>
      </c>
      <c r="AB332" s="134" t="s">
        <v>1330</v>
      </c>
      <c r="AC332" s="134"/>
      <c r="AD332" s="134">
        <v>44554</v>
      </c>
      <c r="AE332" s="134"/>
      <c r="AF332" s="134">
        <f t="shared" ca="1" si="30"/>
        <v>44963</v>
      </c>
      <c r="AG332" s="126">
        <f t="shared" ca="1" si="31"/>
        <v>409</v>
      </c>
      <c r="AH332" s="126" t="str">
        <f t="shared" si="32"/>
        <v/>
      </c>
      <c r="AI332" s="134"/>
      <c r="AJ332" s="143" t="s">
        <v>1396</v>
      </c>
      <c r="AK332" s="129">
        <v>10.220000000000001</v>
      </c>
      <c r="AL332" s="129">
        <v>10.23</v>
      </c>
      <c r="AM332" s="129">
        <v>10.254999999999999</v>
      </c>
      <c r="AN332" s="129">
        <v>10.26</v>
      </c>
      <c r="AO332" s="126" t="str">
        <f t="shared" si="33"/>
        <v/>
      </c>
      <c r="AR332" s="99" t="s">
        <v>136</v>
      </c>
    </row>
    <row r="333" spans="1:59" s="99" customFormat="1" ht="21" customHeight="1" x14ac:dyDescent="0.35">
      <c r="A333" s="99">
        <v>424</v>
      </c>
      <c r="B333" s="126" t="str">
        <f t="shared" si="29"/>
        <v>0-304L/1D-003X767</v>
      </c>
      <c r="C333" s="126" t="s">
        <v>2973</v>
      </c>
      <c r="D333" s="126" t="s">
        <v>11</v>
      </c>
      <c r="E333" s="143" t="s">
        <v>1372</v>
      </c>
      <c r="F333" s="143" t="s">
        <v>1373</v>
      </c>
      <c r="G333" s="126" t="s">
        <v>230</v>
      </c>
      <c r="H333" s="126" t="s">
        <v>139</v>
      </c>
      <c r="I333" s="127">
        <v>2.99</v>
      </c>
      <c r="J333" s="127"/>
      <c r="K333" s="127"/>
      <c r="L333" s="127"/>
      <c r="M333" s="144">
        <v>767</v>
      </c>
      <c r="N333" s="129">
        <v>10.355</v>
      </c>
      <c r="O333" s="129">
        <v>10.355</v>
      </c>
      <c r="P333" s="129"/>
      <c r="Q333" s="130"/>
      <c r="R333" s="131"/>
      <c r="S333" s="131"/>
      <c r="T333" s="132">
        <v>44619</v>
      </c>
      <c r="U333" s="132"/>
      <c r="V333" s="132"/>
      <c r="W333" s="132"/>
      <c r="X333" s="132"/>
      <c r="Y333" s="133" t="s">
        <v>1366</v>
      </c>
      <c r="Z333" s="126" t="s">
        <v>64</v>
      </c>
      <c r="AA333" s="134" t="s">
        <v>154</v>
      </c>
      <c r="AB333" s="134" t="s">
        <v>1330</v>
      </c>
      <c r="AC333" s="134"/>
      <c r="AD333" s="134">
        <v>44554</v>
      </c>
      <c r="AE333" s="134"/>
      <c r="AF333" s="134">
        <f t="shared" ca="1" si="30"/>
        <v>44963</v>
      </c>
      <c r="AG333" s="126">
        <f t="shared" ca="1" si="31"/>
        <v>409</v>
      </c>
      <c r="AH333" s="126" t="str">
        <f t="shared" si="32"/>
        <v/>
      </c>
      <c r="AI333" s="134"/>
      <c r="AJ333" s="143" t="s">
        <v>1371</v>
      </c>
      <c r="AK333" s="129">
        <v>10.355</v>
      </c>
      <c r="AL333" s="129">
        <v>10.365</v>
      </c>
      <c r="AM333" s="129">
        <v>10.389999999999999</v>
      </c>
      <c r="AN333" s="129">
        <v>10.395</v>
      </c>
      <c r="AO333" s="126" t="str">
        <f t="shared" si="33"/>
        <v/>
      </c>
      <c r="AR333" s="99" t="s">
        <v>136</v>
      </c>
    </row>
    <row r="334" spans="1:59" s="99" customFormat="1" ht="21" customHeight="1" x14ac:dyDescent="0.35">
      <c r="A334" s="99">
        <v>424</v>
      </c>
      <c r="B334" s="126" t="str">
        <f t="shared" si="29"/>
        <v>0-304/FH-001X771</v>
      </c>
      <c r="C334" s="126" t="s">
        <v>2972</v>
      </c>
      <c r="D334" s="126" t="s">
        <v>13</v>
      </c>
      <c r="E334" s="143" t="s">
        <v>1704</v>
      </c>
      <c r="F334" s="143" t="s">
        <v>1705</v>
      </c>
      <c r="G334" s="126">
        <v>304</v>
      </c>
      <c r="H334" s="126" t="s">
        <v>65</v>
      </c>
      <c r="I334" s="127">
        <v>3.78</v>
      </c>
      <c r="J334" s="127">
        <v>1.1000000000000001</v>
      </c>
      <c r="K334" s="127"/>
      <c r="L334" s="127"/>
      <c r="M334" s="144">
        <v>771</v>
      </c>
      <c r="N334" s="129">
        <v>11.92</v>
      </c>
      <c r="O334" s="129">
        <v>11.95</v>
      </c>
      <c r="P334" s="129"/>
      <c r="Q334" s="130"/>
      <c r="R334" s="131"/>
      <c r="S334" s="131"/>
      <c r="T334" s="132">
        <v>44619</v>
      </c>
      <c r="U334" s="132"/>
      <c r="V334" s="132"/>
      <c r="W334" s="132"/>
      <c r="X334" s="132"/>
      <c r="Y334" s="133" t="s">
        <v>1395</v>
      </c>
      <c r="Z334" s="126" t="s">
        <v>64</v>
      </c>
      <c r="AA334" s="134" t="s">
        <v>154</v>
      </c>
      <c r="AB334" s="134" t="s">
        <v>1516</v>
      </c>
      <c r="AC334" s="134"/>
      <c r="AD334" s="134">
        <v>44554</v>
      </c>
      <c r="AE334" s="134"/>
      <c r="AF334" s="134">
        <f t="shared" ca="1" si="30"/>
        <v>44963</v>
      </c>
      <c r="AG334" s="126">
        <f t="shared" ca="1" si="31"/>
        <v>409</v>
      </c>
      <c r="AH334" s="126" t="str">
        <f t="shared" si="32"/>
        <v/>
      </c>
      <c r="AI334" s="134"/>
      <c r="AJ334" s="143" t="s">
        <v>1703</v>
      </c>
      <c r="AK334" s="129">
        <v>11.92</v>
      </c>
      <c r="AL334" s="129">
        <v>11.93</v>
      </c>
      <c r="AM334" s="129">
        <v>11.954999999999998</v>
      </c>
      <c r="AN334" s="129">
        <v>11.959999999999999</v>
      </c>
      <c r="AO334" s="126" t="str">
        <f t="shared" si="33"/>
        <v/>
      </c>
      <c r="AR334" s="99" t="s">
        <v>136</v>
      </c>
    </row>
    <row r="335" spans="1:59" s="99" customFormat="1" ht="21" customHeight="1" x14ac:dyDescent="0.35">
      <c r="A335" s="99">
        <v>424</v>
      </c>
      <c r="B335" s="126" t="str">
        <f t="shared" si="29"/>
        <v>0-304L/1D-004X773</v>
      </c>
      <c r="C335" s="126" t="s">
        <v>2973</v>
      </c>
      <c r="D335" s="126" t="s">
        <v>11</v>
      </c>
      <c r="E335" s="143" t="s">
        <v>1551</v>
      </c>
      <c r="F335" s="143" t="s">
        <v>1552</v>
      </c>
      <c r="G335" s="126" t="s">
        <v>230</v>
      </c>
      <c r="H335" s="126" t="s">
        <v>139</v>
      </c>
      <c r="I335" s="127">
        <v>3.8</v>
      </c>
      <c r="J335" s="127"/>
      <c r="K335" s="127"/>
      <c r="L335" s="127"/>
      <c r="M335" s="144">
        <v>773</v>
      </c>
      <c r="N335" s="129">
        <v>10.234999999999999</v>
      </c>
      <c r="O335" s="129">
        <v>10.234999999999999</v>
      </c>
      <c r="P335" s="129"/>
      <c r="Q335" s="130"/>
      <c r="R335" s="131"/>
      <c r="S335" s="131"/>
      <c r="T335" s="132">
        <v>44619</v>
      </c>
      <c r="U335" s="132"/>
      <c r="V335" s="132"/>
      <c r="W335" s="132"/>
      <c r="X335" s="132"/>
      <c r="Y335" s="133" t="s">
        <v>1366</v>
      </c>
      <c r="Z335" s="126" t="s">
        <v>64</v>
      </c>
      <c r="AA335" s="134" t="s">
        <v>154</v>
      </c>
      <c r="AB335" s="134" t="s">
        <v>1516</v>
      </c>
      <c r="AC335" s="134"/>
      <c r="AD335" s="134">
        <v>44554</v>
      </c>
      <c r="AE335" s="134"/>
      <c r="AF335" s="134">
        <f t="shared" ca="1" si="30"/>
        <v>44963</v>
      </c>
      <c r="AG335" s="126">
        <f t="shared" ca="1" si="31"/>
        <v>409</v>
      </c>
      <c r="AH335" s="126" t="str">
        <f t="shared" si="32"/>
        <v/>
      </c>
      <c r="AI335" s="134"/>
      <c r="AJ335" s="143" t="s">
        <v>1550</v>
      </c>
      <c r="AK335" s="129">
        <v>10.234999999999999</v>
      </c>
      <c r="AL335" s="129">
        <v>10.244999999999999</v>
      </c>
      <c r="AM335" s="129">
        <v>10.269999999999998</v>
      </c>
      <c r="AN335" s="129">
        <v>10.274999999999999</v>
      </c>
      <c r="AO335" s="126" t="str">
        <f t="shared" si="33"/>
        <v/>
      </c>
      <c r="AR335" s="99" t="s">
        <v>136</v>
      </c>
    </row>
    <row r="336" spans="1:59" s="99" customFormat="1" ht="21" customHeight="1" x14ac:dyDescent="0.35">
      <c r="A336" s="99">
        <v>424</v>
      </c>
      <c r="B336" s="126" t="str">
        <f t="shared" si="29"/>
        <v>0-304L/FH-001X767</v>
      </c>
      <c r="C336" s="126" t="s">
        <v>2972</v>
      </c>
      <c r="D336" s="126" t="s">
        <v>13</v>
      </c>
      <c r="E336" s="143" t="s">
        <v>1372</v>
      </c>
      <c r="F336" s="143" t="s">
        <v>1373</v>
      </c>
      <c r="G336" s="126" t="s">
        <v>230</v>
      </c>
      <c r="H336" s="126" t="s">
        <v>65</v>
      </c>
      <c r="I336" s="127">
        <v>2.99</v>
      </c>
      <c r="J336" s="127">
        <v>1</v>
      </c>
      <c r="K336" s="127"/>
      <c r="L336" s="127"/>
      <c r="M336" s="144">
        <v>767</v>
      </c>
      <c r="N336" s="129">
        <v>10.355</v>
      </c>
      <c r="O336" s="129">
        <v>10.375</v>
      </c>
      <c r="P336" s="129"/>
      <c r="Q336" s="130"/>
      <c r="R336" s="131"/>
      <c r="S336" s="131"/>
      <c r="T336" s="132">
        <v>44619</v>
      </c>
      <c r="U336" s="132"/>
      <c r="V336" s="132"/>
      <c r="W336" s="132"/>
      <c r="X336" s="132"/>
      <c r="Y336" s="133" t="s">
        <v>1366</v>
      </c>
      <c r="Z336" s="126" t="s">
        <v>64</v>
      </c>
      <c r="AA336" s="134" t="s">
        <v>154</v>
      </c>
      <c r="AB336" s="134" t="s">
        <v>1330</v>
      </c>
      <c r="AC336" s="134"/>
      <c r="AD336" s="134">
        <v>44554</v>
      </c>
      <c r="AE336" s="134"/>
      <c r="AF336" s="134">
        <f t="shared" ca="1" si="30"/>
        <v>44963</v>
      </c>
      <c r="AG336" s="126">
        <f t="shared" ca="1" si="31"/>
        <v>409</v>
      </c>
      <c r="AH336" s="126" t="str">
        <f t="shared" si="32"/>
        <v/>
      </c>
      <c r="AI336" s="134"/>
      <c r="AJ336" s="143" t="s">
        <v>1371</v>
      </c>
      <c r="AK336" s="129">
        <v>10.355</v>
      </c>
      <c r="AL336" s="129">
        <v>10.365</v>
      </c>
      <c r="AM336" s="129">
        <v>10.389999999999999</v>
      </c>
      <c r="AN336" s="129">
        <v>10.395</v>
      </c>
      <c r="AO336" s="126" t="str">
        <f t="shared" si="33"/>
        <v/>
      </c>
      <c r="AR336" s="99" t="s">
        <v>136</v>
      </c>
    </row>
    <row r="337" spans="1:59" s="99" customFormat="1" ht="21" customHeight="1" x14ac:dyDescent="0.35">
      <c r="A337" s="99">
        <v>424</v>
      </c>
      <c r="B337" s="126" t="str">
        <f t="shared" si="29"/>
        <v>0-304/1D-003X772</v>
      </c>
      <c r="C337" s="126" t="s">
        <v>2973</v>
      </c>
      <c r="D337" s="126" t="s">
        <v>11</v>
      </c>
      <c r="E337" s="143" t="s">
        <v>1471</v>
      </c>
      <c r="F337" s="143" t="s">
        <v>1472</v>
      </c>
      <c r="G337" s="126">
        <v>304</v>
      </c>
      <c r="H337" s="126" t="s">
        <v>139</v>
      </c>
      <c r="I337" s="127">
        <v>2.9</v>
      </c>
      <c r="J337" s="127"/>
      <c r="K337" s="127"/>
      <c r="L337" s="127"/>
      <c r="M337" s="144">
        <v>772</v>
      </c>
      <c r="N337" s="129">
        <v>10.535</v>
      </c>
      <c r="O337" s="129">
        <v>10.535</v>
      </c>
      <c r="P337" s="129"/>
      <c r="Q337" s="130"/>
      <c r="R337" s="131"/>
      <c r="S337" s="131"/>
      <c r="T337" s="132">
        <v>44619</v>
      </c>
      <c r="U337" s="132"/>
      <c r="V337" s="132"/>
      <c r="W337" s="132"/>
      <c r="X337" s="132"/>
      <c r="Y337" s="133" t="s">
        <v>1366</v>
      </c>
      <c r="Z337" s="126" t="s">
        <v>64</v>
      </c>
      <c r="AA337" s="134" t="s">
        <v>154</v>
      </c>
      <c r="AB337" s="134" t="s">
        <v>1330</v>
      </c>
      <c r="AC337" s="134"/>
      <c r="AD337" s="134">
        <v>44554</v>
      </c>
      <c r="AE337" s="134"/>
      <c r="AF337" s="134">
        <f t="shared" ca="1" si="30"/>
        <v>44963</v>
      </c>
      <c r="AG337" s="126">
        <f t="shared" ca="1" si="31"/>
        <v>409</v>
      </c>
      <c r="AH337" s="126" t="str">
        <f t="shared" si="32"/>
        <v/>
      </c>
      <c r="AI337" s="134"/>
      <c r="AJ337" s="143" t="s">
        <v>1470</v>
      </c>
      <c r="AK337" s="129">
        <v>10.535</v>
      </c>
      <c r="AL337" s="129">
        <v>10.545</v>
      </c>
      <c r="AM337" s="129">
        <v>10.569999999999999</v>
      </c>
      <c r="AN337" s="129">
        <v>10.574999999999999</v>
      </c>
      <c r="AO337" s="126" t="str">
        <f t="shared" si="33"/>
        <v/>
      </c>
      <c r="AR337" s="99" t="s">
        <v>136</v>
      </c>
    </row>
    <row r="338" spans="1:59" s="99" customFormat="1" ht="21" customHeight="1" x14ac:dyDescent="0.35">
      <c r="A338" s="99">
        <v>424</v>
      </c>
      <c r="B338" s="126" t="str">
        <f t="shared" si="29"/>
        <v>0-304L/FH-001X767</v>
      </c>
      <c r="C338" s="126" t="s">
        <v>2972</v>
      </c>
      <c r="D338" s="126" t="s">
        <v>13</v>
      </c>
      <c r="E338" s="143" t="s">
        <v>1397</v>
      </c>
      <c r="F338" s="143" t="s">
        <v>1398</v>
      </c>
      <c r="G338" s="126" t="s">
        <v>230</v>
      </c>
      <c r="H338" s="126" t="s">
        <v>65</v>
      </c>
      <c r="I338" s="127">
        <v>3.43</v>
      </c>
      <c r="J338" s="127">
        <v>1</v>
      </c>
      <c r="K338" s="127"/>
      <c r="L338" s="127"/>
      <c r="M338" s="144">
        <v>767</v>
      </c>
      <c r="N338" s="129">
        <v>10.52</v>
      </c>
      <c r="O338" s="129">
        <v>10.515000000000001</v>
      </c>
      <c r="P338" s="129"/>
      <c r="Q338" s="130"/>
      <c r="R338" s="131"/>
      <c r="S338" s="131"/>
      <c r="T338" s="132">
        <v>44619</v>
      </c>
      <c r="U338" s="132"/>
      <c r="V338" s="132"/>
      <c r="W338" s="132"/>
      <c r="X338" s="132"/>
      <c r="Y338" s="133" t="s">
        <v>1366</v>
      </c>
      <c r="Z338" s="126" t="s">
        <v>64</v>
      </c>
      <c r="AA338" s="134" t="s">
        <v>154</v>
      </c>
      <c r="AB338" s="134" t="s">
        <v>1330</v>
      </c>
      <c r="AC338" s="134"/>
      <c r="AD338" s="134">
        <v>44554</v>
      </c>
      <c r="AE338" s="134"/>
      <c r="AF338" s="134">
        <f t="shared" ca="1" si="30"/>
        <v>44963</v>
      </c>
      <c r="AG338" s="126">
        <f t="shared" ca="1" si="31"/>
        <v>409</v>
      </c>
      <c r="AH338" s="126" t="str">
        <f t="shared" si="32"/>
        <v/>
      </c>
      <c r="AI338" s="134"/>
      <c r="AJ338" s="143" t="s">
        <v>1399</v>
      </c>
      <c r="AK338" s="129">
        <v>10.52</v>
      </c>
      <c r="AL338" s="129">
        <v>10.53</v>
      </c>
      <c r="AM338" s="129">
        <v>10.554999999999998</v>
      </c>
      <c r="AN338" s="129">
        <v>10.559999999999999</v>
      </c>
      <c r="AO338" s="126" t="str">
        <f t="shared" si="33"/>
        <v/>
      </c>
      <c r="AR338" s="99" t="s">
        <v>136</v>
      </c>
    </row>
    <row r="339" spans="1:59" s="99" customFormat="1" ht="21" customHeight="1" x14ac:dyDescent="0.35">
      <c r="A339" s="99">
        <v>424</v>
      </c>
      <c r="B339" s="126" t="str">
        <f t="shared" si="29"/>
        <v>0-304L/1D-003X768</v>
      </c>
      <c r="C339" s="126" t="s">
        <v>2973</v>
      </c>
      <c r="D339" s="126" t="s">
        <v>11</v>
      </c>
      <c r="E339" s="143" t="s">
        <v>1481</v>
      </c>
      <c r="F339" s="143" t="s">
        <v>1482</v>
      </c>
      <c r="G339" s="126" t="s">
        <v>230</v>
      </c>
      <c r="H339" s="126" t="s">
        <v>139</v>
      </c>
      <c r="I339" s="127">
        <v>3.45</v>
      </c>
      <c r="J339" s="127"/>
      <c r="K339" s="127"/>
      <c r="L339" s="127"/>
      <c r="M339" s="144">
        <v>768</v>
      </c>
      <c r="N339" s="129">
        <v>12.23</v>
      </c>
      <c r="O339" s="129">
        <v>12.23</v>
      </c>
      <c r="P339" s="129"/>
      <c r="Q339" s="130"/>
      <c r="R339" s="131"/>
      <c r="S339" s="131"/>
      <c r="T339" s="132">
        <v>44619</v>
      </c>
      <c r="U339" s="132"/>
      <c r="V339" s="132"/>
      <c r="W339" s="132"/>
      <c r="X339" s="132"/>
      <c r="Y339" s="133" t="s">
        <v>1366</v>
      </c>
      <c r="Z339" s="126" t="s">
        <v>64</v>
      </c>
      <c r="AA339" s="134" t="s">
        <v>154</v>
      </c>
      <c r="AB339" s="134" t="s">
        <v>1330</v>
      </c>
      <c r="AC339" s="134"/>
      <c r="AD339" s="134">
        <v>44554</v>
      </c>
      <c r="AE339" s="134"/>
      <c r="AF339" s="134">
        <f t="shared" ca="1" si="30"/>
        <v>44963</v>
      </c>
      <c r="AG339" s="126">
        <f t="shared" ca="1" si="31"/>
        <v>409</v>
      </c>
      <c r="AH339" s="126" t="str">
        <f t="shared" si="32"/>
        <v/>
      </c>
      <c r="AI339" s="134"/>
      <c r="AJ339" s="143" t="s">
        <v>1480</v>
      </c>
      <c r="AK339" s="129">
        <v>12.23</v>
      </c>
      <c r="AL339" s="129">
        <v>12.24</v>
      </c>
      <c r="AM339" s="129">
        <v>12.264999999999999</v>
      </c>
      <c r="AN339" s="129">
        <v>12.27</v>
      </c>
      <c r="AO339" s="126" t="str">
        <f t="shared" si="33"/>
        <v/>
      </c>
      <c r="AR339" s="99" t="s">
        <v>136</v>
      </c>
    </row>
    <row r="340" spans="1:59" s="99" customFormat="1" ht="21" customHeight="1" x14ac:dyDescent="0.35">
      <c r="A340" s="99">
        <v>424</v>
      </c>
      <c r="B340" s="126" t="str">
        <f t="shared" si="29"/>
        <v>0-304/FH-001X772</v>
      </c>
      <c r="C340" s="126" t="s">
        <v>2972</v>
      </c>
      <c r="D340" s="126" t="s">
        <v>13</v>
      </c>
      <c r="E340" s="143" t="s">
        <v>1471</v>
      </c>
      <c r="F340" s="143" t="s">
        <v>1472</v>
      </c>
      <c r="G340" s="126">
        <v>304</v>
      </c>
      <c r="H340" s="126" t="s">
        <v>65</v>
      </c>
      <c r="I340" s="127">
        <v>2.9</v>
      </c>
      <c r="J340" s="127">
        <v>1</v>
      </c>
      <c r="K340" s="127"/>
      <c r="L340" s="127"/>
      <c r="M340" s="144">
        <v>772</v>
      </c>
      <c r="N340" s="129">
        <v>10.535</v>
      </c>
      <c r="O340" s="129">
        <v>10.535</v>
      </c>
      <c r="P340" s="129"/>
      <c r="Q340" s="130"/>
      <c r="R340" s="131"/>
      <c r="S340" s="131"/>
      <c r="T340" s="132">
        <v>44619</v>
      </c>
      <c r="U340" s="132"/>
      <c r="V340" s="132"/>
      <c r="W340" s="132"/>
      <c r="X340" s="132"/>
      <c r="Y340" s="133" t="s">
        <v>1366</v>
      </c>
      <c r="Z340" s="126" t="s">
        <v>64</v>
      </c>
      <c r="AA340" s="134" t="s">
        <v>154</v>
      </c>
      <c r="AB340" s="134" t="s">
        <v>1330</v>
      </c>
      <c r="AC340" s="134"/>
      <c r="AD340" s="134">
        <v>44554</v>
      </c>
      <c r="AE340" s="134"/>
      <c r="AF340" s="134">
        <f t="shared" ca="1" si="30"/>
        <v>44963</v>
      </c>
      <c r="AG340" s="126">
        <f t="shared" ca="1" si="31"/>
        <v>409</v>
      </c>
      <c r="AH340" s="126" t="str">
        <f t="shared" si="32"/>
        <v/>
      </c>
      <c r="AI340" s="134"/>
      <c r="AJ340" s="143" t="s">
        <v>1470</v>
      </c>
      <c r="AK340" s="129">
        <v>10.535</v>
      </c>
      <c r="AL340" s="129">
        <v>10.545</v>
      </c>
      <c r="AM340" s="129">
        <v>10.569999999999999</v>
      </c>
      <c r="AN340" s="129">
        <v>10.574999999999999</v>
      </c>
      <c r="AO340" s="126" t="str">
        <f t="shared" si="33"/>
        <v/>
      </c>
      <c r="AR340" s="99" t="s">
        <v>136</v>
      </c>
    </row>
    <row r="341" spans="1:59" s="99" customFormat="1" ht="21" customHeight="1" x14ac:dyDescent="0.35">
      <c r="A341" s="99">
        <v>424</v>
      </c>
      <c r="B341" s="126" t="str">
        <f t="shared" si="29"/>
        <v>0-304L/1D-003X767</v>
      </c>
      <c r="C341" s="126" t="s">
        <v>2973</v>
      </c>
      <c r="D341" s="126" t="s">
        <v>11</v>
      </c>
      <c r="E341" s="143" t="s">
        <v>1506</v>
      </c>
      <c r="F341" s="143" t="s">
        <v>1507</v>
      </c>
      <c r="G341" s="126" t="s">
        <v>230</v>
      </c>
      <c r="H341" s="126" t="s">
        <v>139</v>
      </c>
      <c r="I341" s="127">
        <v>3.43</v>
      </c>
      <c r="J341" s="127"/>
      <c r="K341" s="127"/>
      <c r="L341" s="127"/>
      <c r="M341" s="144">
        <v>767</v>
      </c>
      <c r="N341" s="129">
        <v>12.285</v>
      </c>
      <c r="O341" s="129">
        <v>12.285</v>
      </c>
      <c r="P341" s="129"/>
      <c r="Q341" s="130"/>
      <c r="R341" s="131"/>
      <c r="S341" s="131"/>
      <c r="T341" s="132">
        <v>44619</v>
      </c>
      <c r="U341" s="132"/>
      <c r="V341" s="132"/>
      <c r="W341" s="132"/>
      <c r="X341" s="132"/>
      <c r="Y341" s="133" t="s">
        <v>1366</v>
      </c>
      <c r="Z341" s="126" t="s">
        <v>64</v>
      </c>
      <c r="AA341" s="134" t="s">
        <v>154</v>
      </c>
      <c r="AB341" s="134" t="s">
        <v>1330</v>
      </c>
      <c r="AC341" s="134"/>
      <c r="AD341" s="134">
        <v>44554</v>
      </c>
      <c r="AE341" s="134"/>
      <c r="AF341" s="134">
        <f t="shared" ca="1" si="30"/>
        <v>44963</v>
      </c>
      <c r="AG341" s="126">
        <f t="shared" ca="1" si="31"/>
        <v>409</v>
      </c>
      <c r="AH341" s="126" t="str">
        <f t="shared" si="32"/>
        <v/>
      </c>
      <c r="AI341" s="134"/>
      <c r="AJ341" s="143" t="s">
        <v>1505</v>
      </c>
      <c r="AK341" s="129">
        <v>12.285</v>
      </c>
      <c r="AL341" s="129">
        <v>12.295</v>
      </c>
      <c r="AM341" s="129">
        <v>12.319999999999999</v>
      </c>
      <c r="AN341" s="129">
        <v>12.324999999999999</v>
      </c>
      <c r="AO341" s="126" t="str">
        <f t="shared" si="33"/>
        <v/>
      </c>
      <c r="AR341" s="99" t="s">
        <v>136</v>
      </c>
    </row>
    <row r="342" spans="1:59" s="99" customFormat="1" ht="21" customHeight="1" x14ac:dyDescent="0.35">
      <c r="A342" s="99">
        <v>417</v>
      </c>
      <c r="B342" s="126" t="str">
        <f t="shared" si="29"/>
        <v>0-316L/FH-001X770</v>
      </c>
      <c r="C342" s="126" t="s">
        <v>2972</v>
      </c>
      <c r="D342" s="126" t="s">
        <v>13</v>
      </c>
      <c r="E342" s="143" t="s">
        <v>1163</v>
      </c>
      <c r="F342" s="143" t="s">
        <v>1164</v>
      </c>
      <c r="G342" s="126" t="s">
        <v>148</v>
      </c>
      <c r="H342" s="126" t="s">
        <v>65</v>
      </c>
      <c r="I342" s="127">
        <v>2</v>
      </c>
      <c r="J342" s="127">
        <v>1.17</v>
      </c>
      <c r="K342" s="127"/>
      <c r="L342" s="127"/>
      <c r="M342" s="144">
        <v>770</v>
      </c>
      <c r="N342" s="129">
        <v>5.375</v>
      </c>
      <c r="O342" s="129">
        <v>5.3650000000000002</v>
      </c>
      <c r="P342" s="129"/>
      <c r="Q342" s="130" t="s">
        <v>1165</v>
      </c>
      <c r="R342" s="131" t="s">
        <v>390</v>
      </c>
      <c r="S342" s="131"/>
      <c r="T342" s="132" t="s">
        <v>1166</v>
      </c>
      <c r="U342" s="132">
        <v>44442</v>
      </c>
      <c r="V342" s="132">
        <v>44445</v>
      </c>
      <c r="W342" s="132"/>
      <c r="X342" s="132"/>
      <c r="Y342" s="133"/>
      <c r="Z342" s="126" t="s">
        <v>64</v>
      </c>
      <c r="AA342" s="134" t="s">
        <v>154</v>
      </c>
      <c r="AB342" s="134" t="s">
        <v>1169</v>
      </c>
      <c r="AC342" s="134"/>
      <c r="AD342" s="134">
        <v>44431</v>
      </c>
      <c r="AE342" s="134"/>
      <c r="AF342" s="134">
        <f t="shared" ca="1" si="30"/>
        <v>44963</v>
      </c>
      <c r="AG342" s="126">
        <f t="shared" ca="1" si="31"/>
        <v>532</v>
      </c>
      <c r="AH342" s="126">
        <f t="shared" ca="1" si="32"/>
        <v>518</v>
      </c>
      <c r="AI342" s="134"/>
      <c r="AJ342" s="143" t="s">
        <v>1170</v>
      </c>
      <c r="AK342" s="129">
        <v>10.585000000000001</v>
      </c>
      <c r="AL342" s="129">
        <v>10.595000000000001</v>
      </c>
      <c r="AM342" s="129">
        <v>10.62</v>
      </c>
      <c r="AN342" s="129">
        <v>10.625</v>
      </c>
      <c r="AO342" s="126">
        <f t="shared" ca="1" si="33"/>
        <v>521</v>
      </c>
      <c r="AR342" s="99" t="s">
        <v>136</v>
      </c>
      <c r="BG342" s="135" t="s">
        <v>157</v>
      </c>
    </row>
    <row r="343" spans="1:59" s="99" customFormat="1" ht="21" customHeight="1" x14ac:dyDescent="0.35">
      <c r="A343" s="99">
        <v>424</v>
      </c>
      <c r="B343" s="126" t="str">
        <f t="shared" si="29"/>
        <v>0-304L/1D-003X773</v>
      </c>
      <c r="C343" s="126" t="s">
        <v>2973</v>
      </c>
      <c r="D343" s="126" t="s">
        <v>11</v>
      </c>
      <c r="E343" s="143" t="s">
        <v>1363</v>
      </c>
      <c r="F343" s="143" t="s">
        <v>1364</v>
      </c>
      <c r="G343" s="126" t="s">
        <v>230</v>
      </c>
      <c r="H343" s="126" t="s">
        <v>139</v>
      </c>
      <c r="I343" s="127">
        <v>3.49</v>
      </c>
      <c r="J343" s="127"/>
      <c r="K343" s="127"/>
      <c r="L343" s="127"/>
      <c r="M343" s="144">
        <v>773</v>
      </c>
      <c r="N343" s="129">
        <v>10</v>
      </c>
      <c r="O343" s="129">
        <v>10</v>
      </c>
      <c r="P343" s="129"/>
      <c r="Q343" s="130"/>
      <c r="R343" s="131"/>
      <c r="S343" s="131"/>
      <c r="T343" s="132">
        <v>44619</v>
      </c>
      <c r="U343" s="132"/>
      <c r="V343" s="132"/>
      <c r="W343" s="132"/>
      <c r="X343" s="132"/>
      <c r="Y343" s="133" t="s">
        <v>1366</v>
      </c>
      <c r="Z343" s="126" t="s">
        <v>64</v>
      </c>
      <c r="AA343" s="134" t="s">
        <v>154</v>
      </c>
      <c r="AB343" s="134" t="s">
        <v>1330</v>
      </c>
      <c r="AC343" s="134"/>
      <c r="AD343" s="134">
        <v>44554</v>
      </c>
      <c r="AE343" s="134"/>
      <c r="AF343" s="134">
        <f t="shared" ca="1" si="30"/>
        <v>44963</v>
      </c>
      <c r="AG343" s="126">
        <f t="shared" ca="1" si="31"/>
        <v>409</v>
      </c>
      <c r="AH343" s="126" t="str">
        <f t="shared" si="32"/>
        <v/>
      </c>
      <c r="AI343" s="134"/>
      <c r="AJ343" s="143" t="s">
        <v>1367</v>
      </c>
      <c r="AK343" s="129">
        <v>10</v>
      </c>
      <c r="AL343" s="129">
        <v>10.01</v>
      </c>
      <c r="AM343" s="129">
        <v>10.034999999999998</v>
      </c>
      <c r="AN343" s="129">
        <v>10.039999999999999</v>
      </c>
      <c r="AO343" s="126" t="str">
        <f t="shared" si="33"/>
        <v/>
      </c>
      <c r="AR343" s="99" t="s">
        <v>136</v>
      </c>
    </row>
    <row r="344" spans="1:59" s="99" customFormat="1" ht="21" customHeight="1" x14ac:dyDescent="0.35">
      <c r="A344" s="99">
        <v>424</v>
      </c>
      <c r="B344" s="126" t="str">
        <f t="shared" si="29"/>
        <v>0-304L/FH-001X767</v>
      </c>
      <c r="C344" s="126" t="s">
        <v>2974</v>
      </c>
      <c r="D344" s="126" t="s">
        <v>13</v>
      </c>
      <c r="E344" s="143" t="s">
        <v>1506</v>
      </c>
      <c r="F344" s="143" t="s">
        <v>1507</v>
      </c>
      <c r="G344" s="126" t="s">
        <v>230</v>
      </c>
      <c r="H344" s="126" t="s">
        <v>65</v>
      </c>
      <c r="I344" s="127">
        <v>3.43</v>
      </c>
      <c r="J344" s="127">
        <v>1</v>
      </c>
      <c r="K344" s="127"/>
      <c r="L344" s="127"/>
      <c r="M344" s="144">
        <v>767</v>
      </c>
      <c r="N344" s="129">
        <v>12.285</v>
      </c>
      <c r="O344" s="129">
        <v>12.295</v>
      </c>
      <c r="P344" s="129"/>
      <c r="Q344" s="130"/>
      <c r="R344" s="131"/>
      <c r="S344" s="131"/>
      <c r="T344" s="132">
        <v>44619</v>
      </c>
      <c r="U344" s="132"/>
      <c r="V344" s="132"/>
      <c r="W344" s="132"/>
      <c r="X344" s="132"/>
      <c r="Y344" s="133" t="s">
        <v>1366</v>
      </c>
      <c r="Z344" s="126" t="s">
        <v>64</v>
      </c>
      <c r="AA344" s="134" t="s">
        <v>154</v>
      </c>
      <c r="AB344" s="134" t="s">
        <v>1330</v>
      </c>
      <c r="AC344" s="134"/>
      <c r="AD344" s="134">
        <v>44554</v>
      </c>
      <c r="AE344" s="134"/>
      <c r="AF344" s="134">
        <f t="shared" ca="1" si="30"/>
        <v>44963</v>
      </c>
      <c r="AG344" s="126">
        <f t="shared" ca="1" si="31"/>
        <v>409</v>
      </c>
      <c r="AH344" s="126" t="str">
        <f t="shared" si="32"/>
        <v/>
      </c>
      <c r="AI344" s="134"/>
      <c r="AJ344" s="143" t="s">
        <v>1505</v>
      </c>
      <c r="AK344" s="129">
        <v>12.285</v>
      </c>
      <c r="AL344" s="129">
        <v>12.295</v>
      </c>
      <c r="AM344" s="129">
        <v>12.319999999999999</v>
      </c>
      <c r="AN344" s="129">
        <v>12.324999999999999</v>
      </c>
      <c r="AO344" s="126" t="str">
        <f t="shared" si="33"/>
        <v/>
      </c>
      <c r="AR344" s="99" t="s">
        <v>136</v>
      </c>
    </row>
    <row r="345" spans="1:59" s="99" customFormat="1" ht="21" customHeight="1" x14ac:dyDescent="0.35">
      <c r="A345" s="99">
        <v>424</v>
      </c>
      <c r="B345" s="126" t="str">
        <f t="shared" si="29"/>
        <v>0-304L/1D-003X768</v>
      </c>
      <c r="C345" s="126" t="s">
        <v>2975</v>
      </c>
      <c r="D345" s="126" t="s">
        <v>11</v>
      </c>
      <c r="E345" s="143" t="s">
        <v>1503</v>
      </c>
      <c r="F345" s="143" t="s">
        <v>1504</v>
      </c>
      <c r="G345" s="126" t="s">
        <v>230</v>
      </c>
      <c r="H345" s="126" t="s">
        <v>139</v>
      </c>
      <c r="I345" s="127">
        <v>3.42</v>
      </c>
      <c r="J345" s="127"/>
      <c r="K345" s="127"/>
      <c r="L345" s="127"/>
      <c r="M345" s="144">
        <v>768</v>
      </c>
      <c r="N345" s="129">
        <v>12.31</v>
      </c>
      <c r="O345" s="129">
        <v>12.31</v>
      </c>
      <c r="P345" s="129"/>
      <c r="Q345" s="130"/>
      <c r="R345" s="131"/>
      <c r="S345" s="131"/>
      <c r="T345" s="132">
        <v>44620</v>
      </c>
      <c r="U345" s="132"/>
      <c r="V345" s="132"/>
      <c r="W345" s="132"/>
      <c r="X345" s="132"/>
      <c r="Y345" s="133" t="s">
        <v>1366</v>
      </c>
      <c r="Z345" s="126" t="s">
        <v>64</v>
      </c>
      <c r="AA345" s="134" t="s">
        <v>154</v>
      </c>
      <c r="AB345" s="134" t="s">
        <v>1330</v>
      </c>
      <c r="AC345" s="134"/>
      <c r="AD345" s="134">
        <v>44554</v>
      </c>
      <c r="AE345" s="134"/>
      <c r="AF345" s="134">
        <f t="shared" ca="1" si="30"/>
        <v>44963</v>
      </c>
      <c r="AG345" s="126">
        <f t="shared" ca="1" si="31"/>
        <v>409</v>
      </c>
      <c r="AH345" s="126" t="str">
        <f t="shared" si="32"/>
        <v/>
      </c>
      <c r="AI345" s="134"/>
      <c r="AJ345" s="143" t="s">
        <v>1505</v>
      </c>
      <c r="AK345" s="129">
        <v>12.31</v>
      </c>
      <c r="AL345" s="129">
        <v>12.32</v>
      </c>
      <c r="AM345" s="129">
        <v>12.344999999999999</v>
      </c>
      <c r="AN345" s="129">
        <v>12.35</v>
      </c>
      <c r="AO345" s="126" t="str">
        <f t="shared" si="33"/>
        <v/>
      </c>
      <c r="AR345" s="99" t="s">
        <v>136</v>
      </c>
    </row>
    <row r="346" spans="1:59" s="99" customFormat="1" ht="21" customHeight="1" x14ac:dyDescent="0.35">
      <c r="A346" s="99">
        <v>424</v>
      </c>
      <c r="B346" s="126" t="str">
        <f t="shared" si="29"/>
        <v>0-304L/FH-001X773</v>
      </c>
      <c r="C346" s="126" t="s">
        <v>2974</v>
      </c>
      <c r="D346" s="126" t="s">
        <v>13</v>
      </c>
      <c r="E346" s="143" t="s">
        <v>1363</v>
      </c>
      <c r="F346" s="143" t="s">
        <v>1364</v>
      </c>
      <c r="G346" s="126" t="s">
        <v>230</v>
      </c>
      <c r="H346" s="126" t="s">
        <v>65</v>
      </c>
      <c r="I346" s="127">
        <v>3.49</v>
      </c>
      <c r="J346" s="127">
        <v>1.2</v>
      </c>
      <c r="K346" s="127"/>
      <c r="L346" s="127"/>
      <c r="M346" s="144">
        <v>773</v>
      </c>
      <c r="N346" s="129">
        <v>10</v>
      </c>
      <c r="O346" s="129">
        <v>10.015000000000001</v>
      </c>
      <c r="P346" s="129"/>
      <c r="Q346" s="130"/>
      <c r="R346" s="131"/>
      <c r="S346" s="131"/>
      <c r="T346" s="132">
        <v>44619</v>
      </c>
      <c r="U346" s="132"/>
      <c r="V346" s="132"/>
      <c r="W346" s="132"/>
      <c r="X346" s="132"/>
      <c r="Y346" s="133" t="s">
        <v>1366</v>
      </c>
      <c r="Z346" s="126" t="s">
        <v>64</v>
      </c>
      <c r="AA346" s="134" t="s">
        <v>154</v>
      </c>
      <c r="AB346" s="134" t="s">
        <v>1330</v>
      </c>
      <c r="AC346" s="134"/>
      <c r="AD346" s="134">
        <v>44554</v>
      </c>
      <c r="AE346" s="134"/>
      <c r="AF346" s="134">
        <f t="shared" ca="1" si="30"/>
        <v>44963</v>
      </c>
      <c r="AG346" s="126">
        <f t="shared" ca="1" si="31"/>
        <v>409</v>
      </c>
      <c r="AH346" s="126" t="str">
        <f t="shared" si="32"/>
        <v/>
      </c>
      <c r="AI346" s="134"/>
      <c r="AJ346" s="143" t="s">
        <v>1367</v>
      </c>
      <c r="AK346" s="129">
        <v>10</v>
      </c>
      <c r="AL346" s="129">
        <v>10.01</v>
      </c>
      <c r="AM346" s="129">
        <v>10.034999999999998</v>
      </c>
      <c r="AN346" s="129">
        <v>10.039999999999999</v>
      </c>
      <c r="AO346" s="126" t="str">
        <f t="shared" si="33"/>
        <v/>
      </c>
      <c r="AR346" s="99" t="s">
        <v>136</v>
      </c>
    </row>
    <row r="347" spans="1:59" s="99" customFormat="1" ht="21" customHeight="1" x14ac:dyDescent="0.35">
      <c r="A347" s="99">
        <v>424</v>
      </c>
      <c r="B347" s="126" t="str">
        <f t="shared" si="29"/>
        <v>0-304L/1D-003X768</v>
      </c>
      <c r="C347" s="126" t="s">
        <v>2975</v>
      </c>
      <c r="D347" s="126" t="s">
        <v>11</v>
      </c>
      <c r="E347" s="143" t="s">
        <v>1368</v>
      </c>
      <c r="F347" s="143" t="s">
        <v>1369</v>
      </c>
      <c r="G347" s="126" t="s">
        <v>230</v>
      </c>
      <c r="H347" s="126" t="s">
        <v>139</v>
      </c>
      <c r="I347" s="127">
        <v>2.99</v>
      </c>
      <c r="J347" s="127"/>
      <c r="K347" s="127"/>
      <c r="L347" s="127"/>
      <c r="M347" s="144">
        <v>768</v>
      </c>
      <c r="N347" s="129">
        <v>10.375</v>
      </c>
      <c r="O347" s="129">
        <v>10.375</v>
      </c>
      <c r="P347" s="129"/>
      <c r="Q347" s="130"/>
      <c r="R347" s="131"/>
      <c r="S347" s="131"/>
      <c r="T347" s="132">
        <v>44620</v>
      </c>
      <c r="U347" s="132"/>
      <c r="V347" s="132"/>
      <c r="W347" s="132"/>
      <c r="X347" s="132"/>
      <c r="Y347" s="133" t="s">
        <v>1366</v>
      </c>
      <c r="Z347" s="126" t="s">
        <v>64</v>
      </c>
      <c r="AA347" s="134" t="s">
        <v>154</v>
      </c>
      <c r="AB347" s="134" t="s">
        <v>1330</v>
      </c>
      <c r="AC347" s="134"/>
      <c r="AD347" s="134">
        <v>44554</v>
      </c>
      <c r="AE347" s="134"/>
      <c r="AF347" s="134">
        <f t="shared" ca="1" si="30"/>
        <v>44963</v>
      </c>
      <c r="AG347" s="126">
        <f t="shared" ca="1" si="31"/>
        <v>409</v>
      </c>
      <c r="AH347" s="126" t="str">
        <f t="shared" si="32"/>
        <v/>
      </c>
      <c r="AI347" s="134"/>
      <c r="AJ347" s="143" t="s">
        <v>1371</v>
      </c>
      <c r="AK347" s="129">
        <v>10.375</v>
      </c>
      <c r="AL347" s="129">
        <v>10.385</v>
      </c>
      <c r="AM347" s="129">
        <v>10.409999999999998</v>
      </c>
      <c r="AN347" s="129">
        <v>10.414999999999999</v>
      </c>
      <c r="AO347" s="126" t="str">
        <f t="shared" si="33"/>
        <v/>
      </c>
      <c r="AR347" s="99" t="s">
        <v>136</v>
      </c>
    </row>
    <row r="348" spans="1:59" s="99" customFormat="1" ht="21" customHeight="1" x14ac:dyDescent="0.35">
      <c r="A348" s="99">
        <v>424</v>
      </c>
      <c r="B348" s="126" t="str">
        <f t="shared" si="29"/>
        <v>0-304L/FH-001X768</v>
      </c>
      <c r="C348" s="126" t="s">
        <v>2974</v>
      </c>
      <c r="D348" s="126" t="s">
        <v>13</v>
      </c>
      <c r="E348" s="143" t="s">
        <v>1503</v>
      </c>
      <c r="F348" s="143" t="s">
        <v>1504</v>
      </c>
      <c r="G348" s="126" t="s">
        <v>230</v>
      </c>
      <c r="H348" s="126" t="s">
        <v>65</v>
      </c>
      <c r="I348" s="127">
        <v>3.42</v>
      </c>
      <c r="J348" s="127">
        <v>1</v>
      </c>
      <c r="K348" s="127"/>
      <c r="L348" s="127"/>
      <c r="M348" s="144">
        <v>768</v>
      </c>
      <c r="N348" s="129">
        <v>12.31</v>
      </c>
      <c r="O348" s="129">
        <v>12.315</v>
      </c>
      <c r="P348" s="129"/>
      <c r="Q348" s="130"/>
      <c r="R348" s="131"/>
      <c r="S348" s="131"/>
      <c r="T348" s="132">
        <v>44620</v>
      </c>
      <c r="U348" s="132"/>
      <c r="V348" s="132"/>
      <c r="W348" s="132"/>
      <c r="X348" s="132"/>
      <c r="Y348" s="133" t="s">
        <v>1366</v>
      </c>
      <c r="Z348" s="126" t="s">
        <v>64</v>
      </c>
      <c r="AA348" s="134" t="s">
        <v>154</v>
      </c>
      <c r="AB348" s="134" t="s">
        <v>1330</v>
      </c>
      <c r="AC348" s="134"/>
      <c r="AD348" s="134">
        <v>44554</v>
      </c>
      <c r="AE348" s="134"/>
      <c r="AF348" s="134">
        <f t="shared" ca="1" si="30"/>
        <v>44963</v>
      </c>
      <c r="AG348" s="126">
        <f t="shared" ca="1" si="31"/>
        <v>409</v>
      </c>
      <c r="AH348" s="126" t="str">
        <f t="shared" si="32"/>
        <v/>
      </c>
      <c r="AI348" s="134"/>
      <c r="AJ348" s="143" t="s">
        <v>1505</v>
      </c>
      <c r="AK348" s="129">
        <v>12.31</v>
      </c>
      <c r="AL348" s="129">
        <v>12.32</v>
      </c>
      <c r="AM348" s="129">
        <v>12.344999999999999</v>
      </c>
      <c r="AN348" s="129">
        <v>12.35</v>
      </c>
      <c r="AO348" s="126" t="str">
        <f t="shared" si="33"/>
        <v/>
      </c>
      <c r="AR348" s="99" t="s">
        <v>136</v>
      </c>
    </row>
    <row r="349" spans="1:59" s="99" customFormat="1" ht="21" customHeight="1" x14ac:dyDescent="0.35">
      <c r="A349" s="99">
        <v>424</v>
      </c>
      <c r="B349" s="126" t="str">
        <f t="shared" si="29"/>
        <v>0-304L/1D-003X770</v>
      </c>
      <c r="C349" s="126" t="s">
        <v>2975</v>
      </c>
      <c r="D349" s="126" t="s">
        <v>11</v>
      </c>
      <c r="E349" s="143" t="s">
        <v>1428</v>
      </c>
      <c r="F349" s="143" t="s">
        <v>1429</v>
      </c>
      <c r="G349" s="126" t="s">
        <v>230</v>
      </c>
      <c r="H349" s="126" t="s">
        <v>139</v>
      </c>
      <c r="I349" s="127">
        <v>2.98</v>
      </c>
      <c r="J349" s="127"/>
      <c r="K349" s="127"/>
      <c r="L349" s="127"/>
      <c r="M349" s="144">
        <v>770</v>
      </c>
      <c r="N349" s="129">
        <v>10.404999999999999</v>
      </c>
      <c r="O349" s="129">
        <v>10.404999999999999</v>
      </c>
      <c r="P349" s="129"/>
      <c r="Q349" s="130"/>
      <c r="R349" s="131"/>
      <c r="S349" s="131"/>
      <c r="T349" s="132">
        <v>44620</v>
      </c>
      <c r="U349" s="132"/>
      <c r="V349" s="132"/>
      <c r="W349" s="132"/>
      <c r="X349" s="132"/>
      <c r="Y349" s="133" t="s">
        <v>1366</v>
      </c>
      <c r="Z349" s="126" t="s">
        <v>64</v>
      </c>
      <c r="AA349" s="134" t="s">
        <v>154</v>
      </c>
      <c r="AB349" s="134" t="s">
        <v>1330</v>
      </c>
      <c r="AC349" s="134"/>
      <c r="AD349" s="134">
        <v>44554</v>
      </c>
      <c r="AE349" s="134"/>
      <c r="AF349" s="134">
        <f t="shared" ca="1" si="30"/>
        <v>44963</v>
      </c>
      <c r="AG349" s="126">
        <f t="shared" ca="1" si="31"/>
        <v>409</v>
      </c>
      <c r="AH349" s="126" t="str">
        <f t="shared" si="32"/>
        <v/>
      </c>
      <c r="AI349" s="134"/>
      <c r="AJ349" s="143" t="s">
        <v>1430</v>
      </c>
      <c r="AK349" s="129">
        <v>10.404999999999999</v>
      </c>
      <c r="AL349" s="129">
        <v>10.414999999999999</v>
      </c>
      <c r="AM349" s="129">
        <v>10.439999999999998</v>
      </c>
      <c r="AN349" s="129">
        <v>10.444999999999999</v>
      </c>
      <c r="AO349" s="126" t="str">
        <f t="shared" si="33"/>
        <v/>
      </c>
      <c r="AR349" s="99" t="s">
        <v>136</v>
      </c>
    </row>
    <row r="350" spans="1:59" s="99" customFormat="1" ht="21" customHeight="1" x14ac:dyDescent="0.35">
      <c r="A350" s="99">
        <v>424</v>
      </c>
      <c r="B350" s="126" t="str">
        <f t="shared" si="29"/>
        <v>0-304L/FH-001X768</v>
      </c>
      <c r="C350" s="126" t="s">
        <v>2974</v>
      </c>
      <c r="D350" s="126" t="s">
        <v>13</v>
      </c>
      <c r="E350" s="143" t="s">
        <v>1368</v>
      </c>
      <c r="F350" s="143" t="s">
        <v>1369</v>
      </c>
      <c r="G350" s="126" t="s">
        <v>230</v>
      </c>
      <c r="H350" s="126" t="s">
        <v>65</v>
      </c>
      <c r="I350" s="127">
        <v>2.99</v>
      </c>
      <c r="J350" s="127">
        <v>1</v>
      </c>
      <c r="K350" s="127"/>
      <c r="L350" s="127"/>
      <c r="M350" s="144">
        <v>768</v>
      </c>
      <c r="N350" s="129">
        <v>10.375</v>
      </c>
      <c r="O350" s="129">
        <v>10.39</v>
      </c>
      <c r="P350" s="129"/>
      <c r="Q350" s="130"/>
      <c r="R350" s="131"/>
      <c r="S350" s="131"/>
      <c r="T350" s="132">
        <v>44620</v>
      </c>
      <c r="U350" s="132"/>
      <c r="V350" s="132"/>
      <c r="W350" s="132"/>
      <c r="X350" s="132"/>
      <c r="Y350" s="133" t="s">
        <v>1366</v>
      </c>
      <c r="Z350" s="126" t="s">
        <v>64</v>
      </c>
      <c r="AA350" s="134" t="s">
        <v>154</v>
      </c>
      <c r="AB350" s="134" t="s">
        <v>1330</v>
      </c>
      <c r="AC350" s="134"/>
      <c r="AD350" s="134">
        <v>44554</v>
      </c>
      <c r="AE350" s="134"/>
      <c r="AF350" s="134">
        <f t="shared" ca="1" si="30"/>
        <v>44963</v>
      </c>
      <c r="AG350" s="126">
        <f t="shared" ca="1" si="31"/>
        <v>409</v>
      </c>
      <c r="AH350" s="126" t="str">
        <f t="shared" si="32"/>
        <v/>
      </c>
      <c r="AI350" s="134"/>
      <c r="AJ350" s="143" t="s">
        <v>1371</v>
      </c>
      <c r="AK350" s="129">
        <v>10.375</v>
      </c>
      <c r="AL350" s="129">
        <v>10.385</v>
      </c>
      <c r="AM350" s="129">
        <v>10.409999999999998</v>
      </c>
      <c r="AN350" s="129">
        <v>10.414999999999999</v>
      </c>
      <c r="AO350" s="126" t="str">
        <f t="shared" si="33"/>
        <v/>
      </c>
      <c r="AR350" s="99" t="s">
        <v>136</v>
      </c>
    </row>
    <row r="351" spans="1:59" s="99" customFormat="1" ht="21" customHeight="1" x14ac:dyDescent="0.35">
      <c r="A351" s="99">
        <v>424</v>
      </c>
      <c r="B351" s="126" t="str">
        <f t="shared" si="29"/>
        <v>0-304L/1D-003X770</v>
      </c>
      <c r="C351" s="126" t="s">
        <v>2975</v>
      </c>
      <c r="D351" s="126" t="s">
        <v>11</v>
      </c>
      <c r="E351" s="143" t="s">
        <v>1431</v>
      </c>
      <c r="F351" s="143" t="s">
        <v>1432</v>
      </c>
      <c r="G351" s="126" t="s">
        <v>230</v>
      </c>
      <c r="H351" s="126" t="s">
        <v>139</v>
      </c>
      <c r="I351" s="127">
        <v>2.98</v>
      </c>
      <c r="J351" s="127"/>
      <c r="K351" s="127"/>
      <c r="L351" s="127"/>
      <c r="M351" s="144">
        <v>770</v>
      </c>
      <c r="N351" s="129">
        <v>10.41</v>
      </c>
      <c r="O351" s="129">
        <v>10.41</v>
      </c>
      <c r="P351" s="129"/>
      <c r="Q351" s="130"/>
      <c r="R351" s="131"/>
      <c r="S351" s="131"/>
      <c r="T351" s="132">
        <v>44620</v>
      </c>
      <c r="U351" s="132"/>
      <c r="V351" s="132"/>
      <c r="W351" s="132"/>
      <c r="X351" s="132"/>
      <c r="Y351" s="133" t="s">
        <v>1366</v>
      </c>
      <c r="Z351" s="126" t="s">
        <v>64</v>
      </c>
      <c r="AA351" s="134" t="s">
        <v>154</v>
      </c>
      <c r="AB351" s="134" t="s">
        <v>1330</v>
      </c>
      <c r="AC351" s="134"/>
      <c r="AD351" s="134">
        <v>44554</v>
      </c>
      <c r="AE351" s="134"/>
      <c r="AF351" s="134">
        <f t="shared" ca="1" si="30"/>
        <v>44963</v>
      </c>
      <c r="AG351" s="126">
        <f t="shared" ca="1" si="31"/>
        <v>409</v>
      </c>
      <c r="AH351" s="126" t="str">
        <f t="shared" si="32"/>
        <v/>
      </c>
      <c r="AI351" s="134"/>
      <c r="AJ351" s="143" t="s">
        <v>1430</v>
      </c>
      <c r="AK351" s="129">
        <v>10.41</v>
      </c>
      <c r="AL351" s="129">
        <v>10.42</v>
      </c>
      <c r="AM351" s="129">
        <v>10.444999999999999</v>
      </c>
      <c r="AN351" s="129">
        <v>10.45</v>
      </c>
      <c r="AO351" s="126" t="str">
        <f t="shared" si="33"/>
        <v/>
      </c>
      <c r="AR351" s="99" t="s">
        <v>136</v>
      </c>
    </row>
    <row r="352" spans="1:59" s="99" customFormat="1" ht="21" customHeight="1" x14ac:dyDescent="0.35">
      <c r="A352" s="99">
        <v>424</v>
      </c>
      <c r="B352" s="126" t="str">
        <f t="shared" si="29"/>
        <v>0-304L/FH-001X770</v>
      </c>
      <c r="C352" s="126" t="s">
        <v>2974</v>
      </c>
      <c r="D352" s="126" t="s">
        <v>13</v>
      </c>
      <c r="E352" s="143" t="s">
        <v>1428</v>
      </c>
      <c r="F352" s="143" t="s">
        <v>1429</v>
      </c>
      <c r="G352" s="126" t="s">
        <v>230</v>
      </c>
      <c r="H352" s="126" t="s">
        <v>65</v>
      </c>
      <c r="I352" s="127">
        <v>2.98</v>
      </c>
      <c r="J352" s="127">
        <v>1</v>
      </c>
      <c r="K352" s="127"/>
      <c r="L352" s="127"/>
      <c r="M352" s="144">
        <v>770</v>
      </c>
      <c r="N352" s="129">
        <v>10.404999999999999</v>
      </c>
      <c r="O352" s="129">
        <v>10.4</v>
      </c>
      <c r="P352" s="129"/>
      <c r="Q352" s="130"/>
      <c r="R352" s="131"/>
      <c r="S352" s="131"/>
      <c r="T352" s="132">
        <v>44620</v>
      </c>
      <c r="U352" s="132"/>
      <c r="V352" s="132"/>
      <c r="W352" s="132"/>
      <c r="X352" s="132"/>
      <c r="Y352" s="133" t="s">
        <v>1366</v>
      </c>
      <c r="Z352" s="126" t="s">
        <v>64</v>
      </c>
      <c r="AA352" s="134" t="s">
        <v>154</v>
      </c>
      <c r="AB352" s="134" t="s">
        <v>1330</v>
      </c>
      <c r="AC352" s="134"/>
      <c r="AD352" s="134">
        <v>44554</v>
      </c>
      <c r="AE352" s="134"/>
      <c r="AF352" s="134">
        <f t="shared" ca="1" si="30"/>
        <v>44963</v>
      </c>
      <c r="AG352" s="126">
        <f t="shared" ca="1" si="31"/>
        <v>409</v>
      </c>
      <c r="AH352" s="126" t="str">
        <f t="shared" si="32"/>
        <v/>
      </c>
      <c r="AI352" s="134"/>
      <c r="AJ352" s="143" t="s">
        <v>1430</v>
      </c>
      <c r="AK352" s="129">
        <v>10.404999999999999</v>
      </c>
      <c r="AL352" s="129">
        <v>10.414999999999999</v>
      </c>
      <c r="AM352" s="129">
        <v>10.439999999999998</v>
      </c>
      <c r="AN352" s="129">
        <v>10.444999999999999</v>
      </c>
      <c r="AO352" s="126" t="str">
        <f t="shared" si="33"/>
        <v/>
      </c>
      <c r="AR352" s="99" t="s">
        <v>136</v>
      </c>
    </row>
    <row r="353" spans="1:44" s="99" customFormat="1" ht="21" customHeight="1" x14ac:dyDescent="0.35">
      <c r="A353" s="99">
        <v>424</v>
      </c>
      <c r="B353" s="126" t="str">
        <f t="shared" si="29"/>
        <v>0-304L/1D-003X767</v>
      </c>
      <c r="C353" s="126" t="s">
        <v>2975</v>
      </c>
      <c r="D353" s="126" t="s">
        <v>11</v>
      </c>
      <c r="E353" s="143" t="s">
        <v>1400</v>
      </c>
      <c r="F353" s="143" t="s">
        <v>1401</v>
      </c>
      <c r="G353" s="126" t="s">
        <v>230</v>
      </c>
      <c r="H353" s="126" t="s">
        <v>139</v>
      </c>
      <c r="I353" s="127">
        <v>3.44</v>
      </c>
      <c r="J353" s="127"/>
      <c r="K353" s="127"/>
      <c r="L353" s="127"/>
      <c r="M353" s="144">
        <v>767</v>
      </c>
      <c r="N353" s="129">
        <v>10.494999999999999</v>
      </c>
      <c r="O353" s="129">
        <v>10.494999999999999</v>
      </c>
      <c r="P353" s="129"/>
      <c r="Q353" s="130"/>
      <c r="R353" s="131"/>
      <c r="S353" s="131"/>
      <c r="T353" s="132">
        <v>44620</v>
      </c>
      <c r="U353" s="132"/>
      <c r="V353" s="132"/>
      <c r="W353" s="132"/>
      <c r="X353" s="132"/>
      <c r="Y353" s="133" t="s">
        <v>1366</v>
      </c>
      <c r="Z353" s="126" t="s">
        <v>64</v>
      </c>
      <c r="AA353" s="134" t="s">
        <v>154</v>
      </c>
      <c r="AB353" s="134" t="s">
        <v>1330</v>
      </c>
      <c r="AC353" s="134"/>
      <c r="AD353" s="134">
        <v>44554</v>
      </c>
      <c r="AE353" s="134"/>
      <c r="AF353" s="134">
        <f t="shared" ca="1" si="30"/>
        <v>44963</v>
      </c>
      <c r="AG353" s="126">
        <f t="shared" ca="1" si="31"/>
        <v>409</v>
      </c>
      <c r="AH353" s="126" t="str">
        <f t="shared" si="32"/>
        <v/>
      </c>
      <c r="AI353" s="134"/>
      <c r="AJ353" s="143" t="s">
        <v>1399</v>
      </c>
      <c r="AK353" s="129">
        <v>10.494999999999999</v>
      </c>
      <c r="AL353" s="129">
        <v>10.505000000000001</v>
      </c>
      <c r="AM353" s="129">
        <v>10.53</v>
      </c>
      <c r="AN353" s="129">
        <v>10.535</v>
      </c>
      <c r="AO353" s="126" t="str">
        <f t="shared" si="33"/>
        <v/>
      </c>
      <c r="AR353" s="99" t="s">
        <v>136</v>
      </c>
    </row>
    <row r="354" spans="1:44" s="99" customFormat="1" ht="21" customHeight="1" x14ac:dyDescent="0.35">
      <c r="A354" s="99">
        <v>424</v>
      </c>
      <c r="B354" s="126" t="str">
        <f t="shared" si="29"/>
        <v>0-304L/FH-001X770</v>
      </c>
      <c r="C354" s="126" t="s">
        <v>2974</v>
      </c>
      <c r="D354" s="126" t="s">
        <v>13</v>
      </c>
      <c r="E354" s="143" t="s">
        <v>1431</v>
      </c>
      <c r="F354" s="143" t="s">
        <v>1432</v>
      </c>
      <c r="G354" s="126" t="s">
        <v>230</v>
      </c>
      <c r="H354" s="126" t="s">
        <v>65</v>
      </c>
      <c r="I354" s="127">
        <v>2.98</v>
      </c>
      <c r="J354" s="127">
        <v>1</v>
      </c>
      <c r="K354" s="127"/>
      <c r="L354" s="127"/>
      <c r="M354" s="144">
        <v>770</v>
      </c>
      <c r="N354" s="129">
        <v>10.41</v>
      </c>
      <c r="O354" s="129">
        <v>10.404999999999999</v>
      </c>
      <c r="P354" s="129"/>
      <c r="Q354" s="130"/>
      <c r="R354" s="131"/>
      <c r="S354" s="131"/>
      <c r="T354" s="132">
        <v>44620</v>
      </c>
      <c r="U354" s="132"/>
      <c r="V354" s="132"/>
      <c r="W354" s="132"/>
      <c r="X354" s="132"/>
      <c r="Y354" s="133" t="s">
        <v>1366</v>
      </c>
      <c r="Z354" s="126" t="s">
        <v>64</v>
      </c>
      <c r="AA354" s="134" t="s">
        <v>154</v>
      </c>
      <c r="AB354" s="134" t="s">
        <v>1330</v>
      </c>
      <c r="AC354" s="134"/>
      <c r="AD354" s="134">
        <v>44554</v>
      </c>
      <c r="AE354" s="134"/>
      <c r="AF354" s="134">
        <f t="shared" ca="1" si="30"/>
        <v>44963</v>
      </c>
      <c r="AG354" s="126">
        <f t="shared" ca="1" si="31"/>
        <v>409</v>
      </c>
      <c r="AH354" s="126" t="str">
        <f t="shared" si="32"/>
        <v/>
      </c>
      <c r="AI354" s="134"/>
      <c r="AJ354" s="143" t="s">
        <v>1430</v>
      </c>
      <c r="AK354" s="129">
        <v>10.41</v>
      </c>
      <c r="AL354" s="129">
        <v>10.42</v>
      </c>
      <c r="AM354" s="129">
        <v>10.444999999999999</v>
      </c>
      <c r="AN354" s="129">
        <v>10.45</v>
      </c>
      <c r="AO354" s="126" t="str">
        <f t="shared" si="33"/>
        <v/>
      </c>
      <c r="AR354" s="99" t="s">
        <v>136</v>
      </c>
    </row>
    <row r="355" spans="1:44" s="99" customFormat="1" ht="21" customHeight="1" x14ac:dyDescent="0.35">
      <c r="A355" s="99">
        <v>424</v>
      </c>
      <c r="B355" s="126" t="str">
        <f t="shared" si="29"/>
        <v>0-304L/1D-003X768</v>
      </c>
      <c r="C355" s="126" t="s">
        <v>2975</v>
      </c>
      <c r="D355" s="126" t="s">
        <v>11</v>
      </c>
      <c r="E355" s="143" t="s">
        <v>1388</v>
      </c>
      <c r="F355" s="143" t="s">
        <v>1389</v>
      </c>
      <c r="G355" s="126" t="s">
        <v>230</v>
      </c>
      <c r="H355" s="126" t="s">
        <v>139</v>
      </c>
      <c r="I355" s="127">
        <v>3.44</v>
      </c>
      <c r="J355" s="127"/>
      <c r="K355" s="127"/>
      <c r="L355" s="127"/>
      <c r="M355" s="144">
        <v>768</v>
      </c>
      <c r="N355" s="129">
        <v>10.59</v>
      </c>
      <c r="O355" s="129">
        <v>10.59</v>
      </c>
      <c r="P355" s="129"/>
      <c r="Q355" s="130"/>
      <c r="R355" s="131"/>
      <c r="S355" s="131"/>
      <c r="T355" s="132">
        <v>44620</v>
      </c>
      <c r="U355" s="132"/>
      <c r="V355" s="132"/>
      <c r="W355" s="132"/>
      <c r="X355" s="132"/>
      <c r="Y355" s="133" t="s">
        <v>1366</v>
      </c>
      <c r="Z355" s="126" t="s">
        <v>64</v>
      </c>
      <c r="AA355" s="134" t="s">
        <v>154</v>
      </c>
      <c r="AB355" s="134" t="s">
        <v>1330</v>
      </c>
      <c r="AC355" s="134"/>
      <c r="AD355" s="134">
        <v>44554</v>
      </c>
      <c r="AE355" s="134"/>
      <c r="AF355" s="134">
        <f t="shared" ca="1" si="30"/>
        <v>44963</v>
      </c>
      <c r="AG355" s="126">
        <f t="shared" ca="1" si="31"/>
        <v>409</v>
      </c>
      <c r="AH355" s="126" t="str">
        <f t="shared" si="32"/>
        <v/>
      </c>
      <c r="AI355" s="134"/>
      <c r="AJ355" s="143" t="s">
        <v>1390</v>
      </c>
      <c r="AK355" s="129">
        <v>10.59</v>
      </c>
      <c r="AL355" s="129">
        <v>10.6</v>
      </c>
      <c r="AM355" s="129">
        <v>10.624999999999998</v>
      </c>
      <c r="AN355" s="129">
        <v>10.629999999999999</v>
      </c>
      <c r="AO355" s="126" t="str">
        <f t="shared" si="33"/>
        <v/>
      </c>
      <c r="AR355" s="99" t="s">
        <v>136</v>
      </c>
    </row>
    <row r="356" spans="1:44" s="99" customFormat="1" ht="21" customHeight="1" x14ac:dyDescent="0.35">
      <c r="A356" s="99">
        <v>424</v>
      </c>
      <c r="B356" s="126" t="str">
        <f t="shared" si="29"/>
        <v>0-304L/FH-002X773</v>
      </c>
      <c r="C356" s="126" t="s">
        <v>2974</v>
      </c>
      <c r="D356" s="126" t="s">
        <v>13</v>
      </c>
      <c r="E356" s="143" t="s">
        <v>1551</v>
      </c>
      <c r="F356" s="143" t="s">
        <v>1552</v>
      </c>
      <c r="G356" s="126" t="s">
        <v>230</v>
      </c>
      <c r="H356" s="126" t="s">
        <v>65</v>
      </c>
      <c r="I356" s="127">
        <v>3.8</v>
      </c>
      <c r="J356" s="127">
        <v>2</v>
      </c>
      <c r="K356" s="127"/>
      <c r="L356" s="127"/>
      <c r="M356" s="144">
        <v>773</v>
      </c>
      <c r="N356" s="129">
        <v>10.234999999999999</v>
      </c>
      <c r="O356" s="129">
        <v>10.255000000000001</v>
      </c>
      <c r="P356" s="129"/>
      <c r="Q356" s="130"/>
      <c r="R356" s="131"/>
      <c r="S356" s="131"/>
      <c r="T356" s="132">
        <v>44619</v>
      </c>
      <c r="U356" s="132"/>
      <c r="V356" s="132"/>
      <c r="W356" s="132"/>
      <c r="X356" s="132"/>
      <c r="Y356" s="133" t="s">
        <v>1366</v>
      </c>
      <c r="Z356" s="126" t="s">
        <v>64</v>
      </c>
      <c r="AA356" s="134" t="s">
        <v>154</v>
      </c>
      <c r="AB356" s="134" t="s">
        <v>1516</v>
      </c>
      <c r="AC356" s="134"/>
      <c r="AD356" s="134">
        <v>44554</v>
      </c>
      <c r="AE356" s="134"/>
      <c r="AF356" s="134">
        <f t="shared" ca="1" si="30"/>
        <v>44963</v>
      </c>
      <c r="AG356" s="126">
        <f t="shared" ca="1" si="31"/>
        <v>409</v>
      </c>
      <c r="AH356" s="126" t="str">
        <f t="shared" si="32"/>
        <v/>
      </c>
      <c r="AI356" s="134"/>
      <c r="AJ356" s="143" t="s">
        <v>1550</v>
      </c>
      <c r="AK356" s="129">
        <v>10.234999999999999</v>
      </c>
      <c r="AL356" s="129">
        <v>10.244999999999999</v>
      </c>
      <c r="AM356" s="129">
        <v>10.269999999999998</v>
      </c>
      <c r="AN356" s="129">
        <v>10.274999999999999</v>
      </c>
      <c r="AO356" s="126" t="str">
        <f t="shared" si="33"/>
        <v/>
      </c>
      <c r="AR356" s="99" t="s">
        <v>136</v>
      </c>
    </row>
    <row r="357" spans="1:44" s="99" customFormat="1" ht="21" customHeight="1" x14ac:dyDescent="0.35">
      <c r="A357" s="99">
        <v>424</v>
      </c>
      <c r="B357" s="126" t="str">
        <f t="shared" si="29"/>
        <v>0-304L/1D-004X774</v>
      </c>
      <c r="C357" s="126" t="s">
        <v>2975</v>
      </c>
      <c r="D357" s="126" t="s">
        <v>11</v>
      </c>
      <c r="E357" s="143" t="s">
        <v>1553</v>
      </c>
      <c r="F357" s="143" t="s">
        <v>1554</v>
      </c>
      <c r="G357" s="126" t="s">
        <v>230</v>
      </c>
      <c r="H357" s="126" t="s">
        <v>139</v>
      </c>
      <c r="I357" s="127">
        <v>3.8</v>
      </c>
      <c r="J357" s="127"/>
      <c r="K357" s="127"/>
      <c r="L357" s="127"/>
      <c r="M357" s="144">
        <v>774</v>
      </c>
      <c r="N357" s="129">
        <v>10.35</v>
      </c>
      <c r="O357" s="129">
        <v>10.35</v>
      </c>
      <c r="P357" s="129"/>
      <c r="Q357" s="130"/>
      <c r="R357" s="131"/>
      <c r="S357" s="131"/>
      <c r="T357" s="132">
        <v>44620</v>
      </c>
      <c r="U357" s="132"/>
      <c r="V357" s="132"/>
      <c r="W357" s="132"/>
      <c r="X357" s="132"/>
      <c r="Y357" s="133" t="s">
        <v>1366</v>
      </c>
      <c r="Z357" s="126" t="s">
        <v>64</v>
      </c>
      <c r="AA357" s="134" t="s">
        <v>154</v>
      </c>
      <c r="AB357" s="134" t="s">
        <v>1516</v>
      </c>
      <c r="AC357" s="134"/>
      <c r="AD357" s="134">
        <v>44554</v>
      </c>
      <c r="AE357" s="134"/>
      <c r="AF357" s="134">
        <f t="shared" ca="1" si="30"/>
        <v>44963</v>
      </c>
      <c r="AG357" s="126">
        <f t="shared" ca="1" si="31"/>
        <v>409</v>
      </c>
      <c r="AH357" s="126" t="str">
        <f t="shared" si="32"/>
        <v/>
      </c>
      <c r="AI357" s="134"/>
      <c r="AJ357" s="143" t="s">
        <v>1555</v>
      </c>
      <c r="AK357" s="129">
        <v>10.35</v>
      </c>
      <c r="AL357" s="129">
        <v>10.36</v>
      </c>
      <c r="AM357" s="129">
        <v>10.384999999999998</v>
      </c>
      <c r="AN357" s="129">
        <v>10.389999999999999</v>
      </c>
      <c r="AO357" s="126" t="str">
        <f t="shared" si="33"/>
        <v/>
      </c>
      <c r="AR357" s="99" t="s">
        <v>136</v>
      </c>
    </row>
    <row r="358" spans="1:44" s="99" customFormat="1" ht="21" customHeight="1" x14ac:dyDescent="0.35">
      <c r="E358" s="152"/>
      <c r="F358" s="152"/>
      <c r="I358" s="140"/>
      <c r="J358" s="140"/>
      <c r="K358" s="140"/>
      <c r="L358" s="140"/>
      <c r="M358" s="153"/>
      <c r="N358" s="106"/>
      <c r="O358" s="106"/>
      <c r="P358" s="106"/>
      <c r="Q358" s="154"/>
      <c r="R358" s="155"/>
      <c r="S358" s="155"/>
      <c r="T358" s="156"/>
      <c r="U358" s="156"/>
      <c r="V358" s="156"/>
      <c r="W358" s="156"/>
      <c r="X358" s="156"/>
      <c r="Y358" s="157"/>
      <c r="AA358" s="158"/>
      <c r="AB358" s="158"/>
      <c r="AC358" s="158"/>
      <c r="AD358" s="158"/>
      <c r="AE358" s="158"/>
      <c r="AF358" s="158"/>
      <c r="AI358" s="158"/>
      <c r="AJ358" s="152"/>
      <c r="AK358" s="106"/>
      <c r="AL358" s="106"/>
      <c r="AM358" s="106"/>
      <c r="AN358" s="106"/>
    </row>
    <row r="359" spans="1:44" s="99" customFormat="1" ht="21" customHeight="1" x14ac:dyDescent="0.35">
      <c r="E359" s="152"/>
      <c r="F359" s="152"/>
      <c r="I359" s="140"/>
      <c r="J359" s="140"/>
      <c r="K359" s="140"/>
      <c r="L359" s="140"/>
      <c r="M359" s="153"/>
      <c r="N359" s="106"/>
      <c r="O359" s="106"/>
      <c r="P359" s="106"/>
      <c r="Q359" s="154"/>
      <c r="R359" s="155"/>
      <c r="S359" s="155"/>
      <c r="T359" s="156"/>
      <c r="U359" s="156"/>
      <c r="V359" s="156"/>
      <c r="W359" s="156"/>
      <c r="X359" s="156"/>
      <c r="Y359" s="157"/>
      <c r="AA359" s="158"/>
      <c r="AB359" s="158"/>
      <c r="AC359" s="158"/>
      <c r="AD359" s="158"/>
      <c r="AE359" s="158"/>
      <c r="AF359" s="158"/>
      <c r="AI359" s="158"/>
      <c r="AJ359" s="152"/>
      <c r="AK359" s="106"/>
      <c r="AL359" s="106"/>
      <c r="AM359" s="106"/>
      <c r="AN359" s="106"/>
    </row>
    <row r="360" spans="1:44" x14ac:dyDescent="0.35">
      <c r="C360" s="99"/>
      <c r="D360" s="99"/>
      <c r="N360" s="277">
        <f>SUBTOTAL(9,N4:N359)</f>
        <v>3529.804999999998</v>
      </c>
      <c r="O360" s="277">
        <f>SUBTOTAL(9,O4:O359)</f>
        <v>3531.4199999999992</v>
      </c>
      <c r="P360" s="277">
        <f>SUBTOTAL(9,P4:P359)</f>
        <v>0</v>
      </c>
    </row>
    <row r="363" spans="1:44" x14ac:dyDescent="0.35">
      <c r="I363" s="276"/>
    </row>
    <row r="366" spans="1:44" x14ac:dyDescent="0.35">
      <c r="M366" s="279"/>
    </row>
    <row r="430" s="260" customFormat="1" x14ac:dyDescent="0.35"/>
  </sheetData>
  <autoFilter ref="A3:BB3" xr:uid="{00000000-0009-0000-0000-000000000000}"/>
  <mergeCells count="2">
    <mergeCell ref="N262:N263"/>
    <mergeCell ref="N298:N299"/>
  </mergeCells>
  <pageMargins left="0.7" right="0.7" top="0.75" bottom="0.75" header="0.3" footer="0.3"/>
  <pageSetup scale="7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69F5-2824-4C5C-A9C2-DE287A766260}">
  <dimension ref="A1:BG256"/>
  <sheetViews>
    <sheetView tabSelected="1" zoomScale="70" zoomScaleNormal="70" workbookViewId="0">
      <pane ySplit="3" topLeftCell="A177" activePane="bottomLeft" state="frozen"/>
      <selection activeCell="J367" sqref="J367"/>
      <selection pane="bottomLeft" activeCell="A179" sqref="A179:XFD192"/>
    </sheetView>
  </sheetViews>
  <sheetFormatPr defaultColWidth="9.1796875" defaultRowHeight="14" x14ac:dyDescent="0.35"/>
  <cols>
    <col min="1" max="2" width="5.26953125" style="260" customWidth="1"/>
    <col min="3" max="3" width="20.453125" style="260" customWidth="1"/>
    <col min="4" max="4" width="16.26953125" style="260" customWidth="1"/>
    <col min="5" max="5" width="22" style="260" customWidth="1"/>
    <col min="6" max="6" width="17.26953125" style="260" customWidth="1"/>
    <col min="7" max="7" width="9.7265625" style="260" customWidth="1"/>
    <col min="8" max="8" width="9.1796875" style="260" customWidth="1"/>
    <col min="9" max="10" width="12.453125" style="274" customWidth="1"/>
    <col min="11" max="12" width="9.7265625" style="275" customWidth="1"/>
    <col min="13" max="13" width="11.1796875" style="276" customWidth="1"/>
    <col min="14" max="14" width="14.453125" style="274" customWidth="1"/>
    <col min="15" max="15" width="14.81640625" style="274" customWidth="1"/>
    <col min="16" max="16" width="12.453125" style="274" customWidth="1"/>
    <col min="17" max="17" width="42.7265625" style="274" customWidth="1"/>
    <col min="18" max="18" width="9.1796875" style="260" customWidth="1"/>
    <col min="19" max="21" width="11.54296875" style="260" customWidth="1"/>
    <col min="22" max="22" width="14" style="260" customWidth="1"/>
    <col min="23" max="23" width="13.453125" style="260" customWidth="1"/>
    <col min="24" max="24" width="14.1796875" style="260" customWidth="1"/>
    <col min="25" max="26" width="9.1796875" style="260" customWidth="1"/>
    <col min="27" max="27" width="26.81640625" style="260" customWidth="1"/>
    <col min="28" max="28" width="17.453125" style="260" customWidth="1"/>
    <col min="29" max="30" width="14.1796875" style="260" customWidth="1"/>
    <col min="31" max="31" width="15" style="260" customWidth="1"/>
    <col min="32" max="32" width="12.54296875" style="260" customWidth="1"/>
    <col min="33" max="36" width="9.1796875" style="260" customWidth="1"/>
    <col min="37" max="37" width="13.453125" style="260" customWidth="1"/>
    <col min="38" max="39" width="11.26953125" style="260" customWidth="1"/>
    <col min="40" max="40" width="11.1796875" style="260" customWidth="1"/>
    <col min="41" max="60" width="9.1796875" style="260" customWidth="1"/>
    <col min="61" max="16384" width="9.1796875" style="260"/>
  </cols>
  <sheetData>
    <row r="1" spans="1:48" ht="20" x14ac:dyDescent="0.35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S1" s="258"/>
      <c r="T1" s="258"/>
    </row>
    <row r="3" spans="1:48" ht="42" x14ac:dyDescent="0.35">
      <c r="A3" s="261" t="s">
        <v>2541</v>
      </c>
      <c r="B3" s="109" t="s">
        <v>69</v>
      </c>
      <c r="C3" s="110" t="s">
        <v>4</v>
      </c>
      <c r="D3" s="111" t="s">
        <v>2542</v>
      </c>
      <c r="E3" s="261" t="s">
        <v>71</v>
      </c>
      <c r="F3" s="261" t="s">
        <v>72</v>
      </c>
      <c r="G3" s="261" t="s">
        <v>73</v>
      </c>
      <c r="H3" s="261" t="s">
        <v>74</v>
      </c>
      <c r="I3" s="262" t="s">
        <v>2543</v>
      </c>
      <c r="J3" s="262" t="s">
        <v>76</v>
      </c>
      <c r="K3" s="263" t="s">
        <v>2544</v>
      </c>
      <c r="L3" s="263" t="s">
        <v>2545</v>
      </c>
      <c r="M3" s="264" t="s">
        <v>79</v>
      </c>
      <c r="N3" s="265" t="s">
        <v>80</v>
      </c>
      <c r="O3" s="262"/>
      <c r="P3" s="262"/>
      <c r="Q3" s="262" t="s">
        <v>83</v>
      </c>
      <c r="R3" s="262"/>
      <c r="S3" s="262" t="s">
        <v>85</v>
      </c>
      <c r="T3" s="266" t="s">
        <v>2548</v>
      </c>
      <c r="U3" s="267" t="s">
        <v>2549</v>
      </c>
      <c r="V3" s="268" t="s">
        <v>2550</v>
      </c>
      <c r="W3" s="269" t="s">
        <v>2551</v>
      </c>
      <c r="X3" s="270" t="s">
        <v>2552</v>
      </c>
      <c r="Y3" s="262" t="s">
        <v>86</v>
      </c>
      <c r="Z3" s="262" t="s">
        <v>2976</v>
      </c>
      <c r="AA3" s="261" t="s">
        <v>88</v>
      </c>
      <c r="AB3" s="261" t="s">
        <v>89</v>
      </c>
      <c r="AC3" s="271" t="s">
        <v>90</v>
      </c>
      <c r="AD3" s="271" t="s">
        <v>91</v>
      </c>
      <c r="AE3" s="271" t="s">
        <v>2553</v>
      </c>
      <c r="AF3" s="271" t="s">
        <v>2554</v>
      </c>
      <c r="AG3" s="271" t="s">
        <v>2555</v>
      </c>
      <c r="AH3" s="271" t="s">
        <v>93</v>
      </c>
      <c r="AI3" s="261" t="s">
        <v>95</v>
      </c>
      <c r="AJ3" s="261" t="s">
        <v>96</v>
      </c>
      <c r="AK3" s="272" t="s">
        <v>2556</v>
      </c>
      <c r="AL3" s="272" t="s">
        <v>2557</v>
      </c>
      <c r="AM3" s="272" t="s">
        <v>2977</v>
      </c>
      <c r="AN3" s="272" t="s">
        <v>2559</v>
      </c>
      <c r="AT3" s="280" t="s">
        <v>2978</v>
      </c>
      <c r="AU3" s="280" t="s">
        <v>2979</v>
      </c>
      <c r="AV3" s="110" t="s">
        <v>4</v>
      </c>
    </row>
    <row r="4" spans="1:48" s="99" customFormat="1" ht="21" customHeight="1" x14ac:dyDescent="0.35">
      <c r="A4" s="99">
        <v>422</v>
      </c>
      <c r="B4" s="126" t="str">
        <f t="shared" ref="B4:B67" si="0">IF(C4="HOLD RM","HOLD RM",IF(C4="BAL","WIP",IF(C4="HOLD SLT","HOLD SLT",IF(C4="MILL","RM",IF(C4="RE SLT","WIP",IF(C4="RM","RM",IF(C4="RM BAL","RM",IF(C4="RM SLT","RM",IF(C4="RR","WIP",IF(C4="SKP","WIP",IF(C4="SLT","WIP",IF(C4="CTL","WIP",IF(C4="RM SLT RUST","RM SLT RUST",0)))))))))))))&amp;"-"&amp;G4&amp;"/"&amp;IF(H4="2B","2B",IF(H4="NO.1","1D",IF(H4="FH","FH",0)))&amp;"-"&amp;IF(J4="",(TEXT(I4,"0.00")),TEXT(J4,"0.00"))&amp;"X"&amp;M4</f>
        <v>0-304L/FH-001X769</v>
      </c>
      <c r="C4" s="126" t="s">
        <v>2980</v>
      </c>
      <c r="D4" s="126" t="s">
        <v>13</v>
      </c>
      <c r="E4" s="143" t="s">
        <v>2568</v>
      </c>
      <c r="F4" s="143" t="s">
        <v>2569</v>
      </c>
      <c r="G4" s="126" t="s">
        <v>230</v>
      </c>
      <c r="H4" s="126" t="s">
        <v>65</v>
      </c>
      <c r="I4" s="127">
        <v>2.91</v>
      </c>
      <c r="J4" s="127">
        <v>0.95</v>
      </c>
      <c r="K4" s="127"/>
      <c r="L4" s="127"/>
      <c r="M4" s="144">
        <v>769</v>
      </c>
      <c r="N4" s="129">
        <v>7.84</v>
      </c>
      <c r="O4" s="129">
        <v>7.84</v>
      </c>
      <c r="P4" s="129" t="s">
        <v>116</v>
      </c>
      <c r="Q4" s="130" t="s">
        <v>993</v>
      </c>
      <c r="R4" s="131"/>
      <c r="S4" s="131"/>
      <c r="T4" s="132">
        <v>44577</v>
      </c>
      <c r="U4" s="132">
        <v>44599</v>
      </c>
      <c r="V4" s="132"/>
      <c r="W4" s="132"/>
      <c r="X4" s="132"/>
      <c r="Y4" s="133"/>
      <c r="Z4" s="126" t="s">
        <v>64</v>
      </c>
      <c r="AA4" s="134" t="s">
        <v>154</v>
      </c>
      <c r="AB4" s="134" t="s">
        <v>1296</v>
      </c>
      <c r="AC4" s="134"/>
      <c r="AD4" s="134">
        <v>44516</v>
      </c>
      <c r="AE4" s="134"/>
      <c r="AF4" s="134">
        <f t="shared" ref="AF4:AF67" ca="1" si="1">TODAY()</f>
        <v>44963</v>
      </c>
      <c r="AG4" s="126">
        <f t="shared" ref="AG4:AG67" ca="1" si="2">IF(AD4&lt;&gt;0,AF4-AD4,0)</f>
        <v>447</v>
      </c>
      <c r="AH4" s="126" t="str">
        <f t="shared" ref="AH4:AH67" si="3">IF(ISNUMBER(V4)=TRUE,AF4-V4,IF(V4="","",(AF4)-(MID(RIGHT(V4,10),4,2)&amp;"/"&amp;LEFT((RIGHT(V4,10)),2)&amp;"/"&amp;RIGHT(V4,4))))</f>
        <v/>
      </c>
      <c r="AI4" s="134"/>
      <c r="AJ4" s="143" t="s">
        <v>2570</v>
      </c>
      <c r="AK4" s="129">
        <v>7.84</v>
      </c>
      <c r="AL4" s="129">
        <v>7.85</v>
      </c>
      <c r="AM4" s="129">
        <v>7.875</v>
      </c>
      <c r="AN4" s="129">
        <v>7.88</v>
      </c>
      <c r="AO4" s="126">
        <f t="shared" ref="AO4:AO67" ca="1" si="4">IF(ISNUMBER(U4)=TRUE,AF4-U4,IF(U4="","",(AF4)-(MID(RIGHT(U4,10),4,2)&amp;"/"&amp;LEFT((RIGHT(U4,10)),2)&amp;"/"&amp;RIGHT(U4,4))))</f>
        <v>364</v>
      </c>
      <c r="AR4" s="99" t="s">
        <v>136</v>
      </c>
      <c r="AS4" s="281" t="str">
        <f>LEFT(RIGHT(C4,LEN(C4)-MIN(SEARCH({0,1,2,3,4,5,6,7,8,9},C4&amp;"0123456789"))+1),2)</f>
        <v>07</v>
      </c>
      <c r="AT4" s="99">
        <v>1</v>
      </c>
      <c r="AU4" s="99" t="str">
        <f>LEFT(RIGHT(C4,LEN(C4)-MIN(SEARCH({0,1,2,3,4,5,6,7,8,9},C4&amp;"0123456789"))+1),5)</f>
        <v>07.02</v>
      </c>
      <c r="AV4" s="99" t="str">
        <f t="shared" ref="AV4:AV67" si="5">LEFT(C4,2)</f>
        <v>MI</v>
      </c>
    </row>
    <row r="5" spans="1:48" s="99" customFormat="1" ht="21" customHeight="1" x14ac:dyDescent="0.35">
      <c r="A5" s="99">
        <v>422</v>
      </c>
      <c r="B5" s="126" t="str">
        <f t="shared" si="0"/>
        <v>0-304L/FH-001X768</v>
      </c>
      <c r="C5" s="126" t="s">
        <v>2980</v>
      </c>
      <c r="D5" s="126" t="s">
        <v>13</v>
      </c>
      <c r="E5" s="143" t="s">
        <v>2565</v>
      </c>
      <c r="F5" s="143" t="s">
        <v>2566</v>
      </c>
      <c r="G5" s="126" t="s">
        <v>230</v>
      </c>
      <c r="H5" s="126" t="s">
        <v>65</v>
      </c>
      <c r="I5" s="127">
        <v>3</v>
      </c>
      <c r="J5" s="127">
        <v>1.0900000000000001</v>
      </c>
      <c r="K5" s="127"/>
      <c r="L5" s="127"/>
      <c r="M5" s="144">
        <v>768</v>
      </c>
      <c r="N5" s="129">
        <v>9.9550000000000001</v>
      </c>
      <c r="O5" s="129">
        <v>9.9550000000000001</v>
      </c>
      <c r="P5" s="129" t="s">
        <v>116</v>
      </c>
      <c r="Q5" s="130" t="s">
        <v>1313</v>
      </c>
      <c r="R5" s="131"/>
      <c r="S5" s="131"/>
      <c r="T5" s="132">
        <v>44599</v>
      </c>
      <c r="U5" s="132">
        <v>44599</v>
      </c>
      <c r="V5" s="132"/>
      <c r="W5" s="132"/>
      <c r="X5" s="132"/>
      <c r="Y5" s="133"/>
      <c r="Z5" s="126" t="s">
        <v>64</v>
      </c>
      <c r="AA5" s="134" t="s">
        <v>154</v>
      </c>
      <c r="AB5" s="134" t="s">
        <v>1330</v>
      </c>
      <c r="AC5" s="134"/>
      <c r="AD5" s="134">
        <v>44516</v>
      </c>
      <c r="AE5" s="134"/>
      <c r="AF5" s="134">
        <f t="shared" ca="1" si="1"/>
        <v>44963</v>
      </c>
      <c r="AG5" s="126">
        <f t="shared" ca="1" si="2"/>
        <v>447</v>
      </c>
      <c r="AH5" s="126" t="str">
        <f t="shared" si="3"/>
        <v/>
      </c>
      <c r="AI5" s="134"/>
      <c r="AJ5" s="143" t="s">
        <v>1341</v>
      </c>
      <c r="AK5" s="129">
        <v>9.9550000000000001</v>
      </c>
      <c r="AL5" s="129">
        <v>9.9649999999999999</v>
      </c>
      <c r="AM5" s="129">
        <v>9.9899999999999984</v>
      </c>
      <c r="AN5" s="129">
        <v>9.9949999999999992</v>
      </c>
      <c r="AO5" s="126">
        <f t="shared" ca="1" si="4"/>
        <v>364</v>
      </c>
      <c r="AR5" s="99" t="s">
        <v>136</v>
      </c>
      <c r="AS5" s="281" t="str">
        <f>LEFT(RIGHT(C5,LEN(C5)-MIN(SEARCH({0,1,2,3,4,5,6,7,8,9},C5&amp;"0123456789"))+1),2)</f>
        <v>07</v>
      </c>
      <c r="AT5" s="99">
        <v>1</v>
      </c>
      <c r="AU5" s="99" t="str">
        <f>LEFT(RIGHT(C5,LEN(C5)-MIN(SEARCH({0,1,2,3,4,5,6,7,8,9},C5&amp;"0123456789"))+1),5)</f>
        <v>07.02</v>
      </c>
      <c r="AV5" s="99" t="str">
        <f t="shared" si="5"/>
        <v>MI</v>
      </c>
    </row>
    <row r="6" spans="1:48" s="99" customFormat="1" ht="21" customHeight="1" x14ac:dyDescent="0.35">
      <c r="A6" s="99">
        <v>421</v>
      </c>
      <c r="B6" s="126" t="str">
        <f t="shared" si="0"/>
        <v>0-304/FH-001X770</v>
      </c>
      <c r="C6" s="126" t="s">
        <v>2980</v>
      </c>
      <c r="D6" s="126" t="s">
        <v>13</v>
      </c>
      <c r="E6" s="143" t="s">
        <v>2571</v>
      </c>
      <c r="F6" s="143" t="s">
        <v>2572</v>
      </c>
      <c r="G6" s="126">
        <v>304</v>
      </c>
      <c r="H6" s="126" t="s">
        <v>65</v>
      </c>
      <c r="I6" s="127">
        <v>3.49</v>
      </c>
      <c r="J6" s="127">
        <v>1.2</v>
      </c>
      <c r="K6" s="127"/>
      <c r="L6" s="127"/>
      <c r="M6" s="144">
        <v>770</v>
      </c>
      <c r="N6" s="129">
        <v>10.46</v>
      </c>
      <c r="O6" s="129">
        <v>10.46</v>
      </c>
      <c r="P6" s="129" t="s">
        <v>116</v>
      </c>
      <c r="Q6" s="130" t="s">
        <v>2981</v>
      </c>
      <c r="R6" s="131"/>
      <c r="S6" s="131"/>
      <c r="T6" s="132">
        <v>44599</v>
      </c>
      <c r="U6" s="132">
        <v>44599</v>
      </c>
      <c r="V6" s="132"/>
      <c r="W6" s="132"/>
      <c r="X6" s="132"/>
      <c r="Y6" s="133"/>
      <c r="Z6" s="126" t="s">
        <v>64</v>
      </c>
      <c r="AA6" s="134" t="s">
        <v>154</v>
      </c>
      <c r="AB6" s="134" t="s">
        <v>1239</v>
      </c>
      <c r="AC6" s="134"/>
      <c r="AD6" s="134">
        <v>44496</v>
      </c>
      <c r="AE6" s="134"/>
      <c r="AF6" s="134">
        <f t="shared" ca="1" si="1"/>
        <v>44963</v>
      </c>
      <c r="AG6" s="126">
        <f t="shared" ca="1" si="2"/>
        <v>467</v>
      </c>
      <c r="AH6" s="126" t="str">
        <f t="shared" si="3"/>
        <v/>
      </c>
      <c r="AI6" s="134"/>
      <c r="AJ6" s="143" t="s">
        <v>2573</v>
      </c>
      <c r="AK6" s="129">
        <v>10.46</v>
      </c>
      <c r="AL6" s="129">
        <v>10.47</v>
      </c>
      <c r="AM6" s="129">
        <v>10.494999999999999</v>
      </c>
      <c r="AN6" s="129">
        <v>10.5</v>
      </c>
      <c r="AO6" s="126">
        <f t="shared" ca="1" si="4"/>
        <v>364</v>
      </c>
      <c r="AR6" s="99" t="s">
        <v>136</v>
      </c>
      <c r="AS6" s="281" t="str">
        <f>LEFT(RIGHT(C6,LEN(C6)-MIN(SEARCH({0,1,2,3,4,5,6,7,8,9},C6&amp;"0123456789"))+1),2)</f>
        <v>07</v>
      </c>
      <c r="AT6" s="99">
        <v>1</v>
      </c>
      <c r="AU6" s="99" t="str">
        <f>LEFT(RIGHT(C6,LEN(C6)-MIN(SEARCH({0,1,2,3,4,5,6,7,8,9},C6&amp;"0123456789"))+1),5)</f>
        <v>07.02</v>
      </c>
      <c r="AV6" s="99" t="str">
        <f t="shared" si="5"/>
        <v>MI</v>
      </c>
    </row>
    <row r="7" spans="1:48" s="99" customFormat="1" ht="21" customHeight="1" x14ac:dyDescent="0.35">
      <c r="A7" s="99">
        <v>422</v>
      </c>
      <c r="B7" s="126" t="str">
        <f t="shared" si="0"/>
        <v>0-304L/FH-002X766</v>
      </c>
      <c r="C7" s="126" t="s">
        <v>2980</v>
      </c>
      <c r="D7" s="126" t="s">
        <v>13</v>
      </c>
      <c r="E7" s="143" t="s">
        <v>2574</v>
      </c>
      <c r="F7" s="143" t="s">
        <v>2575</v>
      </c>
      <c r="G7" s="126" t="s">
        <v>230</v>
      </c>
      <c r="H7" s="126" t="s">
        <v>65</v>
      </c>
      <c r="I7" s="127">
        <v>3.81</v>
      </c>
      <c r="J7" s="127">
        <v>1.89</v>
      </c>
      <c r="K7" s="127"/>
      <c r="L7" s="127"/>
      <c r="M7" s="144">
        <v>766</v>
      </c>
      <c r="N7" s="129">
        <v>10.24</v>
      </c>
      <c r="O7" s="129">
        <v>10.24</v>
      </c>
      <c r="P7" s="129" t="s">
        <v>116</v>
      </c>
      <c r="Q7" s="130" t="s">
        <v>1313</v>
      </c>
      <c r="R7" s="131"/>
      <c r="S7" s="131"/>
      <c r="T7" s="132">
        <v>44599</v>
      </c>
      <c r="U7" s="132">
        <v>44599</v>
      </c>
      <c r="V7" s="132"/>
      <c r="W7" s="132"/>
      <c r="X7" s="132"/>
      <c r="Y7" s="133"/>
      <c r="Z7" s="126" t="s">
        <v>64</v>
      </c>
      <c r="AA7" s="134" t="s">
        <v>154</v>
      </c>
      <c r="AB7" s="134" t="s">
        <v>1330</v>
      </c>
      <c r="AC7" s="134"/>
      <c r="AD7" s="134">
        <v>44516</v>
      </c>
      <c r="AE7" s="134"/>
      <c r="AF7" s="134">
        <f t="shared" ca="1" si="1"/>
        <v>44963</v>
      </c>
      <c r="AG7" s="126">
        <f t="shared" ca="1" si="2"/>
        <v>447</v>
      </c>
      <c r="AH7" s="126" t="str">
        <f t="shared" si="3"/>
        <v/>
      </c>
      <c r="AI7" s="134"/>
      <c r="AJ7" s="143" t="s">
        <v>2576</v>
      </c>
      <c r="AK7" s="129">
        <v>10.24</v>
      </c>
      <c r="AL7" s="129">
        <v>10.25</v>
      </c>
      <c r="AM7" s="129">
        <v>10.274999999999999</v>
      </c>
      <c r="AN7" s="129">
        <v>10.28</v>
      </c>
      <c r="AO7" s="126">
        <f t="shared" ca="1" si="4"/>
        <v>364</v>
      </c>
      <c r="AR7" s="99" t="s">
        <v>136</v>
      </c>
      <c r="AS7" s="281" t="str">
        <f>LEFT(RIGHT(C7,LEN(C7)-MIN(SEARCH({0,1,2,3,4,5,6,7,8,9},C7&amp;"0123456789"))+1),2)</f>
        <v>07</v>
      </c>
      <c r="AT7" s="99">
        <v>2</v>
      </c>
      <c r="AU7" s="99" t="str">
        <f>LEFT(RIGHT(C7,LEN(C7)-MIN(SEARCH({0,1,2,3,4,5,6,7,8,9},C7&amp;"0123456789"))+1),5)</f>
        <v>07.02</v>
      </c>
      <c r="AV7" s="99" t="str">
        <f t="shared" si="5"/>
        <v>MI</v>
      </c>
    </row>
    <row r="8" spans="1:48" s="99" customFormat="1" ht="21" customHeight="1" x14ac:dyDescent="0.35">
      <c r="A8" s="99">
        <v>421</v>
      </c>
      <c r="B8" s="126" t="str">
        <f t="shared" si="0"/>
        <v>0-304L/FH-001X770</v>
      </c>
      <c r="C8" s="126" t="s">
        <v>2980</v>
      </c>
      <c r="D8" s="126" t="s">
        <v>13</v>
      </c>
      <c r="E8" s="143" t="s">
        <v>2577</v>
      </c>
      <c r="F8" s="143" t="s">
        <v>2578</v>
      </c>
      <c r="G8" s="126" t="s">
        <v>230</v>
      </c>
      <c r="H8" s="126" t="s">
        <v>65</v>
      </c>
      <c r="I8" s="127">
        <v>2.76</v>
      </c>
      <c r="J8" s="127">
        <v>0.79</v>
      </c>
      <c r="K8" s="127"/>
      <c r="L8" s="127"/>
      <c r="M8" s="144">
        <v>770</v>
      </c>
      <c r="N8" s="129">
        <v>10.58</v>
      </c>
      <c r="O8" s="129">
        <v>10.58</v>
      </c>
      <c r="P8" s="129" t="s">
        <v>116</v>
      </c>
      <c r="Q8" s="130" t="s">
        <v>1313</v>
      </c>
      <c r="R8" s="131"/>
      <c r="S8" s="131"/>
      <c r="T8" s="132">
        <v>44599</v>
      </c>
      <c r="U8" s="132">
        <v>44599</v>
      </c>
      <c r="V8" s="132"/>
      <c r="W8" s="132"/>
      <c r="X8" s="132"/>
      <c r="Y8" s="133"/>
      <c r="Z8" s="126" t="s">
        <v>64</v>
      </c>
      <c r="AA8" s="134" t="s">
        <v>154</v>
      </c>
      <c r="AB8" s="134" t="s">
        <v>1190</v>
      </c>
      <c r="AC8" s="134"/>
      <c r="AD8" s="134">
        <v>44496</v>
      </c>
      <c r="AE8" s="134"/>
      <c r="AF8" s="134">
        <f t="shared" ca="1" si="1"/>
        <v>44963</v>
      </c>
      <c r="AG8" s="126">
        <f t="shared" ca="1" si="2"/>
        <v>467</v>
      </c>
      <c r="AH8" s="126" t="str">
        <f t="shared" si="3"/>
        <v/>
      </c>
      <c r="AI8" s="134"/>
      <c r="AJ8" s="143" t="s">
        <v>2579</v>
      </c>
      <c r="AK8" s="129">
        <v>10.58</v>
      </c>
      <c r="AL8" s="129">
        <v>10.59</v>
      </c>
      <c r="AM8" s="129">
        <v>10.614999999999998</v>
      </c>
      <c r="AN8" s="129">
        <v>10.62</v>
      </c>
      <c r="AO8" s="126">
        <f t="shared" ca="1" si="4"/>
        <v>364</v>
      </c>
      <c r="AR8" s="99" t="s">
        <v>136</v>
      </c>
      <c r="AS8" s="281" t="str">
        <f>LEFT(RIGHT(C8,LEN(C8)-MIN(SEARCH({0,1,2,3,4,5,6,7,8,9},C8&amp;"0123456789"))+1),2)</f>
        <v>07</v>
      </c>
      <c r="AT8" s="99">
        <v>2</v>
      </c>
      <c r="AU8" s="99" t="str">
        <f>LEFT(RIGHT(C8,LEN(C8)-MIN(SEARCH({0,1,2,3,4,5,6,7,8,9},C8&amp;"0123456789"))+1),5)</f>
        <v>07.02</v>
      </c>
      <c r="AV8" s="99" t="str">
        <f t="shared" si="5"/>
        <v>MI</v>
      </c>
    </row>
    <row r="9" spans="1:48" s="99" customFormat="1" ht="21" customHeight="1" x14ac:dyDescent="0.35">
      <c r="A9" s="99">
        <v>421</v>
      </c>
      <c r="B9" s="126" t="str">
        <f t="shared" si="0"/>
        <v>0-304L/FH-001X770</v>
      </c>
      <c r="C9" s="126" t="s">
        <v>2980</v>
      </c>
      <c r="D9" s="126" t="s">
        <v>13</v>
      </c>
      <c r="E9" s="143" t="s">
        <v>2580</v>
      </c>
      <c r="F9" s="143" t="s">
        <v>2581</v>
      </c>
      <c r="G9" s="126" t="s">
        <v>230</v>
      </c>
      <c r="H9" s="126" t="s">
        <v>65</v>
      </c>
      <c r="I9" s="127">
        <v>3.01</v>
      </c>
      <c r="J9" s="127">
        <v>1.0900000000000001</v>
      </c>
      <c r="K9" s="127"/>
      <c r="L9" s="127"/>
      <c r="M9" s="144">
        <v>770</v>
      </c>
      <c r="N9" s="129">
        <v>12.17</v>
      </c>
      <c r="O9" s="129">
        <v>12.17</v>
      </c>
      <c r="P9" s="129" t="s">
        <v>116</v>
      </c>
      <c r="Q9" s="130" t="s">
        <v>1313</v>
      </c>
      <c r="R9" s="131"/>
      <c r="S9" s="131"/>
      <c r="T9" s="132">
        <v>44599</v>
      </c>
      <c r="U9" s="132">
        <v>44599</v>
      </c>
      <c r="V9" s="132"/>
      <c r="W9" s="132"/>
      <c r="X9" s="132"/>
      <c r="Y9" s="133"/>
      <c r="Z9" s="126" t="s">
        <v>64</v>
      </c>
      <c r="AA9" s="134" t="s">
        <v>154</v>
      </c>
      <c r="AB9" s="134" t="s">
        <v>1190</v>
      </c>
      <c r="AC9" s="134"/>
      <c r="AD9" s="134">
        <v>44496</v>
      </c>
      <c r="AE9" s="134"/>
      <c r="AF9" s="134">
        <f t="shared" ca="1" si="1"/>
        <v>44963</v>
      </c>
      <c r="AG9" s="126">
        <f t="shared" ca="1" si="2"/>
        <v>467</v>
      </c>
      <c r="AH9" s="126" t="str">
        <f t="shared" si="3"/>
        <v/>
      </c>
      <c r="AI9" s="134"/>
      <c r="AJ9" s="143" t="s">
        <v>2582</v>
      </c>
      <c r="AK9" s="129">
        <v>12.17</v>
      </c>
      <c r="AL9" s="129">
        <v>12.18</v>
      </c>
      <c r="AM9" s="129">
        <v>12.204999999999998</v>
      </c>
      <c r="AN9" s="129">
        <v>12.209999999999999</v>
      </c>
      <c r="AO9" s="126">
        <f t="shared" ca="1" si="4"/>
        <v>364</v>
      </c>
      <c r="AR9" s="99" t="s">
        <v>136</v>
      </c>
      <c r="AS9" s="281" t="str">
        <f>LEFT(RIGHT(C9,LEN(C9)-MIN(SEARCH({0,1,2,3,4,5,6,7,8,9},C9&amp;"0123456789"))+1),2)</f>
        <v>07</v>
      </c>
      <c r="AT9" s="99">
        <v>2</v>
      </c>
      <c r="AU9" s="99" t="str">
        <f>LEFT(RIGHT(C9,LEN(C9)-MIN(SEARCH({0,1,2,3,4,5,6,7,8,9},C9&amp;"0123456789"))+1),5)</f>
        <v>07.02</v>
      </c>
      <c r="AV9" s="99" t="str">
        <f t="shared" si="5"/>
        <v>MI</v>
      </c>
    </row>
    <row r="10" spans="1:48" s="99" customFormat="1" ht="21" customHeight="1" x14ac:dyDescent="0.35">
      <c r="A10" s="99">
        <v>422</v>
      </c>
      <c r="B10" s="126" t="str">
        <f t="shared" si="0"/>
        <v>0-304L/FH-001X770</v>
      </c>
      <c r="C10" s="126" t="s">
        <v>2980</v>
      </c>
      <c r="D10" s="126" t="s">
        <v>13</v>
      </c>
      <c r="E10" s="143" t="s">
        <v>2583</v>
      </c>
      <c r="F10" s="143" t="s">
        <v>2584</v>
      </c>
      <c r="G10" s="126" t="s">
        <v>230</v>
      </c>
      <c r="H10" s="126" t="s">
        <v>65</v>
      </c>
      <c r="I10" s="127">
        <v>3.79</v>
      </c>
      <c r="J10" s="127">
        <v>1.39</v>
      </c>
      <c r="K10" s="127"/>
      <c r="L10" s="127"/>
      <c r="M10" s="144">
        <v>770</v>
      </c>
      <c r="N10" s="129">
        <v>11.845000000000001</v>
      </c>
      <c r="O10" s="129">
        <v>11.845000000000001</v>
      </c>
      <c r="P10" s="129" t="s">
        <v>116</v>
      </c>
      <c r="Q10" s="130" t="s">
        <v>1313</v>
      </c>
      <c r="R10" s="131"/>
      <c r="S10" s="131"/>
      <c r="T10" s="132">
        <v>44599</v>
      </c>
      <c r="U10" s="132">
        <v>44599</v>
      </c>
      <c r="V10" s="132"/>
      <c r="W10" s="132"/>
      <c r="X10" s="132"/>
      <c r="Y10" s="133"/>
      <c r="Z10" s="126" t="s">
        <v>64</v>
      </c>
      <c r="AA10" s="134" t="s">
        <v>154</v>
      </c>
      <c r="AB10" s="134" t="s">
        <v>1330</v>
      </c>
      <c r="AC10" s="134"/>
      <c r="AD10" s="134">
        <v>44516</v>
      </c>
      <c r="AE10" s="134"/>
      <c r="AF10" s="134">
        <f t="shared" ca="1" si="1"/>
        <v>44963</v>
      </c>
      <c r="AG10" s="126">
        <f t="shared" ca="1" si="2"/>
        <v>447</v>
      </c>
      <c r="AH10" s="126" t="str">
        <f t="shared" si="3"/>
        <v/>
      </c>
      <c r="AI10" s="134"/>
      <c r="AJ10" s="143" t="s">
        <v>2585</v>
      </c>
      <c r="AK10" s="129">
        <v>11.845000000000001</v>
      </c>
      <c r="AL10" s="129">
        <v>11.855</v>
      </c>
      <c r="AM10" s="129">
        <v>11.879999999999999</v>
      </c>
      <c r="AN10" s="129">
        <v>11.885</v>
      </c>
      <c r="AO10" s="126">
        <f t="shared" ca="1" si="4"/>
        <v>364</v>
      </c>
      <c r="AR10" s="99" t="s">
        <v>136</v>
      </c>
      <c r="AS10" s="281" t="str">
        <f>LEFT(RIGHT(C10,LEN(C10)-MIN(SEARCH({0,1,2,3,4,5,6,7,8,9},C10&amp;"0123456789"))+1),2)</f>
        <v>07</v>
      </c>
      <c r="AT10" s="99">
        <v>3</v>
      </c>
      <c r="AU10" s="99" t="str">
        <f>LEFT(RIGHT(C10,LEN(C10)-MIN(SEARCH({0,1,2,3,4,5,6,7,8,9},C10&amp;"0123456789"))+1),5)</f>
        <v>07.02</v>
      </c>
      <c r="AV10" s="99" t="str">
        <f t="shared" si="5"/>
        <v>MI</v>
      </c>
    </row>
    <row r="11" spans="1:48" s="99" customFormat="1" ht="21" customHeight="1" x14ac:dyDescent="0.35">
      <c r="A11" s="99">
        <v>422</v>
      </c>
      <c r="B11" s="126" t="str">
        <f t="shared" si="0"/>
        <v>0-304L/FH-002X767</v>
      </c>
      <c r="C11" s="126" t="s">
        <v>2980</v>
      </c>
      <c r="D11" s="126" t="s">
        <v>13</v>
      </c>
      <c r="E11" s="143" t="s">
        <v>1311</v>
      </c>
      <c r="F11" s="143" t="s">
        <v>2586</v>
      </c>
      <c r="G11" s="126" t="s">
        <v>230</v>
      </c>
      <c r="H11" s="126" t="s">
        <v>65</v>
      </c>
      <c r="I11" s="127">
        <v>3.81</v>
      </c>
      <c r="J11" s="127">
        <v>1.89</v>
      </c>
      <c r="K11" s="127"/>
      <c r="L11" s="127"/>
      <c r="M11" s="144">
        <v>767</v>
      </c>
      <c r="N11" s="129">
        <v>10.43</v>
      </c>
      <c r="O11" s="129">
        <v>10.43</v>
      </c>
      <c r="P11" s="129" t="s">
        <v>116</v>
      </c>
      <c r="Q11" s="130" t="s">
        <v>1313</v>
      </c>
      <c r="R11" s="131"/>
      <c r="S11" s="131"/>
      <c r="T11" s="132">
        <v>44599</v>
      </c>
      <c r="U11" s="132">
        <v>44599</v>
      </c>
      <c r="V11" s="132"/>
      <c r="W11" s="132"/>
      <c r="X11" s="132"/>
      <c r="Y11" s="133"/>
      <c r="Z11" s="126" t="s">
        <v>64</v>
      </c>
      <c r="AA11" s="134" t="s">
        <v>154</v>
      </c>
      <c r="AB11" s="134" t="s">
        <v>1296</v>
      </c>
      <c r="AC11" s="134"/>
      <c r="AD11" s="134">
        <v>44516</v>
      </c>
      <c r="AE11" s="134"/>
      <c r="AF11" s="134">
        <f t="shared" ca="1" si="1"/>
        <v>44963</v>
      </c>
      <c r="AG11" s="126">
        <f t="shared" ca="1" si="2"/>
        <v>447</v>
      </c>
      <c r="AH11" s="126" t="str">
        <f t="shared" si="3"/>
        <v/>
      </c>
      <c r="AI11" s="134"/>
      <c r="AJ11" s="143" t="s">
        <v>1314</v>
      </c>
      <c r="AK11" s="129">
        <v>10.43</v>
      </c>
      <c r="AL11" s="129">
        <v>10.44</v>
      </c>
      <c r="AM11" s="129">
        <v>10.464999999999998</v>
      </c>
      <c r="AN11" s="129">
        <v>10.469999999999999</v>
      </c>
      <c r="AO11" s="126">
        <f t="shared" ca="1" si="4"/>
        <v>364</v>
      </c>
      <c r="AR11" s="99" t="s">
        <v>136</v>
      </c>
      <c r="AS11" s="281" t="str">
        <f>LEFT(RIGHT(C11,LEN(C11)-MIN(SEARCH({0,1,2,3,4,5,6,7,8,9},C11&amp;"0123456789"))+1),2)</f>
        <v>07</v>
      </c>
      <c r="AT11" s="99">
        <v>3</v>
      </c>
      <c r="AU11" s="99" t="str">
        <f>LEFT(RIGHT(C11,LEN(C11)-MIN(SEARCH({0,1,2,3,4,5,6,7,8,9},C11&amp;"0123456789"))+1),5)</f>
        <v>07.02</v>
      </c>
      <c r="AV11" s="99" t="str">
        <f t="shared" si="5"/>
        <v>MI</v>
      </c>
    </row>
    <row r="12" spans="1:48" s="99" customFormat="1" ht="21" customHeight="1" x14ac:dyDescent="0.35">
      <c r="A12" s="99">
        <v>421</v>
      </c>
      <c r="B12" s="126" t="str">
        <f t="shared" si="0"/>
        <v>0-304L/FH-001X770</v>
      </c>
      <c r="C12" s="126" t="s">
        <v>2980</v>
      </c>
      <c r="D12" s="126" t="s">
        <v>13</v>
      </c>
      <c r="E12" s="143" t="s">
        <v>2587</v>
      </c>
      <c r="F12" s="143" t="s">
        <v>2588</v>
      </c>
      <c r="G12" s="126" t="s">
        <v>230</v>
      </c>
      <c r="H12" s="126" t="s">
        <v>65</v>
      </c>
      <c r="I12" s="127">
        <v>3.48</v>
      </c>
      <c r="J12" s="127">
        <v>1.29</v>
      </c>
      <c r="K12" s="127"/>
      <c r="L12" s="127"/>
      <c r="M12" s="144">
        <v>770</v>
      </c>
      <c r="N12" s="129">
        <v>10.42</v>
      </c>
      <c r="O12" s="129">
        <v>10.42</v>
      </c>
      <c r="P12" s="129" t="s">
        <v>116</v>
      </c>
      <c r="Q12" s="130" t="s">
        <v>1313</v>
      </c>
      <c r="R12" s="131"/>
      <c r="S12" s="131"/>
      <c r="T12" s="132">
        <v>44599</v>
      </c>
      <c r="U12" s="132">
        <v>44599</v>
      </c>
      <c r="V12" s="132"/>
      <c r="W12" s="132"/>
      <c r="X12" s="132"/>
      <c r="Y12" s="133"/>
      <c r="Z12" s="126" t="s">
        <v>64</v>
      </c>
      <c r="AA12" s="134" t="s">
        <v>154</v>
      </c>
      <c r="AB12" s="134" t="s">
        <v>1256</v>
      </c>
      <c r="AC12" s="134"/>
      <c r="AD12" s="134">
        <v>44496</v>
      </c>
      <c r="AE12" s="134"/>
      <c r="AF12" s="134">
        <f t="shared" ca="1" si="1"/>
        <v>44963</v>
      </c>
      <c r="AG12" s="126">
        <f t="shared" ca="1" si="2"/>
        <v>467</v>
      </c>
      <c r="AH12" s="126" t="str">
        <f t="shared" si="3"/>
        <v/>
      </c>
      <c r="AI12" s="134"/>
      <c r="AJ12" s="143" t="s">
        <v>2589</v>
      </c>
      <c r="AK12" s="129">
        <v>10.42</v>
      </c>
      <c r="AL12" s="129">
        <v>10.43</v>
      </c>
      <c r="AM12" s="129">
        <v>10.454999999999998</v>
      </c>
      <c r="AN12" s="129">
        <v>10.459999999999999</v>
      </c>
      <c r="AO12" s="126">
        <f t="shared" ca="1" si="4"/>
        <v>364</v>
      </c>
      <c r="AR12" s="99" t="s">
        <v>136</v>
      </c>
      <c r="AS12" s="281" t="str">
        <f>LEFT(RIGHT(C12,LEN(C12)-MIN(SEARCH({0,1,2,3,4,5,6,7,8,9},C12&amp;"0123456789"))+1),2)</f>
        <v>07</v>
      </c>
      <c r="AT12" s="99">
        <v>3</v>
      </c>
      <c r="AU12" s="99" t="str">
        <f>LEFT(RIGHT(C12,LEN(C12)-MIN(SEARCH({0,1,2,3,4,5,6,7,8,9},C12&amp;"0123456789"))+1),5)</f>
        <v>07.02</v>
      </c>
      <c r="AV12" s="99" t="str">
        <f t="shared" si="5"/>
        <v>MI</v>
      </c>
    </row>
    <row r="13" spans="1:48" s="99" customFormat="1" ht="21" customHeight="1" x14ac:dyDescent="0.35">
      <c r="A13" s="99">
        <v>422</v>
      </c>
      <c r="B13" s="126" t="str">
        <f t="shared" si="0"/>
        <v>0-304L/FH-001X771</v>
      </c>
      <c r="C13" s="126" t="s">
        <v>2980</v>
      </c>
      <c r="D13" s="126" t="s">
        <v>13</v>
      </c>
      <c r="E13" s="143" t="s">
        <v>2590</v>
      </c>
      <c r="F13" s="143" t="s">
        <v>2591</v>
      </c>
      <c r="G13" s="126" t="s">
        <v>230</v>
      </c>
      <c r="H13" s="126" t="s">
        <v>65</v>
      </c>
      <c r="I13" s="127">
        <v>3.82</v>
      </c>
      <c r="J13" s="127">
        <v>1.39</v>
      </c>
      <c r="K13" s="127"/>
      <c r="L13" s="127"/>
      <c r="M13" s="144">
        <v>771</v>
      </c>
      <c r="N13" s="129">
        <v>12.164999999999999</v>
      </c>
      <c r="O13" s="129">
        <v>12.164999999999999</v>
      </c>
      <c r="P13" s="129" t="s">
        <v>116</v>
      </c>
      <c r="Q13" s="130" t="s">
        <v>1313</v>
      </c>
      <c r="R13" s="131"/>
      <c r="S13" s="131"/>
      <c r="T13" s="132">
        <v>44599</v>
      </c>
      <c r="U13" s="132">
        <v>44599</v>
      </c>
      <c r="V13" s="132"/>
      <c r="W13" s="132"/>
      <c r="X13" s="132"/>
      <c r="Y13" s="133"/>
      <c r="Z13" s="126" t="s">
        <v>64</v>
      </c>
      <c r="AA13" s="134" t="s">
        <v>154</v>
      </c>
      <c r="AB13" s="134" t="s">
        <v>1296</v>
      </c>
      <c r="AC13" s="134"/>
      <c r="AD13" s="134">
        <v>44516</v>
      </c>
      <c r="AE13" s="134"/>
      <c r="AF13" s="134">
        <f t="shared" ca="1" si="1"/>
        <v>44963</v>
      </c>
      <c r="AG13" s="126">
        <f t="shared" ca="1" si="2"/>
        <v>447</v>
      </c>
      <c r="AH13" s="126" t="str">
        <f t="shared" si="3"/>
        <v/>
      </c>
      <c r="AI13" s="134"/>
      <c r="AJ13" s="143" t="s">
        <v>2592</v>
      </c>
      <c r="AK13" s="129">
        <v>12.164999999999999</v>
      </c>
      <c r="AL13" s="129">
        <v>12.175000000000001</v>
      </c>
      <c r="AM13" s="129">
        <v>12.2</v>
      </c>
      <c r="AN13" s="129">
        <v>12.205</v>
      </c>
      <c r="AO13" s="126">
        <f t="shared" ca="1" si="4"/>
        <v>364</v>
      </c>
      <c r="AR13" s="99" t="s">
        <v>136</v>
      </c>
      <c r="AS13" s="281" t="str">
        <f>LEFT(RIGHT(C13,LEN(C13)-MIN(SEARCH({0,1,2,3,4,5,6,7,8,9},C13&amp;"0123456789"))+1),2)</f>
        <v>07</v>
      </c>
      <c r="AT13" s="99">
        <v>3</v>
      </c>
      <c r="AU13" s="99" t="str">
        <f>LEFT(RIGHT(C13,LEN(C13)-MIN(SEARCH({0,1,2,3,4,5,6,7,8,9},C13&amp;"0123456789"))+1),5)</f>
        <v>07.02</v>
      </c>
      <c r="AV13" s="99" t="str">
        <f t="shared" si="5"/>
        <v>MI</v>
      </c>
    </row>
    <row r="14" spans="1:48" s="99" customFormat="1" ht="21" customHeight="1" x14ac:dyDescent="0.35">
      <c r="A14" s="99">
        <v>421</v>
      </c>
      <c r="B14" s="126" t="str">
        <f t="shared" si="0"/>
        <v>0-304L/FH-001X770</v>
      </c>
      <c r="C14" s="126" t="s">
        <v>2982</v>
      </c>
      <c r="D14" s="126" t="s">
        <v>13</v>
      </c>
      <c r="E14" s="143" t="s">
        <v>2593</v>
      </c>
      <c r="F14" s="143" t="s">
        <v>2594</v>
      </c>
      <c r="G14" s="126" t="s">
        <v>230</v>
      </c>
      <c r="H14" s="126" t="s">
        <v>65</v>
      </c>
      <c r="I14" s="127">
        <v>3.49</v>
      </c>
      <c r="J14" s="127">
        <v>1.29</v>
      </c>
      <c r="K14" s="127"/>
      <c r="L14" s="127"/>
      <c r="M14" s="144">
        <v>770</v>
      </c>
      <c r="N14" s="129">
        <v>8.1150000000000002</v>
      </c>
      <c r="O14" s="129">
        <v>8.1150000000000002</v>
      </c>
      <c r="P14" s="129" t="s">
        <v>116</v>
      </c>
      <c r="Q14" s="130" t="s">
        <v>1313</v>
      </c>
      <c r="R14" s="131"/>
      <c r="S14" s="131"/>
      <c r="T14" s="132">
        <v>44599</v>
      </c>
      <c r="U14" s="132">
        <v>44600</v>
      </c>
      <c r="V14" s="132"/>
      <c r="W14" s="132"/>
      <c r="X14" s="132"/>
      <c r="Y14" s="133"/>
      <c r="Z14" s="126" t="s">
        <v>64</v>
      </c>
      <c r="AA14" s="134" t="s">
        <v>154</v>
      </c>
      <c r="AB14" s="134" t="s">
        <v>1256</v>
      </c>
      <c r="AC14" s="134"/>
      <c r="AD14" s="134">
        <v>44496</v>
      </c>
      <c r="AE14" s="134"/>
      <c r="AF14" s="134">
        <f t="shared" ca="1" si="1"/>
        <v>44963</v>
      </c>
      <c r="AG14" s="126">
        <f t="shared" ca="1" si="2"/>
        <v>467</v>
      </c>
      <c r="AH14" s="126" t="str">
        <f t="shared" si="3"/>
        <v/>
      </c>
      <c r="AI14" s="134"/>
      <c r="AJ14" s="143" t="s">
        <v>2595</v>
      </c>
      <c r="AK14" s="129">
        <v>8.1150000000000002</v>
      </c>
      <c r="AL14" s="129">
        <v>8.125</v>
      </c>
      <c r="AM14" s="129">
        <v>8.1499999999999986</v>
      </c>
      <c r="AN14" s="129">
        <v>8.1549999999999994</v>
      </c>
      <c r="AO14" s="126">
        <f t="shared" ca="1" si="4"/>
        <v>363</v>
      </c>
      <c r="AR14" s="99" t="s">
        <v>136</v>
      </c>
      <c r="AS14" s="281" t="str">
        <f>LEFT(RIGHT(C14,LEN(C14)-MIN(SEARCH({0,1,2,3,4,5,6,7,8,9},C14&amp;"0123456789"))+1),2)</f>
        <v>08</v>
      </c>
      <c r="AT14" s="99">
        <v>1</v>
      </c>
      <c r="AU14" s="99" t="str">
        <f>LEFT(RIGHT(C14,LEN(C14)-MIN(SEARCH({0,1,2,3,4,5,6,7,8,9},C14&amp;"0123456789"))+1),5)</f>
        <v>08.02</v>
      </c>
      <c r="AV14" s="99" t="str">
        <f t="shared" si="5"/>
        <v>MI</v>
      </c>
    </row>
    <row r="15" spans="1:48" s="99" customFormat="1" ht="21" customHeight="1" x14ac:dyDescent="0.35">
      <c r="A15" s="99">
        <v>421</v>
      </c>
      <c r="B15" s="126" t="str">
        <f t="shared" si="0"/>
        <v>0-304L/FH-001X770</v>
      </c>
      <c r="C15" s="126" t="s">
        <v>2982</v>
      </c>
      <c r="D15" s="126" t="s">
        <v>13</v>
      </c>
      <c r="E15" s="143" t="s">
        <v>1232</v>
      </c>
      <c r="F15" s="143" t="s">
        <v>1233</v>
      </c>
      <c r="G15" s="126" t="s">
        <v>230</v>
      </c>
      <c r="H15" s="126" t="s">
        <v>65</v>
      </c>
      <c r="I15" s="127">
        <v>2.88</v>
      </c>
      <c r="J15" s="127">
        <v>0.8</v>
      </c>
      <c r="K15" s="127"/>
      <c r="L15" s="127"/>
      <c r="M15" s="144">
        <v>770</v>
      </c>
      <c r="N15" s="129">
        <v>7.91</v>
      </c>
      <c r="O15" s="129">
        <v>7.91</v>
      </c>
      <c r="P15" s="129" t="s">
        <v>116</v>
      </c>
      <c r="Q15" s="130" t="s">
        <v>993</v>
      </c>
      <c r="R15" s="131"/>
      <c r="S15" s="131"/>
      <c r="T15" s="132">
        <v>44600</v>
      </c>
      <c r="U15" s="132">
        <v>44600</v>
      </c>
      <c r="V15" s="132"/>
      <c r="W15" s="132"/>
      <c r="X15" s="132"/>
      <c r="Y15" s="133"/>
      <c r="Z15" s="126" t="s">
        <v>64</v>
      </c>
      <c r="AA15" s="134" t="s">
        <v>154</v>
      </c>
      <c r="AB15" s="134" t="s">
        <v>1190</v>
      </c>
      <c r="AC15" s="134"/>
      <c r="AD15" s="134">
        <v>44496</v>
      </c>
      <c r="AE15" s="134"/>
      <c r="AF15" s="134">
        <f t="shared" ca="1" si="1"/>
        <v>44963</v>
      </c>
      <c r="AG15" s="126">
        <f t="shared" ca="1" si="2"/>
        <v>467</v>
      </c>
      <c r="AH15" s="126" t="str">
        <f t="shared" si="3"/>
        <v/>
      </c>
      <c r="AI15" s="134"/>
      <c r="AJ15" s="143" t="s">
        <v>1234</v>
      </c>
      <c r="AK15" s="129">
        <v>7.91</v>
      </c>
      <c r="AL15" s="129">
        <v>7.92</v>
      </c>
      <c r="AM15" s="129">
        <v>7.9450000000000003</v>
      </c>
      <c r="AN15" s="129">
        <v>7.95</v>
      </c>
      <c r="AO15" s="126">
        <f t="shared" ca="1" si="4"/>
        <v>363</v>
      </c>
      <c r="AR15" s="99" t="s">
        <v>136</v>
      </c>
      <c r="AS15" s="281" t="str">
        <f>LEFT(RIGHT(C15,LEN(C15)-MIN(SEARCH({0,1,2,3,4,5,6,7,8,9},C15&amp;"0123456789"))+1),2)</f>
        <v>08</v>
      </c>
      <c r="AT15" s="99">
        <v>1</v>
      </c>
      <c r="AU15" s="99" t="str">
        <f>LEFT(RIGHT(C15,LEN(C15)-MIN(SEARCH({0,1,2,3,4,5,6,7,8,9},C15&amp;"0123456789"))+1),5)</f>
        <v>08.02</v>
      </c>
      <c r="AV15" s="99" t="str">
        <f t="shared" si="5"/>
        <v>MI</v>
      </c>
    </row>
    <row r="16" spans="1:48" s="99" customFormat="1" ht="21" customHeight="1" x14ac:dyDescent="0.35">
      <c r="A16" s="99">
        <v>422</v>
      </c>
      <c r="B16" s="126" t="str">
        <f t="shared" si="0"/>
        <v>0-304L/FH-001X769</v>
      </c>
      <c r="C16" s="126" t="s">
        <v>2982</v>
      </c>
      <c r="D16" s="126" t="s">
        <v>13</v>
      </c>
      <c r="E16" s="143" t="s">
        <v>2598</v>
      </c>
      <c r="F16" s="143" t="s">
        <v>2599</v>
      </c>
      <c r="G16" s="126" t="s">
        <v>230</v>
      </c>
      <c r="H16" s="126" t="s">
        <v>65</v>
      </c>
      <c r="I16" s="127">
        <v>2.91</v>
      </c>
      <c r="J16" s="127">
        <v>0.95</v>
      </c>
      <c r="K16" s="127"/>
      <c r="L16" s="127"/>
      <c r="M16" s="144">
        <v>769</v>
      </c>
      <c r="N16" s="129">
        <v>7.83</v>
      </c>
      <c r="O16" s="129">
        <v>7.83</v>
      </c>
      <c r="P16" s="129" t="s">
        <v>116</v>
      </c>
      <c r="Q16" s="130" t="s">
        <v>993</v>
      </c>
      <c r="R16" s="131"/>
      <c r="S16" s="131"/>
      <c r="T16" s="132">
        <v>44600</v>
      </c>
      <c r="U16" s="132">
        <v>44600</v>
      </c>
      <c r="V16" s="132"/>
      <c r="W16" s="132"/>
      <c r="X16" s="132"/>
      <c r="Y16" s="133"/>
      <c r="Z16" s="126" t="s">
        <v>64</v>
      </c>
      <c r="AA16" s="134" t="s">
        <v>154</v>
      </c>
      <c r="AB16" s="134" t="s">
        <v>1296</v>
      </c>
      <c r="AC16" s="134"/>
      <c r="AD16" s="134">
        <v>44516</v>
      </c>
      <c r="AE16" s="134"/>
      <c r="AF16" s="134">
        <f t="shared" ca="1" si="1"/>
        <v>44963</v>
      </c>
      <c r="AG16" s="126">
        <f t="shared" ca="1" si="2"/>
        <v>447</v>
      </c>
      <c r="AH16" s="126" t="str">
        <f t="shared" si="3"/>
        <v/>
      </c>
      <c r="AI16" s="134"/>
      <c r="AJ16" s="143" t="s">
        <v>2570</v>
      </c>
      <c r="AK16" s="129">
        <v>7.83</v>
      </c>
      <c r="AL16" s="129">
        <v>7.84</v>
      </c>
      <c r="AM16" s="129">
        <v>7.8650000000000002</v>
      </c>
      <c r="AN16" s="129">
        <v>7.87</v>
      </c>
      <c r="AO16" s="126">
        <f t="shared" ca="1" si="4"/>
        <v>363</v>
      </c>
      <c r="AR16" s="99" t="s">
        <v>136</v>
      </c>
      <c r="AS16" s="281" t="str">
        <f>LEFT(RIGHT(C16,LEN(C16)-MIN(SEARCH({0,1,2,3,4,5,6,7,8,9},C16&amp;"0123456789"))+1),2)</f>
        <v>08</v>
      </c>
      <c r="AT16" s="99">
        <v>1</v>
      </c>
      <c r="AU16" s="99" t="str">
        <f>LEFT(RIGHT(C16,LEN(C16)-MIN(SEARCH({0,1,2,3,4,5,6,7,8,9},C16&amp;"0123456789"))+1),5)</f>
        <v>08.02</v>
      </c>
      <c r="AV16" s="99" t="str">
        <f t="shared" si="5"/>
        <v>MI</v>
      </c>
    </row>
    <row r="17" spans="1:59" s="99" customFormat="1" ht="21" customHeight="1" x14ac:dyDescent="0.35">
      <c r="A17" s="99">
        <v>422</v>
      </c>
      <c r="B17" s="126" t="str">
        <f t="shared" si="0"/>
        <v>0-304L/FH-001X768</v>
      </c>
      <c r="C17" s="126" t="s">
        <v>2982</v>
      </c>
      <c r="D17" s="126" t="s">
        <v>13</v>
      </c>
      <c r="E17" s="143" t="s">
        <v>2600</v>
      </c>
      <c r="F17" s="143" t="s">
        <v>2601</v>
      </c>
      <c r="G17" s="126" t="s">
        <v>230</v>
      </c>
      <c r="H17" s="126" t="s">
        <v>65</v>
      </c>
      <c r="I17" s="127">
        <v>2.91</v>
      </c>
      <c r="J17" s="127">
        <v>0.99</v>
      </c>
      <c r="K17" s="127"/>
      <c r="L17" s="127"/>
      <c r="M17" s="144">
        <v>768</v>
      </c>
      <c r="N17" s="129">
        <v>10.5</v>
      </c>
      <c r="O17" s="129">
        <v>10.5</v>
      </c>
      <c r="P17" s="129" t="s">
        <v>116</v>
      </c>
      <c r="Q17" s="130" t="s">
        <v>1313</v>
      </c>
      <c r="R17" s="131"/>
      <c r="S17" s="131"/>
      <c r="T17" s="132">
        <v>44600</v>
      </c>
      <c r="U17" s="132">
        <v>44600</v>
      </c>
      <c r="V17" s="132"/>
      <c r="W17" s="132"/>
      <c r="X17" s="132"/>
      <c r="Y17" s="133"/>
      <c r="Z17" s="126" t="s">
        <v>64</v>
      </c>
      <c r="AA17" s="134" t="s">
        <v>154</v>
      </c>
      <c r="AB17" s="134" t="s">
        <v>1296</v>
      </c>
      <c r="AC17" s="134"/>
      <c r="AD17" s="134">
        <v>44516</v>
      </c>
      <c r="AE17" s="134"/>
      <c r="AF17" s="134">
        <f t="shared" ca="1" si="1"/>
        <v>44963</v>
      </c>
      <c r="AG17" s="126">
        <f t="shared" ca="1" si="2"/>
        <v>447</v>
      </c>
      <c r="AH17" s="126" t="str">
        <f t="shared" si="3"/>
        <v/>
      </c>
      <c r="AI17" s="134"/>
      <c r="AJ17" s="143" t="s">
        <v>2602</v>
      </c>
      <c r="AK17" s="129">
        <v>10.5</v>
      </c>
      <c r="AL17" s="129">
        <v>10.51</v>
      </c>
      <c r="AM17" s="129">
        <v>10.534999999999998</v>
      </c>
      <c r="AN17" s="129">
        <v>10.54</v>
      </c>
      <c r="AO17" s="126">
        <f t="shared" ca="1" si="4"/>
        <v>363</v>
      </c>
      <c r="AR17" s="99" t="s">
        <v>136</v>
      </c>
      <c r="AS17" s="281" t="str">
        <f>LEFT(RIGHT(C17,LEN(C17)-MIN(SEARCH({0,1,2,3,4,5,6,7,8,9},C17&amp;"0123456789"))+1),2)</f>
        <v>08</v>
      </c>
      <c r="AT17" s="99">
        <v>1</v>
      </c>
      <c r="AU17" s="99" t="str">
        <f>LEFT(RIGHT(C17,LEN(C17)-MIN(SEARCH({0,1,2,3,4,5,6,7,8,9},C17&amp;"0123456789"))+1),5)</f>
        <v>08.02</v>
      </c>
      <c r="AV17" s="99" t="str">
        <f t="shared" si="5"/>
        <v>MI</v>
      </c>
    </row>
    <row r="18" spans="1:59" s="99" customFormat="1" ht="21" customHeight="1" x14ac:dyDescent="0.35">
      <c r="A18" s="99">
        <v>421</v>
      </c>
      <c r="B18" s="126" t="str">
        <f t="shared" si="0"/>
        <v>0-304L/FH-001X770</v>
      </c>
      <c r="C18" s="126" t="s">
        <v>2983</v>
      </c>
      <c r="D18" s="126" t="s">
        <v>13</v>
      </c>
      <c r="E18" s="143" t="s">
        <v>1258</v>
      </c>
      <c r="F18" s="143" t="s">
        <v>1259</v>
      </c>
      <c r="G18" s="126" t="s">
        <v>230</v>
      </c>
      <c r="H18" s="126" t="s">
        <v>65</v>
      </c>
      <c r="I18" s="127">
        <v>1.88</v>
      </c>
      <c r="J18" s="127">
        <v>0.95</v>
      </c>
      <c r="K18" s="127"/>
      <c r="L18" s="127"/>
      <c r="M18" s="144">
        <v>770</v>
      </c>
      <c r="N18" s="129">
        <v>5.3</v>
      </c>
      <c r="O18" s="129">
        <v>5.3</v>
      </c>
      <c r="P18" s="129" t="s">
        <v>116</v>
      </c>
      <c r="Q18" s="130" t="s">
        <v>993</v>
      </c>
      <c r="R18" s="131" t="s">
        <v>1143</v>
      </c>
      <c r="S18" s="131" t="s">
        <v>1260</v>
      </c>
      <c r="T18" s="132" t="s">
        <v>1261</v>
      </c>
      <c r="U18" s="132" t="s">
        <v>1261</v>
      </c>
      <c r="V18" s="132">
        <v>44497</v>
      </c>
      <c r="W18" s="132"/>
      <c r="X18" s="132"/>
      <c r="Y18" s="133"/>
      <c r="Z18" s="126" t="s">
        <v>64</v>
      </c>
      <c r="AA18" s="134" t="s">
        <v>154</v>
      </c>
      <c r="AB18" s="134" t="s">
        <v>1256</v>
      </c>
      <c r="AC18" s="134"/>
      <c r="AD18" s="134">
        <v>44496</v>
      </c>
      <c r="AE18" s="134"/>
      <c r="AF18" s="134">
        <f t="shared" ca="1" si="1"/>
        <v>44963</v>
      </c>
      <c r="AG18" s="126">
        <f t="shared" ca="1" si="2"/>
        <v>467</v>
      </c>
      <c r="AH18" s="126">
        <f t="shared" ca="1" si="3"/>
        <v>466</v>
      </c>
      <c r="AI18" s="134"/>
      <c r="AJ18" s="143" t="s">
        <v>1263</v>
      </c>
      <c r="AK18" s="129">
        <v>10.425000000000001</v>
      </c>
      <c r="AL18" s="129">
        <v>10.435</v>
      </c>
      <c r="AM18" s="129">
        <v>10.459999999999999</v>
      </c>
      <c r="AN18" s="129">
        <v>10.465</v>
      </c>
      <c r="AO18" s="126">
        <f t="shared" ca="1" si="4"/>
        <v>188</v>
      </c>
      <c r="AR18" s="99" t="s">
        <v>136</v>
      </c>
      <c r="AS18" s="281" t="str">
        <f>LEFT(RIGHT(C18,LEN(C18)-MIN(SEARCH({0,1,2,3,4,5,6,7,8,9},C18&amp;"0123456789"))+1),2)</f>
        <v>08</v>
      </c>
      <c r="AT18" s="99">
        <v>2</v>
      </c>
      <c r="AU18" s="99" t="str">
        <f>LEFT(RIGHT(C18,LEN(C18)-MIN(SEARCH({0,1,2,3,4,5,6,7,8,9},C18&amp;"0123456789"))+1),5)</f>
        <v>08.02</v>
      </c>
      <c r="AV18" s="99" t="str">
        <f t="shared" si="5"/>
        <v>RR</v>
      </c>
      <c r="BG18" s="135" t="s">
        <v>1264</v>
      </c>
    </row>
    <row r="19" spans="1:59" s="99" customFormat="1" ht="21" customHeight="1" x14ac:dyDescent="0.35">
      <c r="A19" s="99">
        <v>422</v>
      </c>
      <c r="B19" s="126" t="str">
        <f t="shared" si="0"/>
        <v>0-304/FH-001X768</v>
      </c>
      <c r="C19" s="126" t="s">
        <v>2983</v>
      </c>
      <c r="D19" s="126" t="s">
        <v>13</v>
      </c>
      <c r="E19" s="143" t="s">
        <v>1290</v>
      </c>
      <c r="F19" s="143" t="s">
        <v>1291</v>
      </c>
      <c r="G19" s="126">
        <v>304</v>
      </c>
      <c r="H19" s="126" t="s">
        <v>65</v>
      </c>
      <c r="I19" s="127">
        <v>1.98</v>
      </c>
      <c r="J19" s="127">
        <v>0.95</v>
      </c>
      <c r="K19" s="127"/>
      <c r="L19" s="127"/>
      <c r="M19" s="144">
        <v>768</v>
      </c>
      <c r="N19" s="129">
        <v>10.404999999999999</v>
      </c>
      <c r="O19" s="129">
        <v>10.404999999999999</v>
      </c>
      <c r="P19" s="129" t="s">
        <v>116</v>
      </c>
      <c r="Q19" s="130" t="s">
        <v>993</v>
      </c>
      <c r="R19" s="130" t="s">
        <v>267</v>
      </c>
      <c r="S19" s="131" t="s">
        <v>1293</v>
      </c>
      <c r="T19" s="132" t="s">
        <v>1294</v>
      </c>
      <c r="U19" s="132" t="s">
        <v>1294</v>
      </c>
      <c r="V19" s="132">
        <v>44582</v>
      </c>
      <c r="W19" s="132"/>
      <c r="X19" s="132"/>
      <c r="Y19" s="133"/>
      <c r="Z19" s="126" t="s">
        <v>64</v>
      </c>
      <c r="AA19" s="134" t="s">
        <v>154</v>
      </c>
      <c r="AB19" s="134" t="s">
        <v>1296</v>
      </c>
      <c r="AC19" s="134"/>
      <c r="AD19" s="134">
        <v>44516</v>
      </c>
      <c r="AE19" s="134"/>
      <c r="AF19" s="134">
        <f t="shared" ca="1" si="1"/>
        <v>44963</v>
      </c>
      <c r="AG19" s="126">
        <f t="shared" ca="1" si="2"/>
        <v>447</v>
      </c>
      <c r="AH19" s="126">
        <f t="shared" ca="1" si="3"/>
        <v>381</v>
      </c>
      <c r="AI19" s="134"/>
      <c r="AJ19" s="143" t="s">
        <v>1297</v>
      </c>
      <c r="AK19" s="129">
        <v>10.425000000000001</v>
      </c>
      <c r="AL19" s="129">
        <v>10.435</v>
      </c>
      <c r="AM19" s="129">
        <v>10.459999999999999</v>
      </c>
      <c r="AN19" s="129">
        <v>10.465</v>
      </c>
      <c r="AO19" s="126">
        <f t="shared" ca="1" si="4"/>
        <v>188</v>
      </c>
      <c r="AR19" s="99" t="s">
        <v>136</v>
      </c>
      <c r="AS19" s="281" t="str">
        <f>LEFT(RIGHT(C19,LEN(C19)-MIN(SEARCH({0,1,2,3,4,5,6,7,8,9},C19&amp;"0123456789"))+1),2)</f>
        <v>08</v>
      </c>
      <c r="AT19" s="99">
        <v>2</v>
      </c>
      <c r="AU19" s="99" t="str">
        <f>LEFT(RIGHT(C19,LEN(C19)-MIN(SEARCH({0,1,2,3,4,5,6,7,8,9},C19&amp;"0123456789"))+1),5)</f>
        <v>08.02</v>
      </c>
      <c r="AV19" s="99" t="str">
        <f t="shared" si="5"/>
        <v>RR</v>
      </c>
    </row>
    <row r="20" spans="1:59" s="99" customFormat="1" ht="21" customHeight="1" x14ac:dyDescent="0.35">
      <c r="A20" s="99">
        <v>422</v>
      </c>
      <c r="B20" s="126" t="str">
        <f t="shared" si="0"/>
        <v>0-304L/FH-001X766</v>
      </c>
      <c r="C20" s="126" t="s">
        <v>2982</v>
      </c>
      <c r="D20" s="126" t="s">
        <v>13</v>
      </c>
      <c r="E20" s="143" t="s">
        <v>2604</v>
      </c>
      <c r="F20" s="143" t="s">
        <v>2605</v>
      </c>
      <c r="G20" s="126" t="s">
        <v>230</v>
      </c>
      <c r="H20" s="126" t="s">
        <v>65</v>
      </c>
      <c r="I20" s="127">
        <v>2.91</v>
      </c>
      <c r="J20" s="127">
        <v>0.95</v>
      </c>
      <c r="K20" s="127"/>
      <c r="L20" s="127"/>
      <c r="M20" s="144">
        <v>766</v>
      </c>
      <c r="N20" s="129">
        <v>8.5549999999999997</v>
      </c>
      <c r="O20" s="129">
        <v>8.5549999999999997</v>
      </c>
      <c r="P20" s="129" t="s">
        <v>116</v>
      </c>
      <c r="Q20" s="130" t="s">
        <v>993</v>
      </c>
      <c r="R20" s="131"/>
      <c r="S20" s="131"/>
      <c r="T20" s="132">
        <v>44600</v>
      </c>
      <c r="U20" s="132">
        <v>44600</v>
      </c>
      <c r="V20" s="132"/>
      <c r="W20" s="132"/>
      <c r="X20" s="132"/>
      <c r="Y20" s="133"/>
      <c r="Z20" s="126" t="s">
        <v>64</v>
      </c>
      <c r="AA20" s="134" t="s">
        <v>154</v>
      </c>
      <c r="AB20" s="134" t="s">
        <v>1296</v>
      </c>
      <c r="AC20" s="134"/>
      <c r="AD20" s="134">
        <v>44516</v>
      </c>
      <c r="AE20" s="134"/>
      <c r="AF20" s="134">
        <f t="shared" ca="1" si="1"/>
        <v>44963</v>
      </c>
      <c r="AG20" s="126">
        <f t="shared" ca="1" si="2"/>
        <v>447</v>
      </c>
      <c r="AH20" s="126" t="str">
        <f t="shared" si="3"/>
        <v/>
      </c>
      <c r="AI20" s="134"/>
      <c r="AJ20" s="143" t="s">
        <v>1304</v>
      </c>
      <c r="AK20" s="129">
        <v>8.5549999999999997</v>
      </c>
      <c r="AL20" s="129">
        <v>8.5649999999999995</v>
      </c>
      <c r="AM20" s="129">
        <v>8.5899999999999981</v>
      </c>
      <c r="AN20" s="129">
        <v>8.5949999999999989</v>
      </c>
      <c r="AO20" s="126">
        <f t="shared" ca="1" si="4"/>
        <v>363</v>
      </c>
      <c r="AR20" s="99" t="s">
        <v>136</v>
      </c>
      <c r="AS20" s="281" t="str">
        <f>LEFT(RIGHT(C20,LEN(C20)-MIN(SEARCH({0,1,2,3,4,5,6,7,8,9},C20&amp;"0123456789"))+1),2)</f>
        <v>08</v>
      </c>
      <c r="AT20" s="99">
        <v>2</v>
      </c>
      <c r="AU20" s="99" t="str">
        <f>LEFT(RIGHT(C20,LEN(C20)-MIN(SEARCH({0,1,2,3,4,5,6,7,8,9},C20&amp;"0123456789"))+1),5)</f>
        <v>08.02</v>
      </c>
      <c r="AV20" s="99" t="str">
        <f t="shared" si="5"/>
        <v>MI</v>
      </c>
    </row>
    <row r="21" spans="1:59" s="99" customFormat="1" ht="21" customHeight="1" x14ac:dyDescent="0.35">
      <c r="A21" s="99">
        <v>422</v>
      </c>
      <c r="B21" s="126" t="str">
        <f t="shared" si="0"/>
        <v>0-304L/FH-001X765</v>
      </c>
      <c r="C21" s="126" t="s">
        <v>2982</v>
      </c>
      <c r="D21" s="126" t="s">
        <v>13</v>
      </c>
      <c r="E21" s="143" t="s">
        <v>1302</v>
      </c>
      <c r="F21" s="143" t="s">
        <v>1303</v>
      </c>
      <c r="G21" s="126" t="s">
        <v>230</v>
      </c>
      <c r="H21" s="126" t="s">
        <v>65</v>
      </c>
      <c r="I21" s="127">
        <v>2.9</v>
      </c>
      <c r="J21" s="127">
        <v>0.95</v>
      </c>
      <c r="K21" s="127"/>
      <c r="L21" s="127"/>
      <c r="M21" s="144">
        <v>765</v>
      </c>
      <c r="N21" s="129">
        <v>8.5350000000000001</v>
      </c>
      <c r="O21" s="129">
        <v>8.5350000000000001</v>
      </c>
      <c r="P21" s="129" t="s">
        <v>116</v>
      </c>
      <c r="Q21" s="130" t="s">
        <v>993</v>
      </c>
      <c r="R21" s="131"/>
      <c r="S21" s="131"/>
      <c r="T21" s="132">
        <v>44600</v>
      </c>
      <c r="U21" s="132">
        <v>44600</v>
      </c>
      <c r="V21" s="132"/>
      <c r="W21" s="132"/>
      <c r="X21" s="132"/>
      <c r="Y21" s="133"/>
      <c r="Z21" s="126" t="s">
        <v>64</v>
      </c>
      <c r="AA21" s="134" t="s">
        <v>154</v>
      </c>
      <c r="AB21" s="134" t="s">
        <v>1296</v>
      </c>
      <c r="AC21" s="134"/>
      <c r="AD21" s="134">
        <v>44516</v>
      </c>
      <c r="AE21" s="134"/>
      <c r="AF21" s="134">
        <f t="shared" ca="1" si="1"/>
        <v>44963</v>
      </c>
      <c r="AG21" s="126">
        <f t="shared" ca="1" si="2"/>
        <v>447</v>
      </c>
      <c r="AH21" s="126" t="str">
        <f t="shared" si="3"/>
        <v/>
      </c>
      <c r="AI21" s="134"/>
      <c r="AJ21" s="143" t="s">
        <v>1304</v>
      </c>
      <c r="AK21" s="129">
        <v>8.5350000000000001</v>
      </c>
      <c r="AL21" s="129">
        <v>8.5449999999999999</v>
      </c>
      <c r="AM21" s="129">
        <v>8.5699999999999985</v>
      </c>
      <c r="AN21" s="129">
        <v>8.5749999999999993</v>
      </c>
      <c r="AO21" s="126">
        <f t="shared" ca="1" si="4"/>
        <v>363</v>
      </c>
      <c r="AR21" s="99" t="s">
        <v>136</v>
      </c>
      <c r="AS21" s="281" t="str">
        <f>LEFT(RIGHT(C21,LEN(C21)-MIN(SEARCH({0,1,2,3,4,5,6,7,8,9},C21&amp;"0123456789"))+1),2)</f>
        <v>08</v>
      </c>
      <c r="AT21" s="99">
        <v>2</v>
      </c>
      <c r="AU21" s="99" t="str">
        <f>LEFT(RIGHT(C21,LEN(C21)-MIN(SEARCH({0,1,2,3,4,5,6,7,8,9},C21&amp;"0123456789"))+1),5)</f>
        <v>08.02</v>
      </c>
      <c r="AV21" s="99" t="str">
        <f t="shared" si="5"/>
        <v>MI</v>
      </c>
    </row>
    <row r="22" spans="1:59" s="99" customFormat="1" ht="21" customHeight="1" x14ac:dyDescent="0.35">
      <c r="A22" s="99">
        <v>422</v>
      </c>
      <c r="B22" s="126" t="str">
        <f t="shared" si="0"/>
        <v>0-304L/FH-001X766</v>
      </c>
      <c r="C22" s="126" t="s">
        <v>2982</v>
      </c>
      <c r="D22" s="126" t="s">
        <v>13</v>
      </c>
      <c r="E22" s="143" t="s">
        <v>1348</v>
      </c>
      <c r="F22" s="143" t="s">
        <v>1349</v>
      </c>
      <c r="G22" s="126" t="s">
        <v>230</v>
      </c>
      <c r="H22" s="126" t="s">
        <v>65</v>
      </c>
      <c r="I22" s="127">
        <v>2.91</v>
      </c>
      <c r="J22" s="127">
        <v>0.95</v>
      </c>
      <c r="K22" s="127"/>
      <c r="L22" s="127"/>
      <c r="M22" s="144">
        <v>766</v>
      </c>
      <c r="N22" s="129">
        <v>8.7200000000000006</v>
      </c>
      <c r="O22" s="129">
        <v>8.7200000000000006</v>
      </c>
      <c r="P22" s="129" t="s">
        <v>116</v>
      </c>
      <c r="Q22" s="130" t="s">
        <v>993</v>
      </c>
      <c r="R22" s="131"/>
      <c r="S22" s="131"/>
      <c r="T22" s="132">
        <v>44600</v>
      </c>
      <c r="U22" s="132">
        <v>44600</v>
      </c>
      <c r="V22" s="132"/>
      <c r="W22" s="132"/>
      <c r="X22" s="132"/>
      <c r="Y22" s="133"/>
      <c r="Z22" s="126" t="s">
        <v>64</v>
      </c>
      <c r="AA22" s="134" t="s">
        <v>154</v>
      </c>
      <c r="AB22" s="134" t="s">
        <v>1330</v>
      </c>
      <c r="AC22" s="134"/>
      <c r="AD22" s="134">
        <v>44516</v>
      </c>
      <c r="AE22" s="134"/>
      <c r="AF22" s="134">
        <f t="shared" ca="1" si="1"/>
        <v>44963</v>
      </c>
      <c r="AG22" s="126">
        <f t="shared" ca="1" si="2"/>
        <v>447</v>
      </c>
      <c r="AH22" s="126" t="str">
        <f t="shared" si="3"/>
        <v/>
      </c>
      <c r="AI22" s="134"/>
      <c r="AJ22" s="143" t="s">
        <v>1350</v>
      </c>
      <c r="AK22" s="129">
        <v>8.7200000000000006</v>
      </c>
      <c r="AL22" s="129">
        <v>8.73</v>
      </c>
      <c r="AM22" s="129">
        <v>8.754999999999999</v>
      </c>
      <c r="AN22" s="129">
        <v>8.76</v>
      </c>
      <c r="AO22" s="126">
        <f t="shared" ca="1" si="4"/>
        <v>363</v>
      </c>
      <c r="AR22" s="99" t="s">
        <v>136</v>
      </c>
      <c r="AS22" s="281" t="str">
        <f>LEFT(RIGHT(C22,LEN(C22)-MIN(SEARCH({0,1,2,3,4,5,6,7,8,9},C22&amp;"0123456789"))+1),2)</f>
        <v>08</v>
      </c>
      <c r="AT22" s="99">
        <v>3</v>
      </c>
      <c r="AU22" s="99" t="str">
        <f>LEFT(RIGHT(C22,LEN(C22)-MIN(SEARCH({0,1,2,3,4,5,6,7,8,9},C22&amp;"0123456789"))+1),5)</f>
        <v>08.02</v>
      </c>
      <c r="AV22" s="99" t="str">
        <f t="shared" si="5"/>
        <v>MI</v>
      </c>
    </row>
    <row r="23" spans="1:59" s="99" customFormat="1" ht="21" customHeight="1" x14ac:dyDescent="0.35">
      <c r="A23" s="99">
        <v>424</v>
      </c>
      <c r="B23" s="126" t="str">
        <f t="shared" si="0"/>
        <v>0-304L/FH-001X770</v>
      </c>
      <c r="C23" s="126" t="s">
        <v>2982</v>
      </c>
      <c r="D23" s="126" t="s">
        <v>13</v>
      </c>
      <c r="E23" s="143" t="s">
        <v>2606</v>
      </c>
      <c r="F23" s="143" t="s">
        <v>2607</v>
      </c>
      <c r="G23" s="126" t="s">
        <v>230</v>
      </c>
      <c r="H23" s="126" t="s">
        <v>65</v>
      </c>
      <c r="I23" s="127">
        <v>3.37</v>
      </c>
      <c r="J23" s="127">
        <v>1.2</v>
      </c>
      <c r="K23" s="127"/>
      <c r="L23" s="127"/>
      <c r="M23" s="144">
        <v>770</v>
      </c>
      <c r="N23" s="129">
        <v>10.414999999999999</v>
      </c>
      <c r="O23" s="129">
        <v>10.414999999999999</v>
      </c>
      <c r="P23" s="129" t="s">
        <v>116</v>
      </c>
      <c r="Q23" s="130" t="s">
        <v>2981</v>
      </c>
      <c r="R23" s="131"/>
      <c r="S23" s="131"/>
      <c r="T23" s="132">
        <v>44600</v>
      </c>
      <c r="U23" s="132">
        <v>44600</v>
      </c>
      <c r="V23" s="132"/>
      <c r="W23" s="132"/>
      <c r="X23" s="132"/>
      <c r="Y23" s="133" t="s">
        <v>1395</v>
      </c>
      <c r="Z23" s="126" t="s">
        <v>64</v>
      </c>
      <c r="AA23" s="134" t="s">
        <v>154</v>
      </c>
      <c r="AB23" s="134" t="s">
        <v>1516</v>
      </c>
      <c r="AC23" s="134"/>
      <c r="AD23" s="134">
        <v>44554</v>
      </c>
      <c r="AE23" s="134"/>
      <c r="AF23" s="134">
        <f t="shared" ca="1" si="1"/>
        <v>44963</v>
      </c>
      <c r="AG23" s="126">
        <f t="shared" ca="1" si="2"/>
        <v>409</v>
      </c>
      <c r="AH23" s="126" t="str">
        <f t="shared" si="3"/>
        <v/>
      </c>
      <c r="AI23" s="134"/>
      <c r="AJ23" s="143" t="s">
        <v>2608</v>
      </c>
      <c r="AK23" s="129">
        <v>10.414999999999999</v>
      </c>
      <c r="AL23" s="129">
        <v>10.425000000000001</v>
      </c>
      <c r="AM23" s="129">
        <v>10.45</v>
      </c>
      <c r="AN23" s="129">
        <v>10.455</v>
      </c>
      <c r="AO23" s="126">
        <f t="shared" ca="1" si="4"/>
        <v>363</v>
      </c>
      <c r="AR23" s="99" t="s">
        <v>136</v>
      </c>
      <c r="AS23" s="281" t="str">
        <f>LEFT(RIGHT(C23,LEN(C23)-MIN(SEARCH({0,1,2,3,4,5,6,7,8,9},C23&amp;"0123456789"))+1),2)</f>
        <v>08</v>
      </c>
      <c r="AT23" s="99">
        <v>3</v>
      </c>
      <c r="AU23" s="99" t="str">
        <f>LEFT(RIGHT(C23,LEN(C23)-MIN(SEARCH({0,1,2,3,4,5,6,7,8,9},C23&amp;"0123456789"))+1),5)</f>
        <v>08.02</v>
      </c>
      <c r="AV23" s="99" t="str">
        <f t="shared" si="5"/>
        <v>MI</v>
      </c>
    </row>
    <row r="24" spans="1:59" s="99" customFormat="1" ht="21" customHeight="1" x14ac:dyDescent="0.35">
      <c r="A24" s="99">
        <v>421</v>
      </c>
      <c r="B24" s="126" t="str">
        <f t="shared" si="0"/>
        <v>0-304L/FH-001X770</v>
      </c>
      <c r="C24" s="126" t="s">
        <v>2984</v>
      </c>
      <c r="D24" s="126" t="s">
        <v>13</v>
      </c>
      <c r="E24" s="143" t="s">
        <v>2612</v>
      </c>
      <c r="F24" s="143" t="s">
        <v>2613</v>
      </c>
      <c r="G24" s="126" t="s">
        <v>230</v>
      </c>
      <c r="H24" s="126" t="s">
        <v>65</v>
      </c>
      <c r="I24" s="127">
        <v>3.5</v>
      </c>
      <c r="J24" s="127">
        <v>1.2</v>
      </c>
      <c r="K24" s="127"/>
      <c r="L24" s="127"/>
      <c r="M24" s="144">
        <v>770</v>
      </c>
      <c r="N24" s="129">
        <v>10.34</v>
      </c>
      <c r="O24" s="129">
        <v>10.34</v>
      </c>
      <c r="P24" s="129" t="s">
        <v>116</v>
      </c>
      <c r="Q24" s="130" t="s">
        <v>2981</v>
      </c>
      <c r="R24" s="131"/>
      <c r="S24" s="131"/>
      <c r="T24" s="132">
        <v>44600</v>
      </c>
      <c r="U24" s="132">
        <v>44601</v>
      </c>
      <c r="V24" s="132"/>
      <c r="W24" s="132"/>
      <c r="X24" s="132"/>
      <c r="Y24" s="133"/>
      <c r="Z24" s="126" t="s">
        <v>64</v>
      </c>
      <c r="AA24" s="134" t="s">
        <v>154</v>
      </c>
      <c r="AB24" s="134" t="s">
        <v>1256</v>
      </c>
      <c r="AC24" s="134"/>
      <c r="AD24" s="134">
        <v>44496</v>
      </c>
      <c r="AE24" s="134"/>
      <c r="AF24" s="134">
        <f t="shared" ca="1" si="1"/>
        <v>44963</v>
      </c>
      <c r="AG24" s="126">
        <f t="shared" ca="1" si="2"/>
        <v>467</v>
      </c>
      <c r="AH24" s="126" t="str">
        <f t="shared" si="3"/>
        <v/>
      </c>
      <c r="AI24" s="134"/>
      <c r="AJ24" s="143" t="s">
        <v>2614</v>
      </c>
      <c r="AK24" s="129">
        <v>10.34</v>
      </c>
      <c r="AL24" s="129">
        <v>10.35</v>
      </c>
      <c r="AM24" s="129">
        <v>10.374999999999998</v>
      </c>
      <c r="AN24" s="129">
        <v>10.379999999999999</v>
      </c>
      <c r="AO24" s="126">
        <f t="shared" ca="1" si="4"/>
        <v>362</v>
      </c>
      <c r="AR24" s="99" t="s">
        <v>136</v>
      </c>
      <c r="AS24" s="281" t="str">
        <f>LEFT(RIGHT(C24,LEN(C24)-MIN(SEARCH({0,1,2,3,4,5,6,7,8,9},C24&amp;"0123456789"))+1),2)</f>
        <v>09</v>
      </c>
      <c r="AT24" s="99">
        <v>1</v>
      </c>
      <c r="AU24" s="99" t="str">
        <f>LEFT(RIGHT(C24,LEN(C24)-MIN(SEARCH({0,1,2,3,4,5,6,7,8,9},C24&amp;"0123456789"))+1),5)</f>
        <v>09.02</v>
      </c>
      <c r="AV24" s="99" t="str">
        <f t="shared" si="5"/>
        <v>MI</v>
      </c>
    </row>
    <row r="25" spans="1:59" s="99" customFormat="1" ht="21" customHeight="1" x14ac:dyDescent="0.35">
      <c r="A25" s="99">
        <v>422</v>
      </c>
      <c r="B25" s="126" t="str">
        <f t="shared" si="0"/>
        <v>0-304L/FH-002X770</v>
      </c>
      <c r="C25" s="126" t="s">
        <v>2984</v>
      </c>
      <c r="D25" s="126" t="s">
        <v>13</v>
      </c>
      <c r="E25" s="143" t="s">
        <v>2616</v>
      </c>
      <c r="F25" s="143" t="s">
        <v>2617</v>
      </c>
      <c r="G25" s="126" t="s">
        <v>230</v>
      </c>
      <c r="H25" s="126" t="s">
        <v>65</v>
      </c>
      <c r="I25" s="127">
        <v>3.81</v>
      </c>
      <c r="J25" s="127">
        <v>1.5</v>
      </c>
      <c r="K25" s="127"/>
      <c r="L25" s="127"/>
      <c r="M25" s="144">
        <v>770</v>
      </c>
      <c r="N25" s="129">
        <v>11.95</v>
      </c>
      <c r="O25" s="129">
        <v>11.95</v>
      </c>
      <c r="P25" s="129" t="s">
        <v>116</v>
      </c>
      <c r="Q25" s="130" t="s">
        <v>2981</v>
      </c>
      <c r="R25" s="131"/>
      <c r="S25" s="131"/>
      <c r="T25" s="132">
        <v>44601</v>
      </c>
      <c r="U25" s="132">
        <v>44601</v>
      </c>
      <c r="V25" s="132"/>
      <c r="W25" s="132"/>
      <c r="X25" s="132"/>
      <c r="Y25" s="133"/>
      <c r="Z25" s="126" t="s">
        <v>64</v>
      </c>
      <c r="AA25" s="134" t="s">
        <v>154</v>
      </c>
      <c r="AB25" s="134" t="s">
        <v>1296</v>
      </c>
      <c r="AC25" s="134"/>
      <c r="AD25" s="134">
        <v>44516</v>
      </c>
      <c r="AE25" s="134"/>
      <c r="AF25" s="134">
        <f t="shared" ca="1" si="1"/>
        <v>44963</v>
      </c>
      <c r="AG25" s="126">
        <f t="shared" ca="1" si="2"/>
        <v>447</v>
      </c>
      <c r="AH25" s="126" t="str">
        <f t="shared" si="3"/>
        <v/>
      </c>
      <c r="AI25" s="134"/>
      <c r="AJ25" s="143" t="s">
        <v>2618</v>
      </c>
      <c r="AK25" s="129">
        <v>11.95</v>
      </c>
      <c r="AL25" s="129">
        <v>11.96</v>
      </c>
      <c r="AM25" s="129">
        <v>11.984999999999999</v>
      </c>
      <c r="AN25" s="129">
        <v>11.99</v>
      </c>
      <c r="AO25" s="126">
        <f t="shared" ca="1" si="4"/>
        <v>362</v>
      </c>
      <c r="AR25" s="99" t="s">
        <v>136</v>
      </c>
      <c r="AS25" s="281" t="str">
        <f>LEFT(RIGHT(C25,LEN(C25)-MIN(SEARCH({0,1,2,3,4,5,6,7,8,9},C25&amp;"0123456789"))+1),2)</f>
        <v>09</v>
      </c>
      <c r="AT25" s="99">
        <v>1</v>
      </c>
      <c r="AU25" s="99" t="str">
        <f>LEFT(RIGHT(C25,LEN(C25)-MIN(SEARCH({0,1,2,3,4,5,6,7,8,9},C25&amp;"0123456789"))+1),5)</f>
        <v>09.02</v>
      </c>
      <c r="AV25" s="99" t="str">
        <f t="shared" si="5"/>
        <v>MI</v>
      </c>
    </row>
    <row r="26" spans="1:59" s="99" customFormat="1" ht="21" customHeight="1" x14ac:dyDescent="0.35">
      <c r="A26" s="99">
        <v>422</v>
      </c>
      <c r="B26" s="126" t="str">
        <f t="shared" si="0"/>
        <v>0-304/FH-001X770</v>
      </c>
      <c r="C26" s="126" t="s">
        <v>2984</v>
      </c>
      <c r="D26" s="126" t="s">
        <v>13</v>
      </c>
      <c r="E26" s="143" t="s">
        <v>2620</v>
      </c>
      <c r="F26" s="143" t="s">
        <v>2621</v>
      </c>
      <c r="G26" s="126">
        <v>304</v>
      </c>
      <c r="H26" s="126" t="s">
        <v>65</v>
      </c>
      <c r="I26" s="127">
        <v>3.48</v>
      </c>
      <c r="J26" s="127">
        <v>1.2</v>
      </c>
      <c r="K26" s="127"/>
      <c r="L26" s="127"/>
      <c r="M26" s="144">
        <v>770</v>
      </c>
      <c r="N26" s="129">
        <v>10.43</v>
      </c>
      <c r="O26" s="129">
        <v>10.43</v>
      </c>
      <c r="P26" s="129" t="s">
        <v>116</v>
      </c>
      <c r="Q26" s="130" t="s">
        <v>2981</v>
      </c>
      <c r="R26" s="131"/>
      <c r="S26" s="131"/>
      <c r="T26" s="132">
        <v>44601</v>
      </c>
      <c r="U26" s="132">
        <v>44601</v>
      </c>
      <c r="V26" s="132"/>
      <c r="W26" s="132"/>
      <c r="X26" s="132"/>
      <c r="Y26" s="133"/>
      <c r="Z26" s="126" t="s">
        <v>64</v>
      </c>
      <c r="AA26" s="134" t="s">
        <v>154</v>
      </c>
      <c r="AB26" s="134" t="s">
        <v>1256</v>
      </c>
      <c r="AC26" s="134"/>
      <c r="AD26" s="134">
        <v>44516</v>
      </c>
      <c r="AE26" s="134"/>
      <c r="AF26" s="134">
        <f t="shared" ca="1" si="1"/>
        <v>44963</v>
      </c>
      <c r="AG26" s="126">
        <f t="shared" ca="1" si="2"/>
        <v>447</v>
      </c>
      <c r="AH26" s="126" t="str">
        <f t="shared" si="3"/>
        <v/>
      </c>
      <c r="AI26" s="134"/>
      <c r="AJ26" s="143" t="s">
        <v>2622</v>
      </c>
      <c r="AK26" s="129">
        <v>10.43</v>
      </c>
      <c r="AL26" s="129">
        <v>10.44</v>
      </c>
      <c r="AM26" s="129">
        <v>10.464999999999998</v>
      </c>
      <c r="AN26" s="129">
        <v>10.469999999999999</v>
      </c>
      <c r="AO26" s="126">
        <f t="shared" ca="1" si="4"/>
        <v>362</v>
      </c>
      <c r="AR26" s="99" t="s">
        <v>136</v>
      </c>
      <c r="AS26" s="281" t="str">
        <f>LEFT(RIGHT(C26,LEN(C26)-MIN(SEARCH({0,1,2,3,4,5,6,7,8,9},C26&amp;"0123456789"))+1),2)</f>
        <v>09</v>
      </c>
      <c r="AT26" s="99">
        <v>1</v>
      </c>
      <c r="AU26" s="99" t="str">
        <f>LEFT(RIGHT(C26,LEN(C26)-MIN(SEARCH({0,1,2,3,4,5,6,7,8,9},C26&amp;"0123456789"))+1),5)</f>
        <v>09.02</v>
      </c>
      <c r="AV26" s="99" t="str">
        <f t="shared" si="5"/>
        <v>MI</v>
      </c>
    </row>
    <row r="27" spans="1:59" s="99" customFormat="1" ht="21" customHeight="1" x14ac:dyDescent="0.35">
      <c r="A27" s="99">
        <v>424</v>
      </c>
      <c r="B27" s="126" t="str">
        <f t="shared" si="0"/>
        <v>0-304/FH-002X770</v>
      </c>
      <c r="C27" s="126" t="s">
        <v>2984</v>
      </c>
      <c r="D27" s="126" t="s">
        <v>13</v>
      </c>
      <c r="E27" s="143" t="s">
        <v>2623</v>
      </c>
      <c r="F27" s="143" t="s">
        <v>2624</v>
      </c>
      <c r="G27" s="126">
        <v>304</v>
      </c>
      <c r="H27" s="126" t="s">
        <v>65</v>
      </c>
      <c r="I27" s="127">
        <v>3.64</v>
      </c>
      <c r="J27" s="127">
        <v>1.5</v>
      </c>
      <c r="K27" s="127"/>
      <c r="L27" s="127"/>
      <c r="M27" s="144">
        <v>770</v>
      </c>
      <c r="N27" s="129">
        <v>11.99</v>
      </c>
      <c r="O27" s="129">
        <v>11.99</v>
      </c>
      <c r="P27" s="129" t="s">
        <v>116</v>
      </c>
      <c r="Q27" s="130" t="s">
        <v>2981</v>
      </c>
      <c r="R27" s="131"/>
      <c r="S27" s="131"/>
      <c r="T27" s="132">
        <v>44601</v>
      </c>
      <c r="U27" s="132">
        <v>44601</v>
      </c>
      <c r="V27" s="132"/>
      <c r="W27" s="132"/>
      <c r="X27" s="132"/>
      <c r="Y27" s="133" t="s">
        <v>1395</v>
      </c>
      <c r="Z27" s="126" t="s">
        <v>64</v>
      </c>
      <c r="AA27" s="134" t="s">
        <v>154</v>
      </c>
      <c r="AB27" s="134" t="s">
        <v>1330</v>
      </c>
      <c r="AC27" s="134"/>
      <c r="AD27" s="134">
        <v>44554</v>
      </c>
      <c r="AE27" s="134"/>
      <c r="AF27" s="134">
        <f t="shared" ca="1" si="1"/>
        <v>44963</v>
      </c>
      <c r="AG27" s="126">
        <f t="shared" ca="1" si="2"/>
        <v>409</v>
      </c>
      <c r="AH27" s="126" t="str">
        <f t="shared" si="3"/>
        <v/>
      </c>
      <c r="AI27" s="134"/>
      <c r="AJ27" s="143" t="s">
        <v>2625</v>
      </c>
      <c r="AK27" s="129">
        <v>11.99</v>
      </c>
      <c r="AL27" s="129">
        <v>12</v>
      </c>
      <c r="AM27" s="129">
        <v>12.024999999999999</v>
      </c>
      <c r="AN27" s="129">
        <v>12.03</v>
      </c>
      <c r="AO27" s="126">
        <f t="shared" ca="1" si="4"/>
        <v>362</v>
      </c>
      <c r="AR27" s="99" t="s">
        <v>136</v>
      </c>
      <c r="AS27" s="281" t="str">
        <f>LEFT(RIGHT(C27,LEN(C27)-MIN(SEARCH({0,1,2,3,4,5,6,7,8,9},C27&amp;"0123456789"))+1),2)</f>
        <v>09</v>
      </c>
      <c r="AT27" s="99">
        <v>1</v>
      </c>
      <c r="AU27" s="99" t="str">
        <f>LEFT(RIGHT(C27,LEN(C27)-MIN(SEARCH({0,1,2,3,4,5,6,7,8,9},C27&amp;"0123456789"))+1),5)</f>
        <v>09.02</v>
      </c>
      <c r="AV27" s="99" t="str">
        <f t="shared" si="5"/>
        <v>MI</v>
      </c>
    </row>
    <row r="28" spans="1:59" s="99" customFormat="1" ht="21" customHeight="1" x14ac:dyDescent="0.35">
      <c r="A28" s="99">
        <v>424</v>
      </c>
      <c r="B28" s="126" t="str">
        <f t="shared" si="0"/>
        <v>0-304L/FH-001X769</v>
      </c>
      <c r="C28" s="126" t="s">
        <v>2984</v>
      </c>
      <c r="D28" s="126" t="s">
        <v>13</v>
      </c>
      <c r="E28" s="143" t="s">
        <v>2609</v>
      </c>
      <c r="F28" s="143" t="s">
        <v>2610</v>
      </c>
      <c r="G28" s="126" t="s">
        <v>230</v>
      </c>
      <c r="H28" s="126" t="s">
        <v>65</v>
      </c>
      <c r="I28" s="127">
        <v>3.37</v>
      </c>
      <c r="J28" s="127">
        <v>1.2</v>
      </c>
      <c r="K28" s="127"/>
      <c r="L28" s="127"/>
      <c r="M28" s="144">
        <v>769</v>
      </c>
      <c r="N28" s="129">
        <v>10.385</v>
      </c>
      <c r="O28" s="129">
        <v>10.385</v>
      </c>
      <c r="P28" s="129" t="s">
        <v>116</v>
      </c>
      <c r="Q28" s="130" t="s">
        <v>2981</v>
      </c>
      <c r="R28" s="131"/>
      <c r="S28" s="131"/>
      <c r="T28" s="132">
        <v>44600</v>
      </c>
      <c r="U28" s="132">
        <v>44601</v>
      </c>
      <c r="V28" s="132"/>
      <c r="W28" s="132"/>
      <c r="X28" s="132"/>
      <c r="Y28" s="133" t="s">
        <v>1395</v>
      </c>
      <c r="Z28" s="126" t="s">
        <v>64</v>
      </c>
      <c r="AA28" s="134" t="s">
        <v>154</v>
      </c>
      <c r="AB28" s="134" t="s">
        <v>1516</v>
      </c>
      <c r="AC28" s="134"/>
      <c r="AD28" s="134">
        <v>44554</v>
      </c>
      <c r="AE28" s="134"/>
      <c r="AF28" s="134">
        <f t="shared" ca="1" si="1"/>
        <v>44963</v>
      </c>
      <c r="AG28" s="126">
        <f t="shared" ca="1" si="2"/>
        <v>409</v>
      </c>
      <c r="AH28" s="126" t="str">
        <f t="shared" si="3"/>
        <v/>
      </c>
      <c r="AI28" s="134"/>
      <c r="AJ28" s="143" t="s">
        <v>2611</v>
      </c>
      <c r="AK28" s="129">
        <v>10.385</v>
      </c>
      <c r="AL28" s="129">
        <v>10.395</v>
      </c>
      <c r="AM28" s="129">
        <v>10.419999999999998</v>
      </c>
      <c r="AN28" s="129">
        <v>10.424999999999999</v>
      </c>
      <c r="AO28" s="126">
        <f t="shared" ca="1" si="4"/>
        <v>362</v>
      </c>
      <c r="AR28" s="99" t="s">
        <v>136</v>
      </c>
      <c r="AS28" s="281" t="str">
        <f>LEFT(RIGHT(C28,LEN(C28)-MIN(SEARCH({0,1,2,3,4,5,6,7,8,9},C28&amp;"0123456789"))+1),2)</f>
        <v>09</v>
      </c>
      <c r="AT28" s="99">
        <v>2</v>
      </c>
      <c r="AU28" s="99" t="str">
        <f>LEFT(RIGHT(C28,LEN(C28)-MIN(SEARCH({0,1,2,3,4,5,6,7,8,9},C28&amp;"0123456789"))+1),5)</f>
        <v>09.02</v>
      </c>
      <c r="AV28" s="99" t="str">
        <f t="shared" si="5"/>
        <v>MI</v>
      </c>
    </row>
    <row r="29" spans="1:59" s="99" customFormat="1" ht="21" customHeight="1" x14ac:dyDescent="0.35">
      <c r="A29" s="99">
        <v>424</v>
      </c>
      <c r="B29" s="126" t="str">
        <f t="shared" si="0"/>
        <v>0-304L/FH-002X767</v>
      </c>
      <c r="C29" s="126" t="s">
        <v>2984</v>
      </c>
      <c r="D29" s="126" t="s">
        <v>13</v>
      </c>
      <c r="E29" s="143" t="s">
        <v>2626</v>
      </c>
      <c r="F29" s="143" t="s">
        <v>2627</v>
      </c>
      <c r="G29" s="126" t="s">
        <v>230</v>
      </c>
      <c r="H29" s="126" t="s">
        <v>65</v>
      </c>
      <c r="I29" s="127">
        <v>3.77</v>
      </c>
      <c r="J29" s="127">
        <v>1.5</v>
      </c>
      <c r="K29" s="127"/>
      <c r="L29" s="127"/>
      <c r="M29" s="144">
        <v>767</v>
      </c>
      <c r="N29" s="129">
        <v>11.945</v>
      </c>
      <c r="O29" s="129">
        <v>11.945</v>
      </c>
      <c r="P29" s="129" t="s">
        <v>116</v>
      </c>
      <c r="Q29" s="130" t="s">
        <v>2981</v>
      </c>
      <c r="R29" s="131"/>
      <c r="S29" s="131"/>
      <c r="T29" s="132">
        <v>44601</v>
      </c>
      <c r="U29" s="132">
        <v>44601</v>
      </c>
      <c r="V29" s="132"/>
      <c r="W29" s="132"/>
      <c r="X29" s="132"/>
      <c r="Y29" s="133" t="s">
        <v>1395</v>
      </c>
      <c r="Z29" s="126" t="s">
        <v>64</v>
      </c>
      <c r="AA29" s="134" t="s">
        <v>154</v>
      </c>
      <c r="AB29" s="134" t="s">
        <v>1330</v>
      </c>
      <c r="AC29" s="134"/>
      <c r="AD29" s="134">
        <v>44554</v>
      </c>
      <c r="AE29" s="134"/>
      <c r="AF29" s="134">
        <f t="shared" ca="1" si="1"/>
        <v>44963</v>
      </c>
      <c r="AG29" s="126">
        <f t="shared" ca="1" si="2"/>
        <v>409</v>
      </c>
      <c r="AH29" s="126" t="str">
        <f t="shared" si="3"/>
        <v/>
      </c>
      <c r="AI29" s="134"/>
      <c r="AJ29" s="143" t="s">
        <v>1513</v>
      </c>
      <c r="AK29" s="129">
        <v>11.945</v>
      </c>
      <c r="AL29" s="129">
        <v>11.955</v>
      </c>
      <c r="AM29" s="129">
        <v>11.979999999999999</v>
      </c>
      <c r="AN29" s="129">
        <v>11.984999999999999</v>
      </c>
      <c r="AO29" s="126">
        <f t="shared" ca="1" si="4"/>
        <v>362</v>
      </c>
      <c r="AR29" s="99" t="s">
        <v>136</v>
      </c>
      <c r="AS29" s="281" t="str">
        <f>LEFT(RIGHT(C29,LEN(C29)-MIN(SEARCH({0,1,2,3,4,5,6,7,8,9},C29&amp;"0123456789"))+1),2)</f>
        <v>09</v>
      </c>
      <c r="AT29" s="99">
        <v>2</v>
      </c>
      <c r="AU29" s="99" t="str">
        <f>LEFT(RIGHT(C29,LEN(C29)-MIN(SEARCH({0,1,2,3,4,5,6,7,8,9},C29&amp;"0123456789"))+1),5)</f>
        <v>09.02</v>
      </c>
      <c r="AV29" s="99" t="str">
        <f t="shared" si="5"/>
        <v>MI</v>
      </c>
    </row>
    <row r="30" spans="1:59" s="99" customFormat="1" ht="21" customHeight="1" x14ac:dyDescent="0.35">
      <c r="A30" s="99">
        <v>421</v>
      </c>
      <c r="B30" s="126" t="str">
        <f t="shared" si="0"/>
        <v>0-304L/FH-001X770</v>
      </c>
      <c r="C30" s="126" t="s">
        <v>2984</v>
      </c>
      <c r="D30" s="126" t="s">
        <v>13</v>
      </c>
      <c r="E30" s="143" t="s">
        <v>2628</v>
      </c>
      <c r="F30" s="143" t="s">
        <v>2629</v>
      </c>
      <c r="G30" s="126" t="s">
        <v>230</v>
      </c>
      <c r="H30" s="126" t="s">
        <v>65</v>
      </c>
      <c r="I30" s="127">
        <v>3.18</v>
      </c>
      <c r="J30" s="127">
        <v>1.2</v>
      </c>
      <c r="K30" s="127"/>
      <c r="L30" s="127"/>
      <c r="M30" s="144">
        <v>770</v>
      </c>
      <c r="N30" s="129">
        <v>10.51</v>
      </c>
      <c r="O30" s="129">
        <v>10.51</v>
      </c>
      <c r="P30" s="129" t="s">
        <v>116</v>
      </c>
      <c r="Q30" s="130" t="s">
        <v>2981</v>
      </c>
      <c r="R30" s="131"/>
      <c r="S30" s="131"/>
      <c r="T30" s="132">
        <v>44601</v>
      </c>
      <c r="U30" s="132">
        <v>44601</v>
      </c>
      <c r="V30" s="132"/>
      <c r="W30" s="132"/>
      <c r="X30" s="132"/>
      <c r="Y30" s="133"/>
      <c r="Z30" s="126" t="s">
        <v>64</v>
      </c>
      <c r="AA30" s="134" t="s">
        <v>154</v>
      </c>
      <c r="AB30" s="134" t="s">
        <v>1246</v>
      </c>
      <c r="AC30" s="134"/>
      <c r="AD30" s="134">
        <v>44496</v>
      </c>
      <c r="AE30" s="134"/>
      <c r="AF30" s="134">
        <f t="shared" ca="1" si="1"/>
        <v>44963</v>
      </c>
      <c r="AG30" s="126">
        <f t="shared" ca="1" si="2"/>
        <v>467</v>
      </c>
      <c r="AH30" s="126" t="str">
        <f t="shared" si="3"/>
        <v/>
      </c>
      <c r="AI30" s="134"/>
      <c r="AJ30" s="143" t="s">
        <v>2630</v>
      </c>
      <c r="AK30" s="129">
        <v>10.51</v>
      </c>
      <c r="AL30" s="129">
        <v>10.52</v>
      </c>
      <c r="AM30" s="129">
        <v>10.544999999999998</v>
      </c>
      <c r="AN30" s="129">
        <v>10.549999999999999</v>
      </c>
      <c r="AO30" s="126">
        <f t="shared" ca="1" si="4"/>
        <v>362</v>
      </c>
      <c r="AR30" s="99" t="s">
        <v>136</v>
      </c>
      <c r="AS30" s="281" t="str">
        <f>LEFT(RIGHT(C30,LEN(C30)-MIN(SEARCH({0,1,2,3,4,5,6,7,8,9},C30&amp;"0123456789"))+1),2)</f>
        <v>09</v>
      </c>
      <c r="AT30" s="99">
        <v>2</v>
      </c>
      <c r="AU30" s="99" t="str">
        <f>LEFT(RIGHT(C30,LEN(C30)-MIN(SEARCH({0,1,2,3,4,5,6,7,8,9},C30&amp;"0123456789"))+1),5)</f>
        <v>09.02</v>
      </c>
      <c r="AV30" s="99" t="str">
        <f t="shared" si="5"/>
        <v>MI</v>
      </c>
    </row>
    <row r="31" spans="1:59" s="99" customFormat="1" ht="21" customHeight="1" x14ac:dyDescent="0.35">
      <c r="A31" s="99">
        <v>421</v>
      </c>
      <c r="B31" s="126" t="str">
        <f t="shared" si="0"/>
        <v>0-304/FH-001X770</v>
      </c>
      <c r="C31" s="126" t="s">
        <v>2984</v>
      </c>
      <c r="D31" s="126" t="s">
        <v>13</v>
      </c>
      <c r="E31" s="143" t="s">
        <v>2631</v>
      </c>
      <c r="F31" s="143" t="s">
        <v>2632</v>
      </c>
      <c r="G31" s="126">
        <v>304</v>
      </c>
      <c r="H31" s="126" t="s">
        <v>65</v>
      </c>
      <c r="I31" s="127">
        <v>3.17</v>
      </c>
      <c r="J31" s="127">
        <v>1.2</v>
      </c>
      <c r="K31" s="127"/>
      <c r="L31" s="127"/>
      <c r="M31" s="144">
        <v>770</v>
      </c>
      <c r="N31" s="129">
        <v>9.48</v>
      </c>
      <c r="O31" s="129">
        <v>9.48</v>
      </c>
      <c r="P31" s="129" t="s">
        <v>116</v>
      </c>
      <c r="Q31" s="130" t="s">
        <v>2985</v>
      </c>
      <c r="R31" s="131"/>
      <c r="S31" s="131"/>
      <c r="T31" s="132">
        <v>44601</v>
      </c>
      <c r="U31" s="132">
        <v>44601</v>
      </c>
      <c r="V31" s="132"/>
      <c r="W31" s="132"/>
      <c r="X31" s="132"/>
      <c r="Y31" s="133"/>
      <c r="Z31" s="126" t="s">
        <v>64</v>
      </c>
      <c r="AA31" s="134" t="s">
        <v>154</v>
      </c>
      <c r="AB31" s="134" t="s">
        <v>1239</v>
      </c>
      <c r="AC31" s="134"/>
      <c r="AD31" s="134">
        <v>44496</v>
      </c>
      <c r="AE31" s="134"/>
      <c r="AF31" s="134">
        <f t="shared" ca="1" si="1"/>
        <v>44963</v>
      </c>
      <c r="AG31" s="126">
        <f t="shared" ca="1" si="2"/>
        <v>467</v>
      </c>
      <c r="AH31" s="126" t="str">
        <f t="shared" si="3"/>
        <v/>
      </c>
      <c r="AI31" s="134"/>
      <c r="AJ31" s="143" t="s">
        <v>2633</v>
      </c>
      <c r="AK31" s="129">
        <v>9.48</v>
      </c>
      <c r="AL31" s="129">
        <v>9.49</v>
      </c>
      <c r="AM31" s="129">
        <v>9.5149999999999988</v>
      </c>
      <c r="AN31" s="129">
        <v>9.52</v>
      </c>
      <c r="AO31" s="126">
        <f t="shared" ca="1" si="4"/>
        <v>362</v>
      </c>
      <c r="AR31" s="99" t="s">
        <v>136</v>
      </c>
      <c r="AS31" s="281" t="str">
        <f>LEFT(RIGHT(C31,LEN(C31)-MIN(SEARCH({0,1,2,3,4,5,6,7,8,9},C31&amp;"0123456789"))+1),2)</f>
        <v>09</v>
      </c>
      <c r="AT31" s="99">
        <v>2</v>
      </c>
      <c r="AU31" s="99" t="str">
        <f>LEFT(RIGHT(C31,LEN(C31)-MIN(SEARCH({0,1,2,3,4,5,6,7,8,9},C31&amp;"0123456789"))+1),5)</f>
        <v>09.02</v>
      </c>
      <c r="AV31" s="99" t="str">
        <f t="shared" si="5"/>
        <v>MI</v>
      </c>
    </row>
    <row r="32" spans="1:59" s="99" customFormat="1" ht="21" customHeight="1" x14ac:dyDescent="0.35">
      <c r="A32" s="99">
        <v>421</v>
      </c>
      <c r="B32" s="126" t="str">
        <f t="shared" si="0"/>
        <v>0-304L/FH-002X770</v>
      </c>
      <c r="C32" s="126" t="s">
        <v>2984</v>
      </c>
      <c r="D32" s="126" t="s">
        <v>13</v>
      </c>
      <c r="E32" s="143" t="s">
        <v>2637</v>
      </c>
      <c r="F32" s="143" t="s">
        <v>2638</v>
      </c>
      <c r="G32" s="126" t="s">
        <v>230</v>
      </c>
      <c r="H32" s="126" t="s">
        <v>65</v>
      </c>
      <c r="I32" s="127">
        <v>3.79</v>
      </c>
      <c r="J32" s="127">
        <v>1.5</v>
      </c>
      <c r="K32" s="127"/>
      <c r="L32" s="127"/>
      <c r="M32" s="144">
        <v>770</v>
      </c>
      <c r="N32" s="129">
        <v>10.365</v>
      </c>
      <c r="O32" s="129">
        <v>10.365</v>
      </c>
      <c r="P32" s="129" t="s">
        <v>116</v>
      </c>
      <c r="Q32" s="130" t="s">
        <v>2985</v>
      </c>
      <c r="R32" s="131"/>
      <c r="S32" s="131"/>
      <c r="T32" s="132">
        <v>44601</v>
      </c>
      <c r="U32" s="132">
        <v>44601</v>
      </c>
      <c r="V32" s="132"/>
      <c r="W32" s="132"/>
      <c r="X32" s="132"/>
      <c r="Y32" s="133"/>
      <c r="Z32" s="126" t="s">
        <v>64</v>
      </c>
      <c r="AA32" s="134" t="s">
        <v>154</v>
      </c>
      <c r="AB32" s="134" t="s">
        <v>1256</v>
      </c>
      <c r="AC32" s="134"/>
      <c r="AD32" s="134">
        <v>44496</v>
      </c>
      <c r="AE32" s="134"/>
      <c r="AF32" s="134">
        <f t="shared" ca="1" si="1"/>
        <v>44963</v>
      </c>
      <c r="AG32" s="126">
        <f t="shared" ca="1" si="2"/>
        <v>467</v>
      </c>
      <c r="AH32" s="126" t="str">
        <f t="shared" si="3"/>
        <v/>
      </c>
      <c r="AI32" s="134"/>
      <c r="AJ32" s="143" t="s">
        <v>2639</v>
      </c>
      <c r="AK32" s="129">
        <v>10.365</v>
      </c>
      <c r="AL32" s="129">
        <v>10.375</v>
      </c>
      <c r="AM32" s="129">
        <v>10.399999999999999</v>
      </c>
      <c r="AN32" s="129">
        <v>10.404999999999999</v>
      </c>
      <c r="AO32" s="126">
        <f t="shared" ca="1" si="4"/>
        <v>362</v>
      </c>
      <c r="AR32" s="99" t="s">
        <v>136</v>
      </c>
      <c r="AS32" s="281" t="str">
        <f>LEFT(RIGHT(C32,LEN(C32)-MIN(SEARCH({0,1,2,3,4,5,6,7,8,9},C32&amp;"0123456789"))+1),2)</f>
        <v>09</v>
      </c>
      <c r="AT32" s="99">
        <v>3</v>
      </c>
      <c r="AU32" s="99" t="str">
        <f>LEFT(RIGHT(C32,LEN(C32)-MIN(SEARCH({0,1,2,3,4,5,6,7,8,9},C32&amp;"0123456789"))+1),5)</f>
        <v>09.02</v>
      </c>
      <c r="AV32" s="99" t="str">
        <f t="shared" si="5"/>
        <v>MI</v>
      </c>
    </row>
    <row r="33" spans="1:48" s="99" customFormat="1" ht="21" customHeight="1" x14ac:dyDescent="0.35">
      <c r="A33" s="99">
        <v>421</v>
      </c>
      <c r="B33" s="126" t="str">
        <f t="shared" si="0"/>
        <v>0-304/FH-002X770</v>
      </c>
      <c r="C33" s="126" t="s">
        <v>2984</v>
      </c>
      <c r="D33" s="126" t="s">
        <v>13</v>
      </c>
      <c r="E33" s="143" t="s">
        <v>2634</v>
      </c>
      <c r="F33" s="143" t="s">
        <v>2635</v>
      </c>
      <c r="G33" s="126">
        <v>304</v>
      </c>
      <c r="H33" s="126" t="s">
        <v>65</v>
      </c>
      <c r="I33" s="127">
        <v>3.96</v>
      </c>
      <c r="J33" s="127">
        <v>1.5</v>
      </c>
      <c r="K33" s="127"/>
      <c r="L33" s="127"/>
      <c r="M33" s="144">
        <v>770</v>
      </c>
      <c r="N33" s="129">
        <v>10.08</v>
      </c>
      <c r="O33" s="129">
        <v>10.08</v>
      </c>
      <c r="P33" s="129" t="s">
        <v>116</v>
      </c>
      <c r="Q33" s="130" t="s">
        <v>2985</v>
      </c>
      <c r="R33" s="131"/>
      <c r="S33" s="131"/>
      <c r="T33" s="132">
        <v>44601</v>
      </c>
      <c r="U33" s="132">
        <v>44601</v>
      </c>
      <c r="V33" s="132"/>
      <c r="W33" s="132"/>
      <c r="X33" s="132"/>
      <c r="Y33" s="133"/>
      <c r="Z33" s="126" t="s">
        <v>64</v>
      </c>
      <c r="AA33" s="134" t="s">
        <v>154</v>
      </c>
      <c r="AB33" s="134" t="s">
        <v>1256</v>
      </c>
      <c r="AC33" s="134"/>
      <c r="AD33" s="134">
        <v>44496</v>
      </c>
      <c r="AE33" s="134"/>
      <c r="AF33" s="134">
        <f t="shared" ca="1" si="1"/>
        <v>44963</v>
      </c>
      <c r="AG33" s="126">
        <f t="shared" ca="1" si="2"/>
        <v>467</v>
      </c>
      <c r="AH33" s="126" t="str">
        <f t="shared" si="3"/>
        <v/>
      </c>
      <c r="AI33" s="134"/>
      <c r="AJ33" s="143" t="s">
        <v>2636</v>
      </c>
      <c r="AK33" s="129">
        <v>10.08</v>
      </c>
      <c r="AL33" s="129">
        <v>10.09</v>
      </c>
      <c r="AM33" s="129">
        <v>10.114999999999998</v>
      </c>
      <c r="AN33" s="129">
        <v>10.119999999999999</v>
      </c>
      <c r="AO33" s="126">
        <f t="shared" ca="1" si="4"/>
        <v>362</v>
      </c>
      <c r="AR33" s="99" t="s">
        <v>136</v>
      </c>
      <c r="AS33" s="281" t="str">
        <f>LEFT(RIGHT(C33,LEN(C33)-MIN(SEARCH({0,1,2,3,4,5,6,7,8,9},C33&amp;"0123456789"))+1),2)</f>
        <v>09</v>
      </c>
      <c r="AT33" s="99">
        <v>3</v>
      </c>
      <c r="AU33" s="99" t="str">
        <f>LEFT(RIGHT(C33,LEN(C33)-MIN(SEARCH({0,1,2,3,4,5,6,7,8,9},C33&amp;"0123456789"))+1),5)</f>
        <v>09.02</v>
      </c>
      <c r="AV33" s="99" t="str">
        <f t="shared" si="5"/>
        <v>MI</v>
      </c>
    </row>
    <row r="34" spans="1:48" s="99" customFormat="1" ht="21" customHeight="1" x14ac:dyDescent="0.35">
      <c r="A34" s="99">
        <v>421</v>
      </c>
      <c r="B34" s="126" t="str">
        <f t="shared" si="0"/>
        <v>0-304/FH-001X770</v>
      </c>
      <c r="C34" s="126" t="s">
        <v>2984</v>
      </c>
      <c r="D34" s="126" t="s">
        <v>13</v>
      </c>
      <c r="E34" s="143" t="s">
        <v>2640</v>
      </c>
      <c r="F34" s="143" t="s">
        <v>2641</v>
      </c>
      <c r="G34" s="126">
        <v>304</v>
      </c>
      <c r="H34" s="126" t="s">
        <v>65</v>
      </c>
      <c r="I34" s="127">
        <v>3.2</v>
      </c>
      <c r="J34" s="127">
        <v>1.2</v>
      </c>
      <c r="K34" s="127"/>
      <c r="L34" s="127"/>
      <c r="M34" s="144">
        <v>770</v>
      </c>
      <c r="N34" s="129">
        <v>10.47</v>
      </c>
      <c r="O34" s="129">
        <v>10.47</v>
      </c>
      <c r="P34" s="129" t="s">
        <v>116</v>
      </c>
      <c r="Q34" s="130" t="s">
        <v>2985</v>
      </c>
      <c r="R34" s="131"/>
      <c r="S34" s="131"/>
      <c r="T34" s="132">
        <v>44601</v>
      </c>
      <c r="U34" s="132">
        <v>44601</v>
      </c>
      <c r="V34" s="132"/>
      <c r="W34" s="132"/>
      <c r="X34" s="132"/>
      <c r="Y34" s="133"/>
      <c r="Z34" s="126" t="s">
        <v>64</v>
      </c>
      <c r="AA34" s="134" t="s">
        <v>154</v>
      </c>
      <c r="AB34" s="134" t="s">
        <v>1246</v>
      </c>
      <c r="AC34" s="134"/>
      <c r="AD34" s="134">
        <v>44496</v>
      </c>
      <c r="AE34" s="134"/>
      <c r="AF34" s="134">
        <f t="shared" ca="1" si="1"/>
        <v>44963</v>
      </c>
      <c r="AG34" s="126">
        <f t="shared" ca="1" si="2"/>
        <v>467</v>
      </c>
      <c r="AH34" s="126" t="str">
        <f t="shared" si="3"/>
        <v/>
      </c>
      <c r="AI34" s="134"/>
      <c r="AJ34" s="143" t="s">
        <v>2563</v>
      </c>
      <c r="AK34" s="129">
        <v>10.47</v>
      </c>
      <c r="AL34" s="129">
        <v>10.48</v>
      </c>
      <c r="AM34" s="129">
        <v>10.504999999999999</v>
      </c>
      <c r="AN34" s="129">
        <v>10.51</v>
      </c>
      <c r="AO34" s="126">
        <f t="shared" ca="1" si="4"/>
        <v>362</v>
      </c>
      <c r="AR34" s="99" t="s">
        <v>136</v>
      </c>
      <c r="AS34" s="281" t="str">
        <f>LEFT(RIGHT(C34,LEN(C34)-MIN(SEARCH({0,1,2,3,4,5,6,7,8,9},C34&amp;"0123456789"))+1),2)</f>
        <v>09</v>
      </c>
      <c r="AT34" s="99">
        <v>3</v>
      </c>
      <c r="AU34" s="99" t="str">
        <f>LEFT(RIGHT(C34,LEN(C34)-MIN(SEARCH({0,1,2,3,4,5,6,7,8,9},C34&amp;"0123456789"))+1),5)</f>
        <v>09.02</v>
      </c>
      <c r="AV34" s="99" t="str">
        <f t="shared" si="5"/>
        <v>MI</v>
      </c>
    </row>
    <row r="35" spans="1:48" s="99" customFormat="1" ht="21" customHeight="1" x14ac:dyDescent="0.35">
      <c r="A35" s="99">
        <v>422</v>
      </c>
      <c r="B35" s="126" t="str">
        <f t="shared" si="0"/>
        <v>0-304L/FH-001X777</v>
      </c>
      <c r="C35" s="126" t="s">
        <v>2984</v>
      </c>
      <c r="D35" s="126" t="s">
        <v>13</v>
      </c>
      <c r="E35" s="143" t="s">
        <v>2650</v>
      </c>
      <c r="F35" s="143" t="s">
        <v>2651</v>
      </c>
      <c r="G35" s="126" t="s">
        <v>230</v>
      </c>
      <c r="H35" s="126" t="s">
        <v>65</v>
      </c>
      <c r="I35" s="127">
        <v>2.91</v>
      </c>
      <c r="J35" s="127">
        <v>1</v>
      </c>
      <c r="K35" s="127"/>
      <c r="L35" s="127"/>
      <c r="M35" s="144">
        <v>777</v>
      </c>
      <c r="N35" s="129">
        <v>8.4600000000000009</v>
      </c>
      <c r="O35" s="129">
        <v>8.4600000000000009</v>
      </c>
      <c r="P35" s="129" t="s">
        <v>116</v>
      </c>
      <c r="Q35" s="130" t="s">
        <v>2985</v>
      </c>
      <c r="R35" s="131"/>
      <c r="S35" s="131"/>
      <c r="T35" s="132">
        <v>44578</v>
      </c>
      <c r="U35" s="132">
        <v>44601</v>
      </c>
      <c r="V35" s="132"/>
      <c r="W35" s="132"/>
      <c r="X35" s="132"/>
      <c r="Y35" s="133"/>
      <c r="Z35" s="126" t="s">
        <v>64</v>
      </c>
      <c r="AA35" s="134" t="s">
        <v>154</v>
      </c>
      <c r="AB35" s="134" t="s">
        <v>1330</v>
      </c>
      <c r="AC35" s="134"/>
      <c r="AD35" s="134">
        <v>44516</v>
      </c>
      <c r="AE35" s="134"/>
      <c r="AF35" s="134">
        <f t="shared" ca="1" si="1"/>
        <v>44963</v>
      </c>
      <c r="AG35" s="126">
        <f t="shared" ca="1" si="2"/>
        <v>447</v>
      </c>
      <c r="AH35" s="126" t="str">
        <f t="shared" si="3"/>
        <v/>
      </c>
      <c r="AI35" s="134"/>
      <c r="AJ35" s="143" t="s">
        <v>2652</v>
      </c>
      <c r="AK35" s="129">
        <v>8.4600000000000009</v>
      </c>
      <c r="AL35" s="129">
        <v>8.4700000000000006</v>
      </c>
      <c r="AM35" s="129">
        <v>8.4949999999999992</v>
      </c>
      <c r="AN35" s="129">
        <v>8.5</v>
      </c>
      <c r="AO35" s="126">
        <f t="shared" ca="1" si="4"/>
        <v>362</v>
      </c>
      <c r="AR35" s="99" t="s">
        <v>136</v>
      </c>
      <c r="AS35" s="281" t="str">
        <f>LEFT(RIGHT(C35,LEN(C35)-MIN(SEARCH({0,1,2,3,4,5,6,7,8,9},C35&amp;"0123456789"))+1),2)</f>
        <v>09</v>
      </c>
      <c r="AT35" s="99">
        <v>3</v>
      </c>
      <c r="AU35" s="99" t="str">
        <f>LEFT(RIGHT(C35,LEN(C35)-MIN(SEARCH({0,1,2,3,4,5,6,7,8,9},C35&amp;"0123456789"))+1),5)</f>
        <v>09.02</v>
      </c>
      <c r="AV35" s="99" t="str">
        <f t="shared" si="5"/>
        <v>MI</v>
      </c>
    </row>
    <row r="36" spans="1:48" s="99" customFormat="1" ht="21" customHeight="1" x14ac:dyDescent="0.35">
      <c r="A36" s="99">
        <v>421</v>
      </c>
      <c r="B36" s="126" t="str">
        <f t="shared" si="0"/>
        <v>0-304L/FH-001X770</v>
      </c>
      <c r="C36" s="126" t="s">
        <v>2986</v>
      </c>
      <c r="D36" s="126" t="s">
        <v>13</v>
      </c>
      <c r="E36" s="143" t="s">
        <v>2642</v>
      </c>
      <c r="F36" s="143" t="s">
        <v>2643</v>
      </c>
      <c r="G36" s="126" t="s">
        <v>230</v>
      </c>
      <c r="H36" s="126" t="s">
        <v>65</v>
      </c>
      <c r="I36" s="127">
        <v>3.19</v>
      </c>
      <c r="J36" s="127">
        <v>1.1499999999999999</v>
      </c>
      <c r="K36" s="127"/>
      <c r="L36" s="127"/>
      <c r="M36" s="144">
        <v>770</v>
      </c>
      <c r="N36" s="129">
        <v>10.53</v>
      </c>
      <c r="O36" s="129">
        <v>10.53</v>
      </c>
      <c r="P36" s="129" t="s">
        <v>116</v>
      </c>
      <c r="Q36" s="130" t="s">
        <v>462</v>
      </c>
      <c r="R36" s="131"/>
      <c r="S36" s="131"/>
      <c r="T36" s="132">
        <v>44601</v>
      </c>
      <c r="U36" s="132">
        <v>44602</v>
      </c>
      <c r="V36" s="132"/>
      <c r="W36" s="132"/>
      <c r="X36" s="132"/>
      <c r="Y36" s="133"/>
      <c r="Z36" s="126" t="s">
        <v>64</v>
      </c>
      <c r="AA36" s="134" t="s">
        <v>154</v>
      </c>
      <c r="AB36" s="134" t="s">
        <v>1246</v>
      </c>
      <c r="AC36" s="134"/>
      <c r="AD36" s="134">
        <v>44496</v>
      </c>
      <c r="AE36" s="134"/>
      <c r="AF36" s="134">
        <f t="shared" ca="1" si="1"/>
        <v>44963</v>
      </c>
      <c r="AG36" s="126">
        <f t="shared" ca="1" si="2"/>
        <v>467</v>
      </c>
      <c r="AH36" s="126" t="str">
        <f t="shared" si="3"/>
        <v/>
      </c>
      <c r="AI36" s="134"/>
      <c r="AJ36" s="143" t="s">
        <v>2630</v>
      </c>
      <c r="AK36" s="129">
        <v>10.53</v>
      </c>
      <c r="AL36" s="129">
        <v>10.54</v>
      </c>
      <c r="AM36" s="129">
        <v>10.564999999999998</v>
      </c>
      <c r="AN36" s="129">
        <v>10.569999999999999</v>
      </c>
      <c r="AO36" s="126">
        <f t="shared" ca="1" si="4"/>
        <v>361</v>
      </c>
      <c r="AR36" s="99" t="s">
        <v>136</v>
      </c>
      <c r="AS36" s="281" t="str">
        <f>LEFT(RIGHT(C36,LEN(C36)-MIN(SEARCH({0,1,2,3,4,5,6,7,8,9},C36&amp;"0123456789"))+1),2)</f>
        <v>10</v>
      </c>
      <c r="AT36" s="99">
        <v>1</v>
      </c>
      <c r="AU36" s="99" t="str">
        <f>LEFT(RIGHT(C36,LEN(C36)-MIN(SEARCH({0,1,2,3,4,5,6,7,8,9},C36&amp;"0123456789"))+1),5)</f>
        <v>10.02</v>
      </c>
      <c r="AV36" s="99" t="str">
        <f t="shared" si="5"/>
        <v>MI</v>
      </c>
    </row>
    <row r="37" spans="1:48" s="99" customFormat="1" ht="21" customHeight="1" x14ac:dyDescent="0.35">
      <c r="A37" s="99">
        <v>424</v>
      </c>
      <c r="B37" s="126" t="str">
        <f t="shared" si="0"/>
        <v>0-304/FH-001X771</v>
      </c>
      <c r="C37" s="126" t="s">
        <v>2986</v>
      </c>
      <c r="D37" s="126" t="s">
        <v>13</v>
      </c>
      <c r="E37" s="143" t="s">
        <v>2647</v>
      </c>
      <c r="F37" s="143" t="s">
        <v>2648</v>
      </c>
      <c r="G37" s="126">
        <v>304</v>
      </c>
      <c r="H37" s="126" t="s">
        <v>65</v>
      </c>
      <c r="I37" s="127">
        <v>3.89</v>
      </c>
      <c r="J37" s="127">
        <v>1.45</v>
      </c>
      <c r="K37" s="127"/>
      <c r="L37" s="127"/>
      <c r="M37" s="144">
        <v>771</v>
      </c>
      <c r="N37" s="129">
        <v>10.435</v>
      </c>
      <c r="O37" s="129">
        <v>10.435</v>
      </c>
      <c r="P37" s="129" t="s">
        <v>116</v>
      </c>
      <c r="Q37" s="130" t="s">
        <v>462</v>
      </c>
      <c r="R37" s="131"/>
      <c r="S37" s="131"/>
      <c r="T37" s="132">
        <v>44601</v>
      </c>
      <c r="U37" s="132">
        <v>44602</v>
      </c>
      <c r="V37" s="132"/>
      <c r="W37" s="132"/>
      <c r="X37" s="132"/>
      <c r="Y37" s="133" t="s">
        <v>1395</v>
      </c>
      <c r="Z37" s="126" t="s">
        <v>64</v>
      </c>
      <c r="AA37" s="134" t="s">
        <v>154</v>
      </c>
      <c r="AB37" s="134" t="s">
        <v>1516</v>
      </c>
      <c r="AC37" s="134"/>
      <c r="AD37" s="134">
        <v>44554</v>
      </c>
      <c r="AE37" s="134"/>
      <c r="AF37" s="134">
        <f t="shared" ca="1" si="1"/>
        <v>44963</v>
      </c>
      <c r="AG37" s="126">
        <f t="shared" ca="1" si="2"/>
        <v>409</v>
      </c>
      <c r="AH37" s="126" t="str">
        <f t="shared" si="3"/>
        <v/>
      </c>
      <c r="AI37" s="134"/>
      <c r="AJ37" s="143" t="s">
        <v>1697</v>
      </c>
      <c r="AK37" s="129">
        <v>10.435</v>
      </c>
      <c r="AL37" s="129">
        <v>10.445</v>
      </c>
      <c r="AM37" s="129">
        <v>10.469999999999999</v>
      </c>
      <c r="AN37" s="129">
        <v>10.475</v>
      </c>
      <c r="AO37" s="126">
        <f t="shared" ca="1" si="4"/>
        <v>361</v>
      </c>
      <c r="AR37" s="99" t="s">
        <v>136</v>
      </c>
      <c r="AS37" s="281" t="str">
        <f>LEFT(RIGHT(C37,LEN(C37)-MIN(SEARCH({0,1,2,3,4,5,6,7,8,9},C37&amp;"0123456789"))+1),2)</f>
        <v>10</v>
      </c>
      <c r="AT37" s="99">
        <v>1</v>
      </c>
      <c r="AU37" s="99" t="str">
        <f>LEFT(RIGHT(C37,LEN(C37)-MIN(SEARCH({0,1,2,3,4,5,6,7,8,9},C37&amp;"0123456789"))+1),5)</f>
        <v>10.02</v>
      </c>
      <c r="AV37" s="99" t="str">
        <f t="shared" si="5"/>
        <v>MI</v>
      </c>
    </row>
    <row r="38" spans="1:48" s="99" customFormat="1" ht="21" customHeight="1" x14ac:dyDescent="0.35">
      <c r="A38" s="99">
        <v>422</v>
      </c>
      <c r="B38" s="126" t="str">
        <f t="shared" si="0"/>
        <v>0-304L/FH-001X775</v>
      </c>
      <c r="C38" s="126" t="s">
        <v>2986</v>
      </c>
      <c r="D38" s="126" t="s">
        <v>13</v>
      </c>
      <c r="E38" s="143" t="s">
        <v>2644</v>
      </c>
      <c r="F38" s="143" t="s">
        <v>2645</v>
      </c>
      <c r="G38" s="126" t="s">
        <v>230</v>
      </c>
      <c r="H38" s="126" t="s">
        <v>65</v>
      </c>
      <c r="I38" s="127">
        <v>3.8</v>
      </c>
      <c r="J38" s="127">
        <v>1.45</v>
      </c>
      <c r="K38" s="127"/>
      <c r="L38" s="127"/>
      <c r="M38" s="144">
        <v>775</v>
      </c>
      <c r="N38" s="129">
        <v>11.83</v>
      </c>
      <c r="O38" s="129">
        <v>11.83</v>
      </c>
      <c r="P38" s="129" t="s">
        <v>116</v>
      </c>
      <c r="Q38" s="130" t="s">
        <v>462</v>
      </c>
      <c r="R38" s="131"/>
      <c r="S38" s="131"/>
      <c r="T38" s="132">
        <v>44601</v>
      </c>
      <c r="U38" s="132">
        <v>44602</v>
      </c>
      <c r="V38" s="132"/>
      <c r="W38" s="132"/>
      <c r="X38" s="132"/>
      <c r="Y38" s="133"/>
      <c r="Z38" s="126" t="s">
        <v>64</v>
      </c>
      <c r="AA38" s="134" t="s">
        <v>154</v>
      </c>
      <c r="AB38" s="134" t="s">
        <v>1296</v>
      </c>
      <c r="AC38" s="134"/>
      <c r="AD38" s="134">
        <v>44516</v>
      </c>
      <c r="AE38" s="134"/>
      <c r="AF38" s="134">
        <f t="shared" ca="1" si="1"/>
        <v>44963</v>
      </c>
      <c r="AG38" s="126">
        <f t="shared" ca="1" si="2"/>
        <v>447</v>
      </c>
      <c r="AH38" s="126" t="str">
        <f t="shared" si="3"/>
        <v/>
      </c>
      <c r="AI38" s="134"/>
      <c r="AJ38" s="143" t="s">
        <v>2646</v>
      </c>
      <c r="AK38" s="129">
        <v>11.83</v>
      </c>
      <c r="AL38" s="129">
        <v>11.84</v>
      </c>
      <c r="AM38" s="129">
        <v>11.864999999999998</v>
      </c>
      <c r="AN38" s="129">
        <v>11.87</v>
      </c>
      <c r="AO38" s="126">
        <f t="shared" ca="1" si="4"/>
        <v>361</v>
      </c>
      <c r="AR38" s="99" t="s">
        <v>136</v>
      </c>
      <c r="AS38" s="281" t="str">
        <f>LEFT(RIGHT(C38,LEN(C38)-MIN(SEARCH({0,1,2,3,4,5,6,7,8,9},C38&amp;"0123456789"))+1),2)</f>
        <v>10</v>
      </c>
      <c r="AT38" s="99">
        <v>1</v>
      </c>
      <c r="AU38" s="99" t="str">
        <f>LEFT(RIGHT(C38,LEN(C38)-MIN(SEARCH({0,1,2,3,4,5,6,7,8,9},C38&amp;"0123456789"))+1),5)</f>
        <v>10.02</v>
      </c>
      <c r="AV38" s="99" t="str">
        <f t="shared" si="5"/>
        <v>MI</v>
      </c>
    </row>
    <row r="39" spans="1:48" s="99" customFormat="1" ht="21" customHeight="1" x14ac:dyDescent="0.35">
      <c r="A39" s="99">
        <v>424</v>
      </c>
      <c r="B39" s="126" t="str">
        <f t="shared" si="0"/>
        <v>0-304L/FH-001X771</v>
      </c>
      <c r="C39" s="126" t="s">
        <v>2986</v>
      </c>
      <c r="D39" s="126" t="s">
        <v>13</v>
      </c>
      <c r="E39" s="143" t="s">
        <v>2656</v>
      </c>
      <c r="F39" s="143" t="s">
        <v>2657</v>
      </c>
      <c r="G39" s="126" t="s">
        <v>230</v>
      </c>
      <c r="H39" s="126" t="s">
        <v>65</v>
      </c>
      <c r="I39" s="127">
        <v>3.39</v>
      </c>
      <c r="J39" s="127">
        <v>1.1499999999999999</v>
      </c>
      <c r="K39" s="127"/>
      <c r="L39" s="127"/>
      <c r="M39" s="144">
        <v>771</v>
      </c>
      <c r="N39" s="129">
        <v>10.58</v>
      </c>
      <c r="O39" s="129">
        <v>10.58</v>
      </c>
      <c r="P39" s="129" t="s">
        <v>116</v>
      </c>
      <c r="Q39" s="130" t="s">
        <v>462</v>
      </c>
      <c r="R39" s="131"/>
      <c r="S39" s="131"/>
      <c r="T39" s="132">
        <v>44602</v>
      </c>
      <c r="U39" s="132">
        <v>44602</v>
      </c>
      <c r="V39" s="132"/>
      <c r="W39" s="132"/>
      <c r="X39" s="132"/>
      <c r="Y39" s="133" t="s">
        <v>1395</v>
      </c>
      <c r="Z39" s="126" t="s">
        <v>64</v>
      </c>
      <c r="AA39" s="134" t="s">
        <v>154</v>
      </c>
      <c r="AB39" s="134" t="s">
        <v>1516</v>
      </c>
      <c r="AC39" s="134"/>
      <c r="AD39" s="134">
        <v>44554</v>
      </c>
      <c r="AE39" s="134"/>
      <c r="AF39" s="134">
        <f t="shared" ca="1" si="1"/>
        <v>44963</v>
      </c>
      <c r="AG39" s="126">
        <f t="shared" ca="1" si="2"/>
        <v>409</v>
      </c>
      <c r="AH39" s="126" t="str">
        <f t="shared" si="3"/>
        <v/>
      </c>
      <c r="AI39" s="134"/>
      <c r="AJ39" s="143" t="s">
        <v>2658</v>
      </c>
      <c r="AK39" s="129">
        <v>10.58</v>
      </c>
      <c r="AL39" s="129">
        <v>10.59</v>
      </c>
      <c r="AM39" s="129">
        <v>10.614999999999998</v>
      </c>
      <c r="AN39" s="129">
        <v>10.62</v>
      </c>
      <c r="AO39" s="126">
        <f t="shared" ca="1" si="4"/>
        <v>361</v>
      </c>
      <c r="AR39" s="99" t="s">
        <v>136</v>
      </c>
      <c r="AS39" s="281" t="str">
        <f>LEFT(RIGHT(C39,LEN(C39)-MIN(SEARCH({0,1,2,3,4,5,6,7,8,9},C39&amp;"0123456789"))+1),2)</f>
        <v>10</v>
      </c>
      <c r="AT39" s="99">
        <v>1</v>
      </c>
      <c r="AU39" s="99" t="str">
        <f>LEFT(RIGHT(C39,LEN(C39)-MIN(SEARCH({0,1,2,3,4,5,6,7,8,9},C39&amp;"0123456789"))+1),5)</f>
        <v>10.02</v>
      </c>
      <c r="AV39" s="99" t="str">
        <f t="shared" si="5"/>
        <v>MI</v>
      </c>
    </row>
    <row r="40" spans="1:48" s="99" customFormat="1" ht="21" customHeight="1" x14ac:dyDescent="0.35">
      <c r="A40" s="99">
        <v>422</v>
      </c>
      <c r="B40" s="126" t="str">
        <f t="shared" si="0"/>
        <v>0-304L/FH-001X773</v>
      </c>
      <c r="C40" s="126" t="s">
        <v>2986</v>
      </c>
      <c r="D40" s="126" t="s">
        <v>13</v>
      </c>
      <c r="E40" s="143" t="s">
        <v>2659</v>
      </c>
      <c r="F40" s="143" t="s">
        <v>2660</v>
      </c>
      <c r="G40" s="126" t="s">
        <v>230</v>
      </c>
      <c r="H40" s="126" t="s">
        <v>65</v>
      </c>
      <c r="I40" s="127">
        <v>3.8</v>
      </c>
      <c r="J40" s="127">
        <v>1.45</v>
      </c>
      <c r="K40" s="127"/>
      <c r="L40" s="127"/>
      <c r="M40" s="144">
        <v>773</v>
      </c>
      <c r="N40" s="129">
        <v>11.994999999999999</v>
      </c>
      <c r="O40" s="129">
        <v>11.994999999999999</v>
      </c>
      <c r="P40" s="129" t="s">
        <v>116</v>
      </c>
      <c r="Q40" s="130" t="s">
        <v>462</v>
      </c>
      <c r="R40" s="131"/>
      <c r="S40" s="131"/>
      <c r="T40" s="132">
        <v>44602</v>
      </c>
      <c r="U40" s="132">
        <v>44602</v>
      </c>
      <c r="V40" s="132"/>
      <c r="W40" s="132"/>
      <c r="X40" s="132"/>
      <c r="Y40" s="133"/>
      <c r="Z40" s="126" t="s">
        <v>64</v>
      </c>
      <c r="AA40" s="134" t="s">
        <v>154</v>
      </c>
      <c r="AB40" s="134" t="s">
        <v>1296</v>
      </c>
      <c r="AC40" s="134"/>
      <c r="AD40" s="134">
        <v>44516</v>
      </c>
      <c r="AE40" s="134"/>
      <c r="AF40" s="134">
        <f t="shared" ca="1" si="1"/>
        <v>44963</v>
      </c>
      <c r="AG40" s="126">
        <f t="shared" ca="1" si="2"/>
        <v>447</v>
      </c>
      <c r="AH40" s="126" t="str">
        <f t="shared" si="3"/>
        <v/>
      </c>
      <c r="AI40" s="134"/>
      <c r="AJ40" s="143" t="s">
        <v>2661</v>
      </c>
      <c r="AK40" s="129">
        <v>11.994999999999999</v>
      </c>
      <c r="AL40" s="129">
        <v>12.005000000000001</v>
      </c>
      <c r="AM40" s="129">
        <v>12.03</v>
      </c>
      <c r="AN40" s="129">
        <v>12.035</v>
      </c>
      <c r="AO40" s="126">
        <f t="shared" ca="1" si="4"/>
        <v>361</v>
      </c>
      <c r="AR40" s="99" t="s">
        <v>136</v>
      </c>
      <c r="AS40" s="281" t="str">
        <f>LEFT(RIGHT(C40,LEN(C40)-MIN(SEARCH({0,1,2,3,4,5,6,7,8,9},C40&amp;"0123456789"))+1),2)</f>
        <v>10</v>
      </c>
      <c r="AT40" s="99">
        <v>2</v>
      </c>
      <c r="AU40" s="99" t="str">
        <f>LEFT(RIGHT(C40,LEN(C40)-MIN(SEARCH({0,1,2,3,4,5,6,7,8,9},C40&amp;"0123456789"))+1),5)</f>
        <v>10.02</v>
      </c>
      <c r="AV40" s="99" t="str">
        <f t="shared" si="5"/>
        <v>MI</v>
      </c>
    </row>
    <row r="41" spans="1:48" s="99" customFormat="1" ht="21" customHeight="1" x14ac:dyDescent="0.35">
      <c r="A41" s="99">
        <v>421</v>
      </c>
      <c r="B41" s="126" t="str">
        <f t="shared" si="0"/>
        <v>0-304/FH-001X770</v>
      </c>
      <c r="C41" s="126" t="s">
        <v>2986</v>
      </c>
      <c r="D41" s="126" t="s">
        <v>13</v>
      </c>
      <c r="E41" s="143" t="s">
        <v>2662</v>
      </c>
      <c r="F41" s="143" t="s">
        <v>2663</v>
      </c>
      <c r="G41" s="126">
        <v>304</v>
      </c>
      <c r="H41" s="126" t="s">
        <v>65</v>
      </c>
      <c r="I41" s="127">
        <v>3.2</v>
      </c>
      <c r="J41" s="127">
        <v>1.1000000000000001</v>
      </c>
      <c r="K41" s="127"/>
      <c r="L41" s="127"/>
      <c r="M41" s="144">
        <v>770</v>
      </c>
      <c r="N41" s="129">
        <v>10.385</v>
      </c>
      <c r="O41" s="129">
        <v>10.385</v>
      </c>
      <c r="P41" s="129" t="s">
        <v>116</v>
      </c>
      <c r="Q41" s="130" t="s">
        <v>2987</v>
      </c>
      <c r="R41" s="131"/>
      <c r="S41" s="131"/>
      <c r="T41" s="132">
        <v>44602</v>
      </c>
      <c r="U41" s="132">
        <v>44602</v>
      </c>
      <c r="V41" s="132"/>
      <c r="W41" s="132"/>
      <c r="X41" s="132"/>
      <c r="Y41" s="133"/>
      <c r="Z41" s="126" t="s">
        <v>64</v>
      </c>
      <c r="AA41" s="134" t="s">
        <v>154</v>
      </c>
      <c r="AB41" s="134" t="s">
        <v>1246</v>
      </c>
      <c r="AC41" s="134"/>
      <c r="AD41" s="134">
        <v>44496</v>
      </c>
      <c r="AE41" s="134"/>
      <c r="AF41" s="134">
        <f t="shared" ca="1" si="1"/>
        <v>44963</v>
      </c>
      <c r="AG41" s="126">
        <f t="shared" ca="1" si="2"/>
        <v>467</v>
      </c>
      <c r="AH41" s="126" t="str">
        <f t="shared" si="3"/>
        <v/>
      </c>
      <c r="AI41" s="134"/>
      <c r="AJ41" s="143" t="s">
        <v>2664</v>
      </c>
      <c r="AK41" s="129">
        <v>10.385</v>
      </c>
      <c r="AL41" s="129">
        <v>10.395</v>
      </c>
      <c r="AM41" s="129">
        <v>10.419999999999998</v>
      </c>
      <c r="AN41" s="129">
        <v>10.424999999999999</v>
      </c>
      <c r="AO41" s="126">
        <f t="shared" ca="1" si="4"/>
        <v>361</v>
      </c>
      <c r="AR41" s="99" t="s">
        <v>136</v>
      </c>
      <c r="AS41" s="281" t="str">
        <f>LEFT(RIGHT(C41,LEN(C41)-MIN(SEARCH({0,1,2,3,4,5,6,7,8,9},C41&amp;"0123456789"))+1),2)</f>
        <v>10</v>
      </c>
      <c r="AT41" s="99">
        <v>2</v>
      </c>
      <c r="AU41" s="99" t="str">
        <f>LEFT(RIGHT(C41,LEN(C41)-MIN(SEARCH({0,1,2,3,4,5,6,7,8,9},C41&amp;"0123456789"))+1),5)</f>
        <v>10.02</v>
      </c>
      <c r="AV41" s="99" t="str">
        <f t="shared" si="5"/>
        <v>MI</v>
      </c>
    </row>
    <row r="42" spans="1:48" s="99" customFormat="1" ht="21" customHeight="1" x14ac:dyDescent="0.35">
      <c r="A42" s="99">
        <v>424</v>
      </c>
      <c r="B42" s="126" t="str">
        <f t="shared" si="0"/>
        <v>0-304L/FH-001X774</v>
      </c>
      <c r="C42" s="126" t="s">
        <v>2986</v>
      </c>
      <c r="D42" s="126" t="s">
        <v>13</v>
      </c>
      <c r="E42" s="143" t="s">
        <v>2668</v>
      </c>
      <c r="F42" s="143" t="s">
        <v>2669</v>
      </c>
      <c r="G42" s="126" t="s">
        <v>230</v>
      </c>
      <c r="H42" s="126" t="s">
        <v>65</v>
      </c>
      <c r="I42" s="127">
        <v>3.78</v>
      </c>
      <c r="J42" s="127">
        <v>1.45</v>
      </c>
      <c r="K42" s="127"/>
      <c r="L42" s="127"/>
      <c r="M42" s="144">
        <v>774</v>
      </c>
      <c r="N42" s="129">
        <v>10.404999999999999</v>
      </c>
      <c r="O42" s="129">
        <v>10.404999999999999</v>
      </c>
      <c r="P42" s="129" t="s">
        <v>116</v>
      </c>
      <c r="Q42" s="130" t="s">
        <v>462</v>
      </c>
      <c r="R42" s="131"/>
      <c r="S42" s="131"/>
      <c r="T42" s="132">
        <v>44602</v>
      </c>
      <c r="U42" s="132">
        <v>44602</v>
      </c>
      <c r="V42" s="132"/>
      <c r="W42" s="132"/>
      <c r="X42" s="132"/>
      <c r="Y42" s="133" t="s">
        <v>1395</v>
      </c>
      <c r="Z42" s="126" t="s">
        <v>64</v>
      </c>
      <c r="AA42" s="134" t="s">
        <v>154</v>
      </c>
      <c r="AB42" s="134" t="s">
        <v>1330</v>
      </c>
      <c r="AC42" s="134"/>
      <c r="AD42" s="134">
        <v>44554</v>
      </c>
      <c r="AE42" s="134"/>
      <c r="AF42" s="134">
        <f t="shared" ca="1" si="1"/>
        <v>44963</v>
      </c>
      <c r="AG42" s="126">
        <f t="shared" ca="1" si="2"/>
        <v>409</v>
      </c>
      <c r="AH42" s="126" t="str">
        <f t="shared" si="3"/>
        <v/>
      </c>
      <c r="AI42" s="134"/>
      <c r="AJ42" s="143" t="s">
        <v>2670</v>
      </c>
      <c r="AK42" s="129">
        <v>10.404999999999999</v>
      </c>
      <c r="AL42" s="129">
        <v>10.414999999999999</v>
      </c>
      <c r="AM42" s="129">
        <v>10.439999999999998</v>
      </c>
      <c r="AN42" s="129">
        <v>10.444999999999999</v>
      </c>
      <c r="AO42" s="126">
        <f t="shared" ca="1" si="4"/>
        <v>361</v>
      </c>
      <c r="AR42" s="99" t="s">
        <v>136</v>
      </c>
      <c r="AS42" s="281" t="str">
        <f>LEFT(RIGHT(C42,LEN(C42)-MIN(SEARCH({0,1,2,3,4,5,6,7,8,9},C42&amp;"0123456789"))+1),2)</f>
        <v>10</v>
      </c>
      <c r="AT42" s="99">
        <v>2</v>
      </c>
      <c r="AU42" s="99" t="str">
        <f>LEFT(RIGHT(C42,LEN(C42)-MIN(SEARCH({0,1,2,3,4,5,6,7,8,9},C42&amp;"0123456789"))+1),5)</f>
        <v>10.02</v>
      </c>
      <c r="AV42" s="99" t="str">
        <f t="shared" si="5"/>
        <v>MI</v>
      </c>
    </row>
    <row r="43" spans="1:48" s="99" customFormat="1" ht="21" customHeight="1" x14ac:dyDescent="0.35">
      <c r="A43" s="99">
        <v>424</v>
      </c>
      <c r="B43" s="126" t="str">
        <f t="shared" si="0"/>
        <v>0-304L/FH-001X770</v>
      </c>
      <c r="C43" s="126" t="s">
        <v>2986</v>
      </c>
      <c r="D43" s="126" t="s">
        <v>13</v>
      </c>
      <c r="E43" s="143" t="s">
        <v>2671</v>
      </c>
      <c r="F43" s="143" t="s">
        <v>2672</v>
      </c>
      <c r="G43" s="126" t="s">
        <v>230</v>
      </c>
      <c r="H43" s="126" t="s">
        <v>65</v>
      </c>
      <c r="I43" s="127">
        <v>3.78</v>
      </c>
      <c r="J43" s="127">
        <v>1.45</v>
      </c>
      <c r="K43" s="127"/>
      <c r="L43" s="127"/>
      <c r="M43" s="144">
        <v>770</v>
      </c>
      <c r="N43" s="129">
        <v>10.265000000000001</v>
      </c>
      <c r="O43" s="129">
        <v>10.265000000000001</v>
      </c>
      <c r="P43" s="129" t="s">
        <v>116</v>
      </c>
      <c r="Q43" s="130" t="s">
        <v>462</v>
      </c>
      <c r="R43" s="131"/>
      <c r="S43" s="131"/>
      <c r="T43" s="132">
        <v>44602</v>
      </c>
      <c r="U43" s="132">
        <v>44602</v>
      </c>
      <c r="V43" s="132"/>
      <c r="W43" s="132"/>
      <c r="X43" s="132"/>
      <c r="Y43" s="133" t="s">
        <v>1395</v>
      </c>
      <c r="Z43" s="126" t="s">
        <v>64</v>
      </c>
      <c r="AA43" s="134" t="s">
        <v>154</v>
      </c>
      <c r="AB43" s="134" t="s">
        <v>1330</v>
      </c>
      <c r="AC43" s="134"/>
      <c r="AD43" s="134">
        <v>44554</v>
      </c>
      <c r="AE43" s="134"/>
      <c r="AF43" s="134">
        <f t="shared" ca="1" si="1"/>
        <v>44963</v>
      </c>
      <c r="AG43" s="126">
        <f t="shared" ca="1" si="2"/>
        <v>409</v>
      </c>
      <c r="AH43" s="126" t="str">
        <f t="shared" si="3"/>
        <v/>
      </c>
      <c r="AI43" s="134"/>
      <c r="AJ43" s="143" t="s">
        <v>2673</v>
      </c>
      <c r="AK43" s="129">
        <v>10.265000000000001</v>
      </c>
      <c r="AL43" s="129">
        <v>10.275</v>
      </c>
      <c r="AM43" s="129">
        <v>10.299999999999999</v>
      </c>
      <c r="AN43" s="129">
        <v>10.305</v>
      </c>
      <c r="AO43" s="126">
        <f t="shared" ca="1" si="4"/>
        <v>361</v>
      </c>
      <c r="AR43" s="99" t="s">
        <v>136</v>
      </c>
      <c r="AS43" s="281" t="str">
        <f>LEFT(RIGHT(C43,LEN(C43)-MIN(SEARCH({0,1,2,3,4,5,6,7,8,9},C43&amp;"0123456789"))+1),2)</f>
        <v>10</v>
      </c>
      <c r="AT43" s="99">
        <v>2</v>
      </c>
      <c r="AU43" s="99" t="str">
        <f>LEFT(RIGHT(C43,LEN(C43)-MIN(SEARCH({0,1,2,3,4,5,6,7,8,9},C43&amp;"0123456789"))+1),5)</f>
        <v>10.02</v>
      </c>
      <c r="AV43" s="99" t="str">
        <f t="shared" si="5"/>
        <v>MI</v>
      </c>
    </row>
    <row r="44" spans="1:48" s="99" customFormat="1" ht="21" customHeight="1" x14ac:dyDescent="0.35">
      <c r="A44" s="99">
        <v>422</v>
      </c>
      <c r="B44" s="126" t="str">
        <f t="shared" si="0"/>
        <v>0-304L/FH-001X770</v>
      </c>
      <c r="C44" s="126" t="s">
        <v>2986</v>
      </c>
      <c r="D44" s="126" t="s">
        <v>13</v>
      </c>
      <c r="E44" s="143" t="s">
        <v>2665</v>
      </c>
      <c r="F44" s="143" t="s">
        <v>2666</v>
      </c>
      <c r="G44" s="126" t="s">
        <v>230</v>
      </c>
      <c r="H44" s="126" t="s">
        <v>65</v>
      </c>
      <c r="I44" s="127">
        <v>2.91</v>
      </c>
      <c r="J44" s="127">
        <v>1</v>
      </c>
      <c r="K44" s="127"/>
      <c r="L44" s="127"/>
      <c r="M44" s="144">
        <v>770</v>
      </c>
      <c r="N44" s="129">
        <v>8.5350000000000001</v>
      </c>
      <c r="O44" s="129">
        <v>8.5350000000000001</v>
      </c>
      <c r="P44" s="129" t="s">
        <v>116</v>
      </c>
      <c r="Q44" s="130" t="s">
        <v>2987</v>
      </c>
      <c r="R44" s="131"/>
      <c r="S44" s="131"/>
      <c r="T44" s="132">
        <v>44602</v>
      </c>
      <c r="U44" s="132">
        <v>44602</v>
      </c>
      <c r="V44" s="132"/>
      <c r="W44" s="132"/>
      <c r="X44" s="132"/>
      <c r="Y44" s="133"/>
      <c r="Z44" s="126" t="s">
        <v>64</v>
      </c>
      <c r="AA44" s="134" t="s">
        <v>154</v>
      </c>
      <c r="AB44" s="134" t="s">
        <v>1296</v>
      </c>
      <c r="AC44" s="134"/>
      <c r="AD44" s="134">
        <v>44516</v>
      </c>
      <c r="AE44" s="134"/>
      <c r="AF44" s="134">
        <f t="shared" ca="1" si="1"/>
        <v>44963</v>
      </c>
      <c r="AG44" s="126">
        <f t="shared" ca="1" si="2"/>
        <v>447</v>
      </c>
      <c r="AH44" s="126" t="str">
        <f t="shared" si="3"/>
        <v/>
      </c>
      <c r="AI44" s="134"/>
      <c r="AJ44" s="143" t="s">
        <v>2667</v>
      </c>
      <c r="AK44" s="129">
        <v>8.5350000000000001</v>
      </c>
      <c r="AL44" s="129">
        <v>8.5449999999999999</v>
      </c>
      <c r="AM44" s="129">
        <v>8.5699999999999985</v>
      </c>
      <c r="AN44" s="129">
        <v>8.5749999999999993</v>
      </c>
      <c r="AO44" s="126">
        <f t="shared" ca="1" si="4"/>
        <v>361</v>
      </c>
      <c r="AR44" s="99" t="s">
        <v>136</v>
      </c>
      <c r="AS44" s="281" t="str">
        <f>LEFT(RIGHT(C44,LEN(C44)-MIN(SEARCH({0,1,2,3,4,5,6,7,8,9},C44&amp;"0123456789"))+1),2)</f>
        <v>10</v>
      </c>
      <c r="AT44" s="99">
        <v>3</v>
      </c>
      <c r="AU44" s="99" t="str">
        <f>LEFT(RIGHT(C44,LEN(C44)-MIN(SEARCH({0,1,2,3,4,5,6,7,8,9},C44&amp;"0123456789"))+1),5)</f>
        <v>10.02</v>
      </c>
      <c r="AV44" s="99" t="str">
        <f t="shared" si="5"/>
        <v>MI</v>
      </c>
    </row>
    <row r="45" spans="1:48" s="99" customFormat="1" ht="21" customHeight="1" x14ac:dyDescent="0.35">
      <c r="A45" s="99">
        <v>421</v>
      </c>
      <c r="B45" s="126" t="str">
        <f t="shared" si="0"/>
        <v>0-304/FH-001X770</v>
      </c>
      <c r="C45" s="126" t="s">
        <v>2986</v>
      </c>
      <c r="D45" s="126" t="s">
        <v>13</v>
      </c>
      <c r="E45" s="143" t="s">
        <v>2674</v>
      </c>
      <c r="F45" s="143" t="s">
        <v>2675</v>
      </c>
      <c r="G45" s="126">
        <v>304</v>
      </c>
      <c r="H45" s="126" t="s">
        <v>65</v>
      </c>
      <c r="I45" s="127">
        <v>3</v>
      </c>
      <c r="J45" s="127">
        <v>1.1499999999999999</v>
      </c>
      <c r="K45" s="127"/>
      <c r="L45" s="127"/>
      <c r="M45" s="144">
        <v>770</v>
      </c>
      <c r="N45" s="129">
        <v>10.255000000000001</v>
      </c>
      <c r="O45" s="129">
        <v>10.255000000000001</v>
      </c>
      <c r="P45" s="129" t="s">
        <v>116</v>
      </c>
      <c r="Q45" s="130" t="s">
        <v>462</v>
      </c>
      <c r="R45" s="131"/>
      <c r="S45" s="131"/>
      <c r="T45" s="132">
        <v>44602</v>
      </c>
      <c r="U45" s="132">
        <v>44602</v>
      </c>
      <c r="V45" s="132"/>
      <c r="W45" s="132"/>
      <c r="X45" s="132"/>
      <c r="Y45" s="133"/>
      <c r="Z45" s="126" t="s">
        <v>64</v>
      </c>
      <c r="AA45" s="134" t="s">
        <v>154</v>
      </c>
      <c r="AB45" s="134" t="s">
        <v>1239</v>
      </c>
      <c r="AC45" s="134"/>
      <c r="AD45" s="134">
        <v>44496</v>
      </c>
      <c r="AE45" s="134"/>
      <c r="AF45" s="134">
        <f t="shared" ca="1" si="1"/>
        <v>44963</v>
      </c>
      <c r="AG45" s="126">
        <f t="shared" ca="1" si="2"/>
        <v>467</v>
      </c>
      <c r="AH45" s="126" t="str">
        <f t="shared" si="3"/>
        <v/>
      </c>
      <c r="AI45" s="134"/>
      <c r="AJ45" s="143" t="s">
        <v>2676</v>
      </c>
      <c r="AK45" s="129">
        <v>10.255000000000001</v>
      </c>
      <c r="AL45" s="129">
        <v>10.265000000000001</v>
      </c>
      <c r="AM45" s="129">
        <v>10.29</v>
      </c>
      <c r="AN45" s="129">
        <v>10.295</v>
      </c>
      <c r="AO45" s="126">
        <f t="shared" ca="1" si="4"/>
        <v>361</v>
      </c>
      <c r="AR45" s="99" t="s">
        <v>136</v>
      </c>
      <c r="AS45" s="281" t="str">
        <f>LEFT(RIGHT(C45,LEN(C45)-MIN(SEARCH({0,1,2,3,4,5,6,7,8,9},C45&amp;"0123456789"))+1),2)</f>
        <v>10</v>
      </c>
      <c r="AT45" s="99">
        <v>3</v>
      </c>
      <c r="AU45" s="99" t="str">
        <f>LEFT(RIGHT(C45,LEN(C45)-MIN(SEARCH({0,1,2,3,4,5,6,7,8,9},C45&amp;"0123456789"))+1),5)</f>
        <v>10.02</v>
      </c>
      <c r="AV45" s="99" t="str">
        <f t="shared" si="5"/>
        <v>MI</v>
      </c>
    </row>
    <row r="46" spans="1:48" s="99" customFormat="1" ht="21" customHeight="1" x14ac:dyDescent="0.35">
      <c r="A46" s="99">
        <v>424</v>
      </c>
      <c r="B46" s="126" t="str">
        <f t="shared" si="0"/>
        <v>0-304L/FH-001X773</v>
      </c>
      <c r="C46" s="126" t="s">
        <v>2988</v>
      </c>
      <c r="D46" s="126" t="s">
        <v>13</v>
      </c>
      <c r="E46" s="143" t="s">
        <v>2679</v>
      </c>
      <c r="F46" s="143" t="s">
        <v>2680</v>
      </c>
      <c r="G46" s="126" t="s">
        <v>230</v>
      </c>
      <c r="H46" s="126" t="s">
        <v>65</v>
      </c>
      <c r="I46" s="127">
        <v>3.78</v>
      </c>
      <c r="J46" s="127">
        <v>1.45</v>
      </c>
      <c r="K46" s="127"/>
      <c r="L46" s="127"/>
      <c r="M46" s="144">
        <v>773</v>
      </c>
      <c r="N46" s="129">
        <v>10.305</v>
      </c>
      <c r="O46" s="129">
        <v>10.305</v>
      </c>
      <c r="P46" s="129" t="s">
        <v>116</v>
      </c>
      <c r="Q46" s="130" t="s">
        <v>462</v>
      </c>
      <c r="R46" s="131"/>
      <c r="S46" s="131"/>
      <c r="T46" s="132">
        <v>44602</v>
      </c>
      <c r="U46" s="132">
        <v>44603</v>
      </c>
      <c r="V46" s="132"/>
      <c r="W46" s="132"/>
      <c r="X46" s="132"/>
      <c r="Y46" s="133" t="s">
        <v>1395</v>
      </c>
      <c r="Z46" s="126" t="s">
        <v>64</v>
      </c>
      <c r="AA46" s="134" t="s">
        <v>154</v>
      </c>
      <c r="AB46" s="134" t="s">
        <v>1330</v>
      </c>
      <c r="AC46" s="134"/>
      <c r="AD46" s="134">
        <v>44554</v>
      </c>
      <c r="AE46" s="134"/>
      <c r="AF46" s="134">
        <f t="shared" ca="1" si="1"/>
        <v>44963</v>
      </c>
      <c r="AG46" s="126">
        <f t="shared" ca="1" si="2"/>
        <v>409</v>
      </c>
      <c r="AH46" s="126" t="str">
        <f t="shared" si="3"/>
        <v/>
      </c>
      <c r="AI46" s="134"/>
      <c r="AJ46" s="143" t="s">
        <v>2673</v>
      </c>
      <c r="AK46" s="129">
        <v>10.305</v>
      </c>
      <c r="AL46" s="129">
        <v>10.315</v>
      </c>
      <c r="AM46" s="129">
        <v>10.339999999999998</v>
      </c>
      <c r="AN46" s="129">
        <v>10.344999999999999</v>
      </c>
      <c r="AO46" s="126">
        <f t="shared" ca="1" si="4"/>
        <v>360</v>
      </c>
      <c r="AR46" s="99" t="s">
        <v>136</v>
      </c>
      <c r="AS46" s="281" t="str">
        <f>LEFT(RIGHT(C46,LEN(C46)-MIN(SEARCH({0,1,2,3,4,5,6,7,8,9},C46&amp;"0123456789"))+1),2)</f>
        <v>11</v>
      </c>
      <c r="AT46" s="99">
        <v>1</v>
      </c>
      <c r="AU46" s="99" t="str">
        <f>LEFT(RIGHT(C46,LEN(C46)-MIN(SEARCH({0,1,2,3,4,5,6,7,8,9},C46&amp;"0123456789"))+1),5)</f>
        <v>11.02</v>
      </c>
      <c r="AV46" s="99" t="str">
        <f t="shared" si="5"/>
        <v>MI</v>
      </c>
    </row>
    <row r="47" spans="1:48" s="99" customFormat="1" ht="21" customHeight="1" x14ac:dyDescent="0.35">
      <c r="A47" s="99">
        <v>424</v>
      </c>
      <c r="B47" s="126" t="str">
        <f t="shared" si="0"/>
        <v>0-304L/FH-001X768</v>
      </c>
      <c r="C47" s="126" t="s">
        <v>2988</v>
      </c>
      <c r="D47" s="126" t="s">
        <v>13</v>
      </c>
      <c r="E47" s="143" t="s">
        <v>2677</v>
      </c>
      <c r="F47" s="143" t="s">
        <v>2678</v>
      </c>
      <c r="G47" s="126" t="s">
        <v>230</v>
      </c>
      <c r="H47" s="126" t="s">
        <v>65</v>
      </c>
      <c r="I47" s="127">
        <v>3.78</v>
      </c>
      <c r="J47" s="127">
        <v>1.45</v>
      </c>
      <c r="K47" s="127"/>
      <c r="L47" s="127"/>
      <c r="M47" s="144">
        <v>768</v>
      </c>
      <c r="N47" s="129">
        <v>12.06</v>
      </c>
      <c r="O47" s="129">
        <v>12.06</v>
      </c>
      <c r="P47" s="129" t="s">
        <v>116</v>
      </c>
      <c r="Q47" s="130" t="s">
        <v>1206</v>
      </c>
      <c r="R47" s="131"/>
      <c r="S47" s="131"/>
      <c r="T47" s="132">
        <v>44602</v>
      </c>
      <c r="U47" s="132">
        <v>44603</v>
      </c>
      <c r="V47" s="132"/>
      <c r="W47" s="132"/>
      <c r="X47" s="132"/>
      <c r="Y47" s="133" t="s">
        <v>1395</v>
      </c>
      <c r="Z47" s="126" t="s">
        <v>64</v>
      </c>
      <c r="AA47" s="134" t="s">
        <v>154</v>
      </c>
      <c r="AB47" s="134" t="s">
        <v>1516</v>
      </c>
      <c r="AC47" s="134"/>
      <c r="AD47" s="134">
        <v>44554</v>
      </c>
      <c r="AE47" s="134"/>
      <c r="AF47" s="134">
        <f t="shared" ca="1" si="1"/>
        <v>44963</v>
      </c>
      <c r="AG47" s="126">
        <f t="shared" ca="1" si="2"/>
        <v>409</v>
      </c>
      <c r="AH47" s="126" t="str">
        <f t="shared" si="3"/>
        <v/>
      </c>
      <c r="AI47" s="134"/>
      <c r="AJ47" s="143" t="s">
        <v>1575</v>
      </c>
      <c r="AK47" s="129">
        <v>12.06</v>
      </c>
      <c r="AL47" s="129">
        <v>12.07</v>
      </c>
      <c r="AM47" s="129">
        <v>12.094999999999999</v>
      </c>
      <c r="AN47" s="129">
        <v>12.1</v>
      </c>
      <c r="AO47" s="126">
        <f t="shared" ca="1" si="4"/>
        <v>360</v>
      </c>
      <c r="AR47" s="99" t="s">
        <v>136</v>
      </c>
      <c r="AS47" s="281" t="str">
        <f>LEFT(RIGHT(C47,LEN(C47)-MIN(SEARCH({0,1,2,3,4,5,6,7,8,9},C47&amp;"0123456789"))+1),2)</f>
        <v>11</v>
      </c>
      <c r="AT47" s="99">
        <v>1</v>
      </c>
      <c r="AU47" s="99" t="str">
        <f>LEFT(RIGHT(C47,LEN(C47)-MIN(SEARCH({0,1,2,3,4,5,6,7,8,9},C47&amp;"0123456789"))+1),5)</f>
        <v>11.02</v>
      </c>
      <c r="AV47" s="99" t="str">
        <f t="shared" si="5"/>
        <v>MI</v>
      </c>
    </row>
    <row r="48" spans="1:48" s="99" customFormat="1" ht="21" customHeight="1" x14ac:dyDescent="0.35">
      <c r="A48" s="99">
        <v>422</v>
      </c>
      <c r="B48" s="126" t="str">
        <f t="shared" si="0"/>
        <v>0-304L/FH-001X772</v>
      </c>
      <c r="C48" s="126" t="s">
        <v>2988</v>
      </c>
      <c r="D48" s="126" t="s">
        <v>13</v>
      </c>
      <c r="E48" s="143" t="s">
        <v>2654</v>
      </c>
      <c r="F48" s="143" t="s">
        <v>2655</v>
      </c>
      <c r="G48" s="126" t="s">
        <v>230</v>
      </c>
      <c r="H48" s="126" t="s">
        <v>65</v>
      </c>
      <c r="I48" s="127">
        <v>2.91</v>
      </c>
      <c r="J48" s="127">
        <v>0.9</v>
      </c>
      <c r="K48" s="127"/>
      <c r="L48" s="127"/>
      <c r="M48" s="144">
        <v>772</v>
      </c>
      <c r="N48" s="129">
        <v>8.41</v>
      </c>
      <c r="O48" s="129">
        <v>8.41</v>
      </c>
      <c r="P48" s="129" t="s">
        <v>116</v>
      </c>
      <c r="Q48" s="130" t="s">
        <v>2987</v>
      </c>
      <c r="R48" s="131"/>
      <c r="S48" s="131"/>
      <c r="T48" s="132">
        <v>44602</v>
      </c>
      <c r="U48" s="132">
        <v>44603</v>
      </c>
      <c r="V48" s="132"/>
      <c r="W48" s="132"/>
      <c r="X48" s="132"/>
      <c r="Y48" s="133"/>
      <c r="Z48" s="126" t="s">
        <v>64</v>
      </c>
      <c r="AA48" s="134" t="s">
        <v>154</v>
      </c>
      <c r="AB48" s="134" t="s">
        <v>1330</v>
      </c>
      <c r="AC48" s="134"/>
      <c r="AD48" s="134">
        <v>44516</v>
      </c>
      <c r="AE48" s="134"/>
      <c r="AF48" s="134">
        <f t="shared" ca="1" si="1"/>
        <v>44963</v>
      </c>
      <c r="AG48" s="126">
        <f t="shared" ca="1" si="2"/>
        <v>447</v>
      </c>
      <c r="AH48" s="126" t="str">
        <f t="shared" si="3"/>
        <v/>
      </c>
      <c r="AI48" s="134"/>
      <c r="AJ48" s="143" t="s">
        <v>2652</v>
      </c>
      <c r="AK48" s="129">
        <v>8.41</v>
      </c>
      <c r="AL48" s="129">
        <v>8.42</v>
      </c>
      <c r="AM48" s="129">
        <v>8.4449999999999985</v>
      </c>
      <c r="AN48" s="129">
        <v>8.4499999999999993</v>
      </c>
      <c r="AO48" s="126">
        <f t="shared" ca="1" si="4"/>
        <v>360</v>
      </c>
      <c r="AR48" s="99" t="s">
        <v>136</v>
      </c>
      <c r="AS48" s="281" t="str">
        <f>LEFT(RIGHT(C48,LEN(C48)-MIN(SEARCH({0,1,2,3,4,5,6,7,8,9},C48&amp;"0123456789"))+1),2)</f>
        <v>11</v>
      </c>
      <c r="AT48" s="99">
        <v>1</v>
      </c>
      <c r="AU48" s="99" t="str">
        <f>LEFT(RIGHT(C48,LEN(C48)-MIN(SEARCH({0,1,2,3,4,5,6,7,8,9},C48&amp;"0123456789"))+1),5)</f>
        <v>11.02</v>
      </c>
      <c r="AV48" s="99" t="str">
        <f t="shared" si="5"/>
        <v>MI</v>
      </c>
    </row>
    <row r="49" spans="1:48" s="99" customFormat="1" ht="21" customHeight="1" x14ac:dyDescent="0.35">
      <c r="A49" s="99">
        <v>422</v>
      </c>
      <c r="B49" s="126" t="str">
        <f t="shared" si="0"/>
        <v>0-304L/FH-001X771</v>
      </c>
      <c r="C49" s="126" t="s">
        <v>2988</v>
      </c>
      <c r="D49" s="126" t="s">
        <v>13</v>
      </c>
      <c r="E49" s="143" t="s">
        <v>2682</v>
      </c>
      <c r="F49" s="143" t="s">
        <v>2683</v>
      </c>
      <c r="G49" s="126" t="s">
        <v>230</v>
      </c>
      <c r="H49" s="126" t="s">
        <v>65</v>
      </c>
      <c r="I49" s="127">
        <v>2.89</v>
      </c>
      <c r="J49" s="127">
        <v>0.8</v>
      </c>
      <c r="K49" s="127"/>
      <c r="L49" s="127"/>
      <c r="M49" s="144">
        <v>771</v>
      </c>
      <c r="N49" s="129">
        <v>8.4749999999999996</v>
      </c>
      <c r="O49" s="129">
        <v>8.4749999999999996</v>
      </c>
      <c r="P49" s="129" t="s">
        <v>116</v>
      </c>
      <c r="Q49" s="130" t="s">
        <v>2987</v>
      </c>
      <c r="R49" s="131"/>
      <c r="S49" s="131"/>
      <c r="T49" s="132">
        <v>44603</v>
      </c>
      <c r="U49" s="132">
        <v>44603</v>
      </c>
      <c r="V49" s="132"/>
      <c r="W49" s="132"/>
      <c r="X49" s="132"/>
      <c r="Y49" s="133"/>
      <c r="Z49" s="126" t="s">
        <v>64</v>
      </c>
      <c r="AA49" s="134" t="s">
        <v>154</v>
      </c>
      <c r="AB49" s="134" t="s">
        <v>1296</v>
      </c>
      <c r="AC49" s="134"/>
      <c r="AD49" s="134">
        <v>44516</v>
      </c>
      <c r="AE49" s="134"/>
      <c r="AF49" s="134">
        <f t="shared" ca="1" si="1"/>
        <v>44963</v>
      </c>
      <c r="AG49" s="126">
        <f t="shared" ca="1" si="2"/>
        <v>447</v>
      </c>
      <c r="AH49" s="126" t="str">
        <f t="shared" si="3"/>
        <v/>
      </c>
      <c r="AI49" s="134"/>
      <c r="AJ49" s="143" t="s">
        <v>2684</v>
      </c>
      <c r="AK49" s="129">
        <v>8.4749999999999996</v>
      </c>
      <c r="AL49" s="129">
        <v>8.4849999999999994</v>
      </c>
      <c r="AM49" s="129">
        <v>8.509999999999998</v>
      </c>
      <c r="AN49" s="129">
        <v>8.5149999999999988</v>
      </c>
      <c r="AO49" s="126">
        <f t="shared" ca="1" si="4"/>
        <v>360</v>
      </c>
      <c r="AR49" s="99" t="s">
        <v>136</v>
      </c>
      <c r="AS49" s="281" t="str">
        <f>LEFT(RIGHT(C49,LEN(C49)-MIN(SEARCH({0,1,2,3,4,5,6,7,8,9},C49&amp;"0123456789"))+1),2)</f>
        <v>11</v>
      </c>
      <c r="AT49" s="99">
        <v>2</v>
      </c>
      <c r="AU49" s="99" t="str">
        <f>LEFT(RIGHT(C49,LEN(C49)-MIN(SEARCH({0,1,2,3,4,5,6,7,8,9},C49&amp;"0123456789"))+1),5)</f>
        <v>11.02</v>
      </c>
      <c r="AV49" s="99" t="str">
        <f t="shared" si="5"/>
        <v>MI</v>
      </c>
    </row>
    <row r="50" spans="1:48" s="99" customFormat="1" ht="21" customHeight="1" x14ac:dyDescent="0.35">
      <c r="A50" s="99">
        <v>422</v>
      </c>
      <c r="B50" s="126" t="str">
        <f t="shared" si="0"/>
        <v>0-304L/FH-001X769</v>
      </c>
      <c r="C50" s="126" t="s">
        <v>2988</v>
      </c>
      <c r="D50" s="126" t="s">
        <v>13</v>
      </c>
      <c r="E50" s="143" t="s">
        <v>2686</v>
      </c>
      <c r="F50" s="143" t="s">
        <v>2687</v>
      </c>
      <c r="G50" s="126" t="s">
        <v>230</v>
      </c>
      <c r="H50" s="126" t="s">
        <v>65</v>
      </c>
      <c r="I50" s="127">
        <v>2.89</v>
      </c>
      <c r="J50" s="127">
        <v>0.9</v>
      </c>
      <c r="K50" s="127"/>
      <c r="L50" s="127"/>
      <c r="M50" s="144">
        <v>769</v>
      </c>
      <c r="N50" s="129">
        <v>8.27</v>
      </c>
      <c r="O50" s="129">
        <v>8.27</v>
      </c>
      <c r="P50" s="129" t="s">
        <v>116</v>
      </c>
      <c r="Q50" s="130" t="s">
        <v>1206</v>
      </c>
      <c r="R50" s="131"/>
      <c r="S50" s="131"/>
      <c r="T50" s="132">
        <v>44603</v>
      </c>
      <c r="U50" s="132">
        <v>44603</v>
      </c>
      <c r="V50" s="132"/>
      <c r="W50" s="132"/>
      <c r="X50" s="132"/>
      <c r="Y50" s="133"/>
      <c r="Z50" s="126" t="s">
        <v>64</v>
      </c>
      <c r="AA50" s="134" t="s">
        <v>154</v>
      </c>
      <c r="AB50" s="134" t="s">
        <v>1330</v>
      </c>
      <c r="AC50" s="134"/>
      <c r="AD50" s="134">
        <v>44516</v>
      </c>
      <c r="AE50" s="134"/>
      <c r="AF50" s="134">
        <f t="shared" ca="1" si="1"/>
        <v>44963</v>
      </c>
      <c r="AG50" s="126">
        <f t="shared" ca="1" si="2"/>
        <v>447</v>
      </c>
      <c r="AH50" s="126" t="str">
        <f t="shared" si="3"/>
        <v/>
      </c>
      <c r="AI50" s="134"/>
      <c r="AJ50" s="143" t="s">
        <v>2688</v>
      </c>
      <c r="AK50" s="129">
        <v>8.27</v>
      </c>
      <c r="AL50" s="129">
        <v>8.2799999999999994</v>
      </c>
      <c r="AM50" s="129">
        <v>8.3049999999999979</v>
      </c>
      <c r="AN50" s="129">
        <v>8.3099999999999987</v>
      </c>
      <c r="AO50" s="126">
        <f t="shared" ca="1" si="4"/>
        <v>360</v>
      </c>
      <c r="AR50" s="99" t="s">
        <v>136</v>
      </c>
      <c r="AS50" s="281" t="str">
        <f>LEFT(RIGHT(C50,LEN(C50)-MIN(SEARCH({0,1,2,3,4,5,6,7,8,9},C50&amp;"0123456789"))+1),2)</f>
        <v>11</v>
      </c>
      <c r="AT50" s="99">
        <v>2</v>
      </c>
      <c r="AU50" s="99" t="str">
        <f>LEFT(RIGHT(C50,LEN(C50)-MIN(SEARCH({0,1,2,3,4,5,6,7,8,9},C50&amp;"0123456789"))+1),5)</f>
        <v>11.02</v>
      </c>
      <c r="AV50" s="99" t="str">
        <f t="shared" si="5"/>
        <v>MI</v>
      </c>
    </row>
    <row r="51" spans="1:48" s="99" customFormat="1" ht="21" customHeight="1" x14ac:dyDescent="0.35">
      <c r="A51" s="99">
        <v>422</v>
      </c>
      <c r="B51" s="126" t="str">
        <f t="shared" si="0"/>
        <v>0-304L/FH-001X768</v>
      </c>
      <c r="C51" s="126" t="s">
        <v>2988</v>
      </c>
      <c r="D51" s="126" t="s">
        <v>13</v>
      </c>
      <c r="E51" s="143" t="s">
        <v>2692</v>
      </c>
      <c r="F51" s="143" t="s">
        <v>2693</v>
      </c>
      <c r="G51" s="126" t="s">
        <v>230</v>
      </c>
      <c r="H51" s="126" t="s">
        <v>65</v>
      </c>
      <c r="I51" s="127">
        <v>2.88</v>
      </c>
      <c r="J51" s="127">
        <v>0.9</v>
      </c>
      <c r="K51" s="127"/>
      <c r="L51" s="127"/>
      <c r="M51" s="144">
        <v>768</v>
      </c>
      <c r="N51" s="129">
        <v>7.2850000000000001</v>
      </c>
      <c r="O51" s="129">
        <v>7.2850000000000001</v>
      </c>
      <c r="P51" s="129" t="s">
        <v>116</v>
      </c>
      <c r="Q51" s="130" t="s">
        <v>1206</v>
      </c>
      <c r="R51" s="131"/>
      <c r="S51" s="131"/>
      <c r="T51" s="132">
        <v>44603</v>
      </c>
      <c r="U51" s="132">
        <v>44603</v>
      </c>
      <c r="V51" s="132"/>
      <c r="W51" s="132"/>
      <c r="X51" s="132"/>
      <c r="Y51" s="133"/>
      <c r="Z51" s="126" t="s">
        <v>64</v>
      </c>
      <c r="AA51" s="134" t="s">
        <v>154</v>
      </c>
      <c r="AB51" s="134" t="s">
        <v>1330</v>
      </c>
      <c r="AC51" s="134"/>
      <c r="AD51" s="134">
        <v>44516</v>
      </c>
      <c r="AE51" s="134"/>
      <c r="AF51" s="134">
        <f t="shared" ca="1" si="1"/>
        <v>44963</v>
      </c>
      <c r="AG51" s="126">
        <f t="shared" ca="1" si="2"/>
        <v>447</v>
      </c>
      <c r="AH51" s="126" t="str">
        <f t="shared" si="3"/>
        <v/>
      </c>
      <c r="AI51" s="134"/>
      <c r="AJ51" s="143" t="s">
        <v>1347</v>
      </c>
      <c r="AK51" s="129">
        <v>7.2850000000000001</v>
      </c>
      <c r="AL51" s="129">
        <v>7.2949999999999999</v>
      </c>
      <c r="AM51" s="129">
        <v>7.32</v>
      </c>
      <c r="AN51" s="129">
        <v>7.3250000000000002</v>
      </c>
      <c r="AO51" s="126">
        <f t="shared" ca="1" si="4"/>
        <v>360</v>
      </c>
      <c r="AR51" s="99" t="s">
        <v>136</v>
      </c>
      <c r="AS51" s="281" t="str">
        <f>LEFT(RIGHT(C51,LEN(C51)-MIN(SEARCH({0,1,2,3,4,5,6,7,8,9},C51&amp;"0123456789"))+1),2)</f>
        <v>11</v>
      </c>
      <c r="AT51" s="99">
        <v>2</v>
      </c>
      <c r="AU51" s="99" t="str">
        <f>LEFT(RIGHT(C51,LEN(C51)-MIN(SEARCH({0,1,2,3,4,5,6,7,8,9},C51&amp;"0123456789"))+1),5)</f>
        <v>11.02</v>
      </c>
      <c r="AV51" s="99" t="str">
        <f t="shared" si="5"/>
        <v>MI</v>
      </c>
    </row>
    <row r="52" spans="1:48" s="99" customFormat="1" ht="21" customHeight="1" x14ac:dyDescent="0.35">
      <c r="A52" s="99">
        <v>424</v>
      </c>
      <c r="B52" s="126" t="str">
        <f t="shared" si="0"/>
        <v>0-304L/FH-001X776</v>
      </c>
      <c r="C52" s="126" t="s">
        <v>2988</v>
      </c>
      <c r="D52" s="126" t="s">
        <v>13</v>
      </c>
      <c r="E52" s="143" t="s">
        <v>2697</v>
      </c>
      <c r="F52" s="143" t="s">
        <v>2698</v>
      </c>
      <c r="G52" s="126" t="s">
        <v>230</v>
      </c>
      <c r="H52" s="126" t="s">
        <v>65</v>
      </c>
      <c r="I52" s="127">
        <v>3.38</v>
      </c>
      <c r="J52" s="127">
        <v>1.35</v>
      </c>
      <c r="K52" s="127"/>
      <c r="L52" s="127"/>
      <c r="M52" s="144">
        <v>776</v>
      </c>
      <c r="N52" s="129">
        <v>10.125</v>
      </c>
      <c r="O52" s="129">
        <v>10.125</v>
      </c>
      <c r="P52" s="129" t="s">
        <v>116</v>
      </c>
      <c r="Q52" s="130" t="s">
        <v>2987</v>
      </c>
      <c r="R52" s="131"/>
      <c r="S52" s="131"/>
      <c r="T52" s="132">
        <v>44603</v>
      </c>
      <c r="U52" s="132">
        <v>44603</v>
      </c>
      <c r="V52" s="132"/>
      <c r="W52" s="132"/>
      <c r="X52" s="132"/>
      <c r="Y52" s="133" t="s">
        <v>1395</v>
      </c>
      <c r="Z52" s="126" t="s">
        <v>64</v>
      </c>
      <c r="AA52" s="134" t="s">
        <v>154</v>
      </c>
      <c r="AB52" s="134" t="s">
        <v>1516</v>
      </c>
      <c r="AC52" s="134"/>
      <c r="AD52" s="134">
        <v>44554</v>
      </c>
      <c r="AE52" s="134"/>
      <c r="AF52" s="134">
        <f t="shared" ca="1" si="1"/>
        <v>44963</v>
      </c>
      <c r="AG52" s="126">
        <f t="shared" ca="1" si="2"/>
        <v>409</v>
      </c>
      <c r="AH52" s="126" t="str">
        <f t="shared" si="3"/>
        <v/>
      </c>
      <c r="AI52" s="134"/>
      <c r="AJ52" s="143" t="s">
        <v>2691</v>
      </c>
      <c r="AK52" s="129">
        <v>10.125</v>
      </c>
      <c r="AL52" s="129">
        <v>10.135</v>
      </c>
      <c r="AM52" s="129">
        <v>10.159999999999998</v>
      </c>
      <c r="AN52" s="129">
        <v>10.164999999999999</v>
      </c>
      <c r="AO52" s="126">
        <f t="shared" ca="1" si="4"/>
        <v>360</v>
      </c>
      <c r="AR52" s="99" t="s">
        <v>136</v>
      </c>
      <c r="AS52" s="281" t="str">
        <f>LEFT(RIGHT(C52,LEN(C52)-MIN(SEARCH({0,1,2,3,4,5,6,7,8,9},C52&amp;"0123456789"))+1),2)</f>
        <v>11</v>
      </c>
      <c r="AT52" s="99">
        <v>2</v>
      </c>
      <c r="AU52" s="99" t="str">
        <f>LEFT(RIGHT(C52,LEN(C52)-MIN(SEARCH({0,1,2,3,4,5,6,7,8,9},C52&amp;"0123456789"))+1),5)</f>
        <v>11.02</v>
      </c>
      <c r="AV52" s="99" t="str">
        <f t="shared" si="5"/>
        <v>MI</v>
      </c>
    </row>
    <row r="53" spans="1:48" s="99" customFormat="1" ht="21" customHeight="1" x14ac:dyDescent="0.35">
      <c r="A53" s="99">
        <v>422</v>
      </c>
      <c r="B53" s="126" t="str">
        <f t="shared" si="0"/>
        <v>0-304L/FH-001X772</v>
      </c>
      <c r="C53" s="126" t="s">
        <v>2988</v>
      </c>
      <c r="D53" s="126" t="s">
        <v>13</v>
      </c>
      <c r="E53" s="143" t="s">
        <v>2694</v>
      </c>
      <c r="F53" s="143" t="s">
        <v>2695</v>
      </c>
      <c r="G53" s="126" t="s">
        <v>230</v>
      </c>
      <c r="H53" s="126" t="s">
        <v>65</v>
      </c>
      <c r="I53" s="127">
        <v>2.92</v>
      </c>
      <c r="J53" s="127">
        <v>1</v>
      </c>
      <c r="K53" s="127"/>
      <c r="L53" s="127"/>
      <c r="M53" s="144">
        <v>772</v>
      </c>
      <c r="N53" s="129">
        <v>7.9349999999999996</v>
      </c>
      <c r="O53" s="129">
        <v>7.9349999999999996</v>
      </c>
      <c r="P53" s="129" t="s">
        <v>116</v>
      </c>
      <c r="Q53" s="130" t="s">
        <v>2987</v>
      </c>
      <c r="R53" s="131"/>
      <c r="S53" s="131"/>
      <c r="T53" s="132">
        <v>44603</v>
      </c>
      <c r="U53" s="132">
        <v>44603</v>
      </c>
      <c r="V53" s="132"/>
      <c r="W53" s="132"/>
      <c r="X53" s="132"/>
      <c r="Y53" s="133"/>
      <c r="Z53" s="126" t="s">
        <v>64</v>
      </c>
      <c r="AA53" s="134" t="s">
        <v>154</v>
      </c>
      <c r="AB53" s="134" t="s">
        <v>1296</v>
      </c>
      <c r="AC53" s="134"/>
      <c r="AD53" s="134">
        <v>44516</v>
      </c>
      <c r="AE53" s="134"/>
      <c r="AF53" s="134">
        <f t="shared" ca="1" si="1"/>
        <v>44963</v>
      </c>
      <c r="AG53" s="126">
        <f t="shared" ca="1" si="2"/>
        <v>447</v>
      </c>
      <c r="AH53" s="126" t="str">
        <f t="shared" si="3"/>
        <v/>
      </c>
      <c r="AI53" s="134"/>
      <c r="AJ53" s="143" t="s">
        <v>2696</v>
      </c>
      <c r="AK53" s="129">
        <v>7.9349999999999996</v>
      </c>
      <c r="AL53" s="129">
        <v>7.9450000000000003</v>
      </c>
      <c r="AM53" s="129">
        <v>7.9700000000000006</v>
      </c>
      <c r="AN53" s="129">
        <v>7.9750000000000005</v>
      </c>
      <c r="AO53" s="126">
        <f t="shared" ca="1" si="4"/>
        <v>360</v>
      </c>
      <c r="AR53" s="99" t="s">
        <v>136</v>
      </c>
      <c r="AS53" s="281" t="str">
        <f>LEFT(RIGHT(C53,LEN(C53)-MIN(SEARCH({0,1,2,3,4,5,6,7,8,9},C53&amp;"0123456789"))+1),2)</f>
        <v>11</v>
      </c>
      <c r="AT53" s="99">
        <v>3</v>
      </c>
      <c r="AU53" s="99" t="str">
        <f>LEFT(RIGHT(C53,LEN(C53)-MIN(SEARCH({0,1,2,3,4,5,6,7,8,9},C53&amp;"0123456789"))+1),5)</f>
        <v>11.02</v>
      </c>
      <c r="AV53" s="99" t="str">
        <f t="shared" si="5"/>
        <v>MI</v>
      </c>
    </row>
    <row r="54" spans="1:48" s="99" customFormat="1" ht="21" customHeight="1" x14ac:dyDescent="0.35">
      <c r="A54" s="99">
        <v>424</v>
      </c>
      <c r="B54" s="126" t="str">
        <f t="shared" si="0"/>
        <v>0-304/FH-002X770</v>
      </c>
      <c r="C54" s="126" t="s">
        <v>2988</v>
      </c>
      <c r="D54" s="126" t="s">
        <v>13</v>
      </c>
      <c r="E54" s="143" t="s">
        <v>2699</v>
      </c>
      <c r="F54" s="143" t="s">
        <v>2700</v>
      </c>
      <c r="G54" s="126">
        <v>304</v>
      </c>
      <c r="H54" s="126" t="s">
        <v>65</v>
      </c>
      <c r="I54" s="127">
        <v>3.9</v>
      </c>
      <c r="J54" s="127">
        <v>1.9</v>
      </c>
      <c r="K54" s="127"/>
      <c r="L54" s="127"/>
      <c r="M54" s="144">
        <v>770</v>
      </c>
      <c r="N54" s="129">
        <v>10.205</v>
      </c>
      <c r="O54" s="129">
        <v>10.205</v>
      </c>
      <c r="P54" s="129" t="s">
        <v>116</v>
      </c>
      <c r="Q54" s="130" t="s">
        <v>2987</v>
      </c>
      <c r="R54" s="131"/>
      <c r="S54" s="131"/>
      <c r="T54" s="132">
        <v>44603</v>
      </c>
      <c r="U54" s="132">
        <v>44603</v>
      </c>
      <c r="V54" s="132"/>
      <c r="W54" s="132"/>
      <c r="X54" s="132"/>
      <c r="Y54" s="133" t="s">
        <v>1395</v>
      </c>
      <c r="Z54" s="126" t="s">
        <v>64</v>
      </c>
      <c r="AA54" s="134" t="s">
        <v>154</v>
      </c>
      <c r="AB54" s="134" t="s">
        <v>1516</v>
      </c>
      <c r="AC54" s="134"/>
      <c r="AD54" s="134">
        <v>44554</v>
      </c>
      <c r="AE54" s="134"/>
      <c r="AF54" s="134">
        <f t="shared" ca="1" si="1"/>
        <v>44963</v>
      </c>
      <c r="AG54" s="126">
        <f t="shared" ca="1" si="2"/>
        <v>409</v>
      </c>
      <c r="AH54" s="126" t="str">
        <f t="shared" si="3"/>
        <v/>
      </c>
      <c r="AI54" s="134"/>
      <c r="AJ54" s="143" t="s">
        <v>1700</v>
      </c>
      <c r="AK54" s="129">
        <v>10.205</v>
      </c>
      <c r="AL54" s="129">
        <v>10.215</v>
      </c>
      <c r="AM54" s="129">
        <v>10.239999999999998</v>
      </c>
      <c r="AN54" s="129">
        <v>10.244999999999999</v>
      </c>
      <c r="AO54" s="126">
        <f t="shared" ca="1" si="4"/>
        <v>360</v>
      </c>
      <c r="AR54" s="99" t="s">
        <v>136</v>
      </c>
      <c r="AS54" s="281" t="str">
        <f>LEFT(RIGHT(C54,LEN(C54)-MIN(SEARCH({0,1,2,3,4,5,6,7,8,9},C54&amp;"0123456789"))+1),2)</f>
        <v>11</v>
      </c>
      <c r="AT54" s="99">
        <v>3</v>
      </c>
      <c r="AU54" s="99" t="str">
        <f>LEFT(RIGHT(C54,LEN(C54)-MIN(SEARCH({0,1,2,3,4,5,6,7,8,9},C54&amp;"0123456789"))+1),5)</f>
        <v>11.02</v>
      </c>
      <c r="AV54" s="99" t="str">
        <f t="shared" si="5"/>
        <v>MI</v>
      </c>
    </row>
    <row r="55" spans="1:48" s="99" customFormat="1" ht="21" customHeight="1" x14ac:dyDescent="0.35">
      <c r="A55" s="99">
        <v>422</v>
      </c>
      <c r="B55" s="126" t="str">
        <f t="shared" si="0"/>
        <v>0-304L/FH-001X772</v>
      </c>
      <c r="C55" s="126" t="s">
        <v>2988</v>
      </c>
      <c r="D55" s="126" t="s">
        <v>13</v>
      </c>
      <c r="E55" s="143" t="s">
        <v>2701</v>
      </c>
      <c r="F55" s="143" t="s">
        <v>2702</v>
      </c>
      <c r="G55" s="126" t="s">
        <v>230</v>
      </c>
      <c r="H55" s="126" t="s">
        <v>65</v>
      </c>
      <c r="I55" s="127">
        <v>2.89</v>
      </c>
      <c r="J55" s="127">
        <v>0.9</v>
      </c>
      <c r="K55" s="127"/>
      <c r="L55" s="127"/>
      <c r="M55" s="144">
        <v>772</v>
      </c>
      <c r="N55" s="129">
        <v>10.46</v>
      </c>
      <c r="O55" s="129">
        <v>10.46</v>
      </c>
      <c r="P55" s="129" t="s">
        <v>116</v>
      </c>
      <c r="Q55" s="130" t="s">
        <v>1206</v>
      </c>
      <c r="R55" s="131"/>
      <c r="S55" s="131"/>
      <c r="T55" s="132">
        <v>44603</v>
      </c>
      <c r="U55" s="132">
        <v>44603</v>
      </c>
      <c r="V55" s="132"/>
      <c r="W55" s="132"/>
      <c r="X55" s="132"/>
      <c r="Y55" s="133"/>
      <c r="Z55" s="126" t="s">
        <v>64</v>
      </c>
      <c r="AA55" s="134" t="s">
        <v>154</v>
      </c>
      <c r="AB55" s="134" t="s">
        <v>1296</v>
      </c>
      <c r="AC55" s="134"/>
      <c r="AD55" s="134">
        <v>44516</v>
      </c>
      <c r="AE55" s="134"/>
      <c r="AF55" s="134">
        <f t="shared" ca="1" si="1"/>
        <v>44963</v>
      </c>
      <c r="AG55" s="126">
        <f t="shared" ca="1" si="2"/>
        <v>447</v>
      </c>
      <c r="AH55" s="126" t="str">
        <f t="shared" si="3"/>
        <v/>
      </c>
      <c r="AI55" s="134"/>
      <c r="AJ55" s="143" t="s">
        <v>2703</v>
      </c>
      <c r="AK55" s="129">
        <v>10.46</v>
      </c>
      <c r="AL55" s="129">
        <v>10.47</v>
      </c>
      <c r="AM55" s="129">
        <v>10.494999999999999</v>
      </c>
      <c r="AN55" s="129">
        <v>10.5</v>
      </c>
      <c r="AO55" s="126">
        <f t="shared" ca="1" si="4"/>
        <v>360</v>
      </c>
      <c r="AR55" s="99" t="s">
        <v>136</v>
      </c>
      <c r="AS55" s="281" t="str">
        <f>LEFT(RIGHT(C55,LEN(C55)-MIN(SEARCH({0,1,2,3,4,5,6,7,8,9},C55&amp;"0123456789"))+1),2)</f>
        <v>11</v>
      </c>
      <c r="AT55" s="99">
        <v>3</v>
      </c>
      <c r="AU55" s="99" t="str">
        <f>LEFT(RIGHT(C55,LEN(C55)-MIN(SEARCH({0,1,2,3,4,5,6,7,8,9},C55&amp;"0123456789"))+1),5)</f>
        <v>11.02</v>
      </c>
      <c r="AV55" s="99" t="str">
        <f t="shared" si="5"/>
        <v>MI</v>
      </c>
    </row>
    <row r="56" spans="1:48" s="99" customFormat="1" ht="21" customHeight="1" x14ac:dyDescent="0.35">
      <c r="A56" s="99">
        <v>424</v>
      </c>
      <c r="B56" s="126" t="str">
        <f t="shared" si="0"/>
        <v>0-304L/FH-001X775</v>
      </c>
      <c r="C56" s="126" t="s">
        <v>2988</v>
      </c>
      <c r="D56" s="126" t="s">
        <v>13</v>
      </c>
      <c r="E56" s="143" t="s">
        <v>2689</v>
      </c>
      <c r="F56" s="143" t="s">
        <v>2690</v>
      </c>
      <c r="G56" s="126" t="s">
        <v>230</v>
      </c>
      <c r="H56" s="126" t="s">
        <v>65</v>
      </c>
      <c r="I56" s="127">
        <v>3.38</v>
      </c>
      <c r="J56" s="127">
        <v>1.45</v>
      </c>
      <c r="K56" s="127"/>
      <c r="L56" s="127"/>
      <c r="M56" s="144">
        <v>775</v>
      </c>
      <c r="N56" s="129">
        <v>10.095000000000001</v>
      </c>
      <c r="O56" s="129">
        <v>10.095000000000001</v>
      </c>
      <c r="P56" s="129" t="s">
        <v>116</v>
      </c>
      <c r="Q56" s="130" t="s">
        <v>1206</v>
      </c>
      <c r="R56" s="131"/>
      <c r="S56" s="131"/>
      <c r="T56" s="132">
        <v>44603</v>
      </c>
      <c r="U56" s="132">
        <v>44603</v>
      </c>
      <c r="V56" s="132"/>
      <c r="W56" s="132"/>
      <c r="X56" s="132"/>
      <c r="Y56" s="133" t="s">
        <v>1395</v>
      </c>
      <c r="Z56" s="126" t="s">
        <v>64</v>
      </c>
      <c r="AA56" s="134" t="s">
        <v>154</v>
      </c>
      <c r="AB56" s="134" t="s">
        <v>1516</v>
      </c>
      <c r="AC56" s="134"/>
      <c r="AD56" s="134">
        <v>44554</v>
      </c>
      <c r="AE56" s="134"/>
      <c r="AF56" s="134">
        <f t="shared" ca="1" si="1"/>
        <v>44963</v>
      </c>
      <c r="AG56" s="126">
        <f t="shared" ca="1" si="2"/>
        <v>409</v>
      </c>
      <c r="AH56" s="126" t="str">
        <f t="shared" si="3"/>
        <v/>
      </c>
      <c r="AI56" s="134"/>
      <c r="AJ56" s="143" t="s">
        <v>2691</v>
      </c>
      <c r="AK56" s="129">
        <v>10.095000000000001</v>
      </c>
      <c r="AL56" s="129">
        <v>10.105</v>
      </c>
      <c r="AM56" s="129">
        <v>10.129999999999999</v>
      </c>
      <c r="AN56" s="129">
        <v>10.135</v>
      </c>
      <c r="AO56" s="126">
        <f t="shared" ca="1" si="4"/>
        <v>360</v>
      </c>
      <c r="AR56" s="99" t="s">
        <v>136</v>
      </c>
      <c r="AS56" s="281" t="str">
        <f>LEFT(RIGHT(C56,LEN(C56)-MIN(SEARCH({0,1,2,3,4,5,6,7,8,9},C56&amp;"0123456789"))+1),2)</f>
        <v>11</v>
      </c>
      <c r="AT56" s="99">
        <v>3</v>
      </c>
      <c r="AU56" s="99" t="str">
        <f>LEFT(RIGHT(C56,LEN(C56)-MIN(SEARCH({0,1,2,3,4,5,6,7,8,9},C56&amp;"0123456789"))+1),5)</f>
        <v>11.02</v>
      </c>
      <c r="AV56" s="99" t="str">
        <f t="shared" si="5"/>
        <v>MI</v>
      </c>
    </row>
    <row r="57" spans="1:48" s="99" customFormat="1" ht="21.75" customHeight="1" x14ac:dyDescent="0.35">
      <c r="A57" s="99">
        <v>421</v>
      </c>
      <c r="B57" s="126" t="str">
        <f t="shared" si="0"/>
        <v>0-304/FH-001X770</v>
      </c>
      <c r="C57" s="126" t="s">
        <v>2989</v>
      </c>
      <c r="D57" s="126" t="s">
        <v>13</v>
      </c>
      <c r="E57" s="143" t="s">
        <v>2709</v>
      </c>
      <c r="F57" s="143" t="s">
        <v>2710</v>
      </c>
      <c r="G57" s="126">
        <v>304</v>
      </c>
      <c r="H57" s="126" t="s">
        <v>65</v>
      </c>
      <c r="I57" s="127">
        <v>3.01</v>
      </c>
      <c r="J57" s="127">
        <v>1.1499999999999999</v>
      </c>
      <c r="K57" s="127"/>
      <c r="L57" s="127"/>
      <c r="M57" s="144">
        <v>770</v>
      </c>
      <c r="N57" s="129">
        <v>10.5</v>
      </c>
      <c r="O57" s="129">
        <v>10.5</v>
      </c>
      <c r="P57" s="129" t="s">
        <v>116</v>
      </c>
      <c r="Q57" s="130" t="s">
        <v>1206</v>
      </c>
      <c r="R57" s="131"/>
      <c r="S57" s="131"/>
      <c r="T57" s="132">
        <v>44603</v>
      </c>
      <c r="U57" s="132">
        <v>44604</v>
      </c>
      <c r="V57" s="132"/>
      <c r="W57" s="132"/>
      <c r="X57" s="132"/>
      <c r="Y57" s="133"/>
      <c r="Z57" s="126" t="s">
        <v>64</v>
      </c>
      <c r="AA57" s="134" t="s">
        <v>154</v>
      </c>
      <c r="AB57" s="134" t="s">
        <v>1239</v>
      </c>
      <c r="AC57" s="134"/>
      <c r="AD57" s="134">
        <v>44496</v>
      </c>
      <c r="AE57" s="134"/>
      <c r="AF57" s="134">
        <f t="shared" ca="1" si="1"/>
        <v>44963</v>
      </c>
      <c r="AG57" s="126">
        <f t="shared" ca="1" si="2"/>
        <v>467</v>
      </c>
      <c r="AH57" s="126" t="str">
        <f t="shared" si="3"/>
        <v/>
      </c>
      <c r="AI57" s="134"/>
      <c r="AJ57" s="143" t="s">
        <v>2711</v>
      </c>
      <c r="AK57" s="129">
        <v>10.5</v>
      </c>
      <c r="AL57" s="129">
        <v>10.51</v>
      </c>
      <c r="AM57" s="129">
        <v>10.534999999999998</v>
      </c>
      <c r="AN57" s="129">
        <v>10.54</v>
      </c>
      <c r="AO57" s="126">
        <f t="shared" ca="1" si="4"/>
        <v>359</v>
      </c>
      <c r="AR57" s="99" t="s">
        <v>136</v>
      </c>
      <c r="AS57" s="281" t="str">
        <f>LEFT(RIGHT(C57,LEN(C57)-MIN(SEARCH({0,1,2,3,4,5,6,7,8,9},C57&amp;"0123456789"))+1),2)</f>
        <v>12</v>
      </c>
      <c r="AT57" s="99">
        <v>1</v>
      </c>
      <c r="AU57" s="99" t="str">
        <f>LEFT(RIGHT(C57,LEN(C57)-MIN(SEARCH({0,1,2,3,4,5,6,7,8,9},C57&amp;"0123456789"))+1),5)</f>
        <v>12.02</v>
      </c>
      <c r="AV57" s="99" t="str">
        <f t="shared" si="5"/>
        <v>MI</v>
      </c>
    </row>
    <row r="58" spans="1:48" s="99" customFormat="1" ht="21" customHeight="1" x14ac:dyDescent="0.35">
      <c r="A58" s="99">
        <v>422</v>
      </c>
      <c r="B58" s="126" t="str">
        <f t="shared" si="0"/>
        <v>0-304L/FH-001X765</v>
      </c>
      <c r="C58" s="126" t="s">
        <v>2989</v>
      </c>
      <c r="D58" s="126" t="s">
        <v>13</v>
      </c>
      <c r="E58" s="143" t="s">
        <v>2706</v>
      </c>
      <c r="F58" s="143" t="s">
        <v>2707</v>
      </c>
      <c r="G58" s="126" t="s">
        <v>230</v>
      </c>
      <c r="H58" s="126" t="s">
        <v>65</v>
      </c>
      <c r="I58" s="127">
        <v>2.88</v>
      </c>
      <c r="J58" s="127">
        <v>0.9</v>
      </c>
      <c r="K58" s="127"/>
      <c r="L58" s="127"/>
      <c r="M58" s="144">
        <v>765</v>
      </c>
      <c r="N58" s="129">
        <v>7.0250000000000004</v>
      </c>
      <c r="O58" s="129">
        <v>7.0250000000000004</v>
      </c>
      <c r="P58" s="129" t="s">
        <v>116</v>
      </c>
      <c r="Q58" s="130" t="s">
        <v>1206</v>
      </c>
      <c r="R58" s="131"/>
      <c r="S58" s="131"/>
      <c r="T58" s="132">
        <v>44603</v>
      </c>
      <c r="U58" s="132">
        <v>44604</v>
      </c>
      <c r="V58" s="132"/>
      <c r="W58" s="132"/>
      <c r="X58" s="132"/>
      <c r="Y58" s="133"/>
      <c r="Z58" s="126" t="s">
        <v>64</v>
      </c>
      <c r="AA58" s="134" t="s">
        <v>154</v>
      </c>
      <c r="AB58" s="134" t="s">
        <v>1296</v>
      </c>
      <c r="AC58" s="134"/>
      <c r="AD58" s="134">
        <v>44516</v>
      </c>
      <c r="AE58" s="134"/>
      <c r="AF58" s="134">
        <f t="shared" ca="1" si="1"/>
        <v>44963</v>
      </c>
      <c r="AG58" s="126">
        <f t="shared" ca="1" si="2"/>
        <v>447</v>
      </c>
      <c r="AH58" s="126" t="str">
        <f t="shared" si="3"/>
        <v/>
      </c>
      <c r="AI58" s="134"/>
      <c r="AJ58" s="143" t="s">
        <v>2708</v>
      </c>
      <c r="AK58" s="129">
        <v>7.0250000000000004</v>
      </c>
      <c r="AL58" s="129">
        <v>7.0350000000000001</v>
      </c>
      <c r="AM58" s="129">
        <v>7.0600000000000005</v>
      </c>
      <c r="AN58" s="129">
        <v>7.0650000000000004</v>
      </c>
      <c r="AO58" s="126">
        <f t="shared" ca="1" si="4"/>
        <v>359</v>
      </c>
      <c r="AR58" s="99" t="s">
        <v>136</v>
      </c>
      <c r="AS58" s="281" t="str">
        <f>LEFT(RIGHT(C58,LEN(C58)-MIN(SEARCH({0,1,2,3,4,5,6,7,8,9},C58&amp;"0123456789"))+1),2)</f>
        <v>12</v>
      </c>
      <c r="AT58" s="99">
        <v>1</v>
      </c>
      <c r="AU58" s="99" t="str">
        <f>LEFT(RIGHT(C58,LEN(C58)-MIN(SEARCH({0,1,2,3,4,5,6,7,8,9},C58&amp;"0123456789"))+1),5)</f>
        <v>12.02</v>
      </c>
      <c r="AV58" s="99" t="str">
        <f t="shared" si="5"/>
        <v>MI</v>
      </c>
    </row>
    <row r="59" spans="1:48" s="99" customFormat="1" ht="21" customHeight="1" x14ac:dyDescent="0.35">
      <c r="A59" s="99">
        <v>421</v>
      </c>
      <c r="B59" s="126" t="str">
        <f t="shared" si="0"/>
        <v>0-304L/FH-001X770</v>
      </c>
      <c r="C59" s="126" t="s">
        <v>2989</v>
      </c>
      <c r="D59" s="126" t="s">
        <v>13</v>
      </c>
      <c r="E59" s="143" t="s">
        <v>2704</v>
      </c>
      <c r="F59" s="143" t="s">
        <v>2705</v>
      </c>
      <c r="G59" s="126" t="s">
        <v>230</v>
      </c>
      <c r="H59" s="126" t="s">
        <v>65</v>
      </c>
      <c r="I59" s="127">
        <v>2.87</v>
      </c>
      <c r="J59" s="127">
        <v>0.9</v>
      </c>
      <c r="K59" s="127"/>
      <c r="L59" s="127"/>
      <c r="M59" s="144">
        <v>770</v>
      </c>
      <c r="N59" s="129">
        <v>7.915</v>
      </c>
      <c r="O59" s="129">
        <v>7.915</v>
      </c>
      <c r="P59" s="129" t="s">
        <v>116</v>
      </c>
      <c r="Q59" s="130" t="s">
        <v>1206</v>
      </c>
      <c r="R59" s="131"/>
      <c r="S59" s="131"/>
      <c r="T59" s="132">
        <v>44603</v>
      </c>
      <c r="U59" s="132">
        <v>44604</v>
      </c>
      <c r="V59" s="132"/>
      <c r="W59" s="132"/>
      <c r="X59" s="132"/>
      <c r="Y59" s="133"/>
      <c r="Z59" s="126" t="s">
        <v>64</v>
      </c>
      <c r="AA59" s="134" t="s">
        <v>154</v>
      </c>
      <c r="AB59" s="134" t="s">
        <v>1190</v>
      </c>
      <c r="AC59" s="134"/>
      <c r="AD59" s="134">
        <v>44496</v>
      </c>
      <c r="AE59" s="134"/>
      <c r="AF59" s="134">
        <f t="shared" ca="1" si="1"/>
        <v>44963</v>
      </c>
      <c r="AG59" s="126">
        <f t="shared" ca="1" si="2"/>
        <v>467</v>
      </c>
      <c r="AH59" s="126" t="str">
        <f t="shared" si="3"/>
        <v/>
      </c>
      <c r="AI59" s="134"/>
      <c r="AJ59" s="143" t="s">
        <v>1234</v>
      </c>
      <c r="AK59" s="129">
        <v>7.915</v>
      </c>
      <c r="AL59" s="129">
        <v>7.9249999999999998</v>
      </c>
      <c r="AM59" s="129">
        <v>7.95</v>
      </c>
      <c r="AN59" s="129">
        <v>7.9550000000000001</v>
      </c>
      <c r="AO59" s="126">
        <f t="shared" ca="1" si="4"/>
        <v>359</v>
      </c>
      <c r="AR59" s="99" t="s">
        <v>136</v>
      </c>
      <c r="AS59" s="281" t="str">
        <f>LEFT(RIGHT(C59,LEN(C59)-MIN(SEARCH({0,1,2,3,4,5,6,7,8,9},C59&amp;"0123456789"))+1),2)</f>
        <v>12</v>
      </c>
      <c r="AT59" s="99">
        <v>1</v>
      </c>
      <c r="AU59" s="99" t="str">
        <f>LEFT(RIGHT(C59,LEN(C59)-MIN(SEARCH({0,1,2,3,4,5,6,7,8,9},C59&amp;"0123456789"))+1),5)</f>
        <v>12.02</v>
      </c>
      <c r="AV59" s="99" t="str">
        <f t="shared" si="5"/>
        <v>MI</v>
      </c>
    </row>
    <row r="60" spans="1:48" s="99" customFormat="1" ht="21" customHeight="1" x14ac:dyDescent="0.35">
      <c r="A60" s="99">
        <v>424</v>
      </c>
      <c r="B60" s="126" t="str">
        <f t="shared" si="0"/>
        <v>0-304L/FH-001X770</v>
      </c>
      <c r="C60" s="126" t="s">
        <v>2989</v>
      </c>
      <c r="D60" s="126" t="s">
        <v>13</v>
      </c>
      <c r="E60" s="143" t="s">
        <v>2716</v>
      </c>
      <c r="F60" s="143" t="s">
        <v>2717</v>
      </c>
      <c r="G60" s="126" t="s">
        <v>230</v>
      </c>
      <c r="H60" s="126" t="s">
        <v>65</v>
      </c>
      <c r="I60" s="127">
        <v>3.38</v>
      </c>
      <c r="J60" s="127">
        <v>1.45</v>
      </c>
      <c r="K60" s="127"/>
      <c r="L60" s="127"/>
      <c r="M60" s="144">
        <v>770</v>
      </c>
      <c r="N60" s="129">
        <v>10.395</v>
      </c>
      <c r="O60" s="129">
        <v>10.395</v>
      </c>
      <c r="P60" s="129" t="s">
        <v>116</v>
      </c>
      <c r="Q60" s="130" t="s">
        <v>2990</v>
      </c>
      <c r="R60" s="131"/>
      <c r="S60" s="131"/>
      <c r="T60" s="132">
        <v>44604</v>
      </c>
      <c r="U60" s="132">
        <v>44604</v>
      </c>
      <c r="V60" s="132"/>
      <c r="W60" s="132"/>
      <c r="X60" s="132"/>
      <c r="Y60" s="133" t="s">
        <v>1395</v>
      </c>
      <c r="Z60" s="126" t="s">
        <v>64</v>
      </c>
      <c r="AA60" s="134" t="s">
        <v>154</v>
      </c>
      <c r="AB60" s="134" t="s">
        <v>1516</v>
      </c>
      <c r="AC60" s="134"/>
      <c r="AD60" s="134">
        <v>44554</v>
      </c>
      <c r="AE60" s="134"/>
      <c r="AF60" s="134">
        <f t="shared" ca="1" si="1"/>
        <v>44963</v>
      </c>
      <c r="AG60" s="126">
        <f t="shared" ca="1" si="2"/>
        <v>409</v>
      </c>
      <c r="AH60" s="126" t="str">
        <f t="shared" si="3"/>
        <v/>
      </c>
      <c r="AI60" s="134"/>
      <c r="AJ60" s="143" t="s">
        <v>2611</v>
      </c>
      <c r="AK60" s="129">
        <v>10.395</v>
      </c>
      <c r="AL60" s="129">
        <v>10.404999999999999</v>
      </c>
      <c r="AM60" s="129">
        <v>10.429999999999998</v>
      </c>
      <c r="AN60" s="129">
        <v>10.434999999999999</v>
      </c>
      <c r="AO60" s="126">
        <f t="shared" ca="1" si="4"/>
        <v>359</v>
      </c>
      <c r="AR60" s="99" t="s">
        <v>136</v>
      </c>
      <c r="AS60" s="281" t="str">
        <f>LEFT(RIGHT(C60,LEN(C60)-MIN(SEARCH({0,1,2,3,4,5,6,7,8,9},C60&amp;"0123456789"))+1),2)</f>
        <v>12</v>
      </c>
      <c r="AT60" s="99">
        <v>1</v>
      </c>
      <c r="AU60" s="99" t="str">
        <f>LEFT(RIGHT(C60,LEN(C60)-MIN(SEARCH({0,1,2,3,4,5,6,7,8,9},C60&amp;"0123456789"))+1),5)</f>
        <v>12.02</v>
      </c>
      <c r="AV60" s="99" t="str">
        <f t="shared" si="5"/>
        <v>MI</v>
      </c>
    </row>
    <row r="61" spans="1:48" s="99" customFormat="1" ht="21" customHeight="1" x14ac:dyDescent="0.35">
      <c r="A61" s="99">
        <v>424</v>
      </c>
      <c r="B61" s="126" t="str">
        <f t="shared" si="0"/>
        <v>0-304L/FH-001X770</v>
      </c>
      <c r="C61" s="126" t="s">
        <v>2989</v>
      </c>
      <c r="D61" s="126" t="s">
        <v>13</v>
      </c>
      <c r="E61" s="143" t="s">
        <v>2714</v>
      </c>
      <c r="F61" s="143" t="s">
        <v>2715</v>
      </c>
      <c r="G61" s="126" t="s">
        <v>230</v>
      </c>
      <c r="H61" s="126" t="s">
        <v>65</v>
      </c>
      <c r="I61" s="127">
        <v>3.38</v>
      </c>
      <c r="J61" s="127">
        <v>1.45</v>
      </c>
      <c r="K61" s="127"/>
      <c r="L61" s="127"/>
      <c r="M61" s="144">
        <v>770</v>
      </c>
      <c r="N61" s="129">
        <v>10.57</v>
      </c>
      <c r="O61" s="129">
        <v>10.57</v>
      </c>
      <c r="P61" s="129" t="s">
        <v>116</v>
      </c>
      <c r="Q61" s="130" t="s">
        <v>2990</v>
      </c>
      <c r="R61" s="131"/>
      <c r="S61" s="131"/>
      <c r="T61" s="132">
        <v>44604</v>
      </c>
      <c r="U61" s="132">
        <v>44604</v>
      </c>
      <c r="V61" s="132"/>
      <c r="W61" s="132"/>
      <c r="X61" s="132"/>
      <c r="Y61" s="133" t="s">
        <v>1395</v>
      </c>
      <c r="Z61" s="126" t="s">
        <v>64</v>
      </c>
      <c r="AA61" s="134" t="s">
        <v>154</v>
      </c>
      <c r="AB61" s="134" t="s">
        <v>1516</v>
      </c>
      <c r="AC61" s="134"/>
      <c r="AD61" s="134">
        <v>44554</v>
      </c>
      <c r="AE61" s="134"/>
      <c r="AF61" s="134">
        <f t="shared" ca="1" si="1"/>
        <v>44963</v>
      </c>
      <c r="AG61" s="126">
        <f t="shared" ca="1" si="2"/>
        <v>409</v>
      </c>
      <c r="AH61" s="126" t="str">
        <f t="shared" si="3"/>
        <v/>
      </c>
      <c r="AI61" s="134"/>
      <c r="AJ61" s="143" t="s">
        <v>2658</v>
      </c>
      <c r="AK61" s="129">
        <v>10.57</v>
      </c>
      <c r="AL61" s="129">
        <v>10.58</v>
      </c>
      <c r="AM61" s="129">
        <v>10.604999999999999</v>
      </c>
      <c r="AN61" s="129">
        <v>10.61</v>
      </c>
      <c r="AO61" s="126">
        <f t="shared" ca="1" si="4"/>
        <v>359</v>
      </c>
      <c r="AR61" s="99" t="s">
        <v>136</v>
      </c>
      <c r="AS61" s="281" t="str">
        <f>LEFT(RIGHT(C61,LEN(C61)-MIN(SEARCH({0,1,2,3,4,5,6,7,8,9},C61&amp;"0123456789"))+1),2)</f>
        <v>12</v>
      </c>
      <c r="AT61" s="99">
        <v>2</v>
      </c>
      <c r="AU61" s="99" t="str">
        <f>LEFT(RIGHT(C61,LEN(C61)-MIN(SEARCH({0,1,2,3,4,5,6,7,8,9},C61&amp;"0123456789"))+1),5)</f>
        <v>12.02</v>
      </c>
      <c r="AV61" s="99" t="str">
        <f t="shared" si="5"/>
        <v>MI</v>
      </c>
    </row>
    <row r="62" spans="1:48" s="99" customFormat="1" ht="21" customHeight="1" x14ac:dyDescent="0.35">
      <c r="A62" s="99">
        <v>422</v>
      </c>
      <c r="B62" s="126" t="str">
        <f t="shared" si="0"/>
        <v>0-304/FH-001X766</v>
      </c>
      <c r="C62" s="126" t="s">
        <v>2989</v>
      </c>
      <c r="D62" s="126" t="s">
        <v>13</v>
      </c>
      <c r="E62" s="143" t="s">
        <v>2721</v>
      </c>
      <c r="F62" s="143" t="s">
        <v>2722</v>
      </c>
      <c r="G62" s="126">
        <v>304</v>
      </c>
      <c r="H62" s="126" t="s">
        <v>65</v>
      </c>
      <c r="I62" s="127">
        <v>3.17</v>
      </c>
      <c r="J62" s="127">
        <v>1.1499999999999999</v>
      </c>
      <c r="K62" s="127"/>
      <c r="L62" s="127"/>
      <c r="M62" s="144">
        <v>766</v>
      </c>
      <c r="N62" s="129">
        <v>10.23</v>
      </c>
      <c r="O62" s="129">
        <v>10.23</v>
      </c>
      <c r="P62" s="129" t="s">
        <v>116</v>
      </c>
      <c r="Q62" s="130" t="s">
        <v>1206</v>
      </c>
      <c r="R62" s="131"/>
      <c r="S62" s="131"/>
      <c r="T62" s="132">
        <v>44604</v>
      </c>
      <c r="U62" s="132">
        <v>44604</v>
      </c>
      <c r="V62" s="132"/>
      <c r="W62" s="132"/>
      <c r="X62" s="132"/>
      <c r="Y62" s="133"/>
      <c r="Z62" s="126" t="s">
        <v>64</v>
      </c>
      <c r="AA62" s="134" t="s">
        <v>154</v>
      </c>
      <c r="AB62" s="134" t="s">
        <v>1330</v>
      </c>
      <c r="AC62" s="134"/>
      <c r="AD62" s="134">
        <v>44516</v>
      </c>
      <c r="AE62" s="134"/>
      <c r="AF62" s="134">
        <f t="shared" ca="1" si="1"/>
        <v>44963</v>
      </c>
      <c r="AG62" s="126">
        <f t="shared" ca="1" si="2"/>
        <v>447</v>
      </c>
      <c r="AH62" s="126" t="str">
        <f t="shared" si="3"/>
        <v/>
      </c>
      <c r="AI62" s="134"/>
      <c r="AJ62" s="143" t="s">
        <v>2723</v>
      </c>
      <c r="AK62" s="129">
        <v>10.23</v>
      </c>
      <c r="AL62" s="129">
        <v>10.24</v>
      </c>
      <c r="AM62" s="129">
        <v>10.264999999999999</v>
      </c>
      <c r="AN62" s="129">
        <v>10.27</v>
      </c>
      <c r="AO62" s="126">
        <f t="shared" ca="1" si="4"/>
        <v>359</v>
      </c>
      <c r="AR62" s="99" t="s">
        <v>136</v>
      </c>
      <c r="AS62" s="281" t="str">
        <f>LEFT(RIGHT(C62,LEN(C62)-MIN(SEARCH({0,1,2,3,4,5,6,7,8,9},C62&amp;"0123456789"))+1),2)</f>
        <v>12</v>
      </c>
      <c r="AT62" s="99">
        <v>2</v>
      </c>
      <c r="AU62" s="99" t="str">
        <f>LEFT(RIGHT(C62,LEN(C62)-MIN(SEARCH({0,1,2,3,4,5,6,7,8,9},C62&amp;"0123456789"))+1),5)</f>
        <v>12.02</v>
      </c>
      <c r="AV62" s="99" t="str">
        <f t="shared" si="5"/>
        <v>MI</v>
      </c>
    </row>
    <row r="63" spans="1:48" s="99" customFormat="1" ht="21" customHeight="1" x14ac:dyDescent="0.35">
      <c r="A63" s="99">
        <v>424</v>
      </c>
      <c r="B63" s="126" t="str">
        <f t="shared" si="0"/>
        <v>0-304/FH-001X770</v>
      </c>
      <c r="C63" s="126" t="s">
        <v>2989</v>
      </c>
      <c r="D63" s="126" t="s">
        <v>13</v>
      </c>
      <c r="E63" s="143" t="s">
        <v>2718</v>
      </c>
      <c r="F63" s="143" t="s">
        <v>2719</v>
      </c>
      <c r="G63" s="126">
        <v>304</v>
      </c>
      <c r="H63" s="126" t="s">
        <v>65</v>
      </c>
      <c r="I63" s="127">
        <v>3.24</v>
      </c>
      <c r="J63" s="127">
        <v>1.1499999999999999</v>
      </c>
      <c r="K63" s="127"/>
      <c r="L63" s="127"/>
      <c r="M63" s="144">
        <v>770</v>
      </c>
      <c r="N63" s="129">
        <v>10.54</v>
      </c>
      <c r="O63" s="129">
        <v>10.54</v>
      </c>
      <c r="P63" s="129" t="s">
        <v>116</v>
      </c>
      <c r="Q63" s="130" t="s">
        <v>2990</v>
      </c>
      <c r="R63" s="131"/>
      <c r="S63" s="131"/>
      <c r="T63" s="132">
        <v>44604</v>
      </c>
      <c r="U63" s="132">
        <v>44604</v>
      </c>
      <c r="V63" s="132"/>
      <c r="W63" s="132"/>
      <c r="X63" s="132"/>
      <c r="Y63" s="133" t="s">
        <v>1395</v>
      </c>
      <c r="Z63" s="126" t="s">
        <v>64</v>
      </c>
      <c r="AA63" s="134" t="s">
        <v>154</v>
      </c>
      <c r="AB63" s="134" t="s">
        <v>1330</v>
      </c>
      <c r="AC63" s="134"/>
      <c r="AD63" s="134">
        <v>44554</v>
      </c>
      <c r="AE63" s="134"/>
      <c r="AF63" s="134">
        <f t="shared" ca="1" si="1"/>
        <v>44963</v>
      </c>
      <c r="AG63" s="126">
        <f t="shared" ca="1" si="2"/>
        <v>409</v>
      </c>
      <c r="AH63" s="126" t="str">
        <f t="shared" si="3"/>
        <v/>
      </c>
      <c r="AI63" s="134"/>
      <c r="AJ63" s="143" t="s">
        <v>2720</v>
      </c>
      <c r="AK63" s="129">
        <v>10.54</v>
      </c>
      <c r="AL63" s="129">
        <v>10.55</v>
      </c>
      <c r="AM63" s="129">
        <v>10.574999999999999</v>
      </c>
      <c r="AN63" s="129">
        <v>10.58</v>
      </c>
      <c r="AO63" s="126">
        <f t="shared" ca="1" si="4"/>
        <v>359</v>
      </c>
      <c r="AR63" s="99" t="s">
        <v>136</v>
      </c>
      <c r="AS63" s="281" t="str">
        <f>LEFT(RIGHT(C63,LEN(C63)-MIN(SEARCH({0,1,2,3,4,5,6,7,8,9},C63&amp;"0123456789"))+1),2)</f>
        <v>12</v>
      </c>
      <c r="AT63" s="99">
        <v>2</v>
      </c>
      <c r="AU63" s="99" t="str">
        <f>LEFT(RIGHT(C63,LEN(C63)-MIN(SEARCH({0,1,2,3,4,5,6,7,8,9},C63&amp;"0123456789"))+1),5)</f>
        <v>12.02</v>
      </c>
      <c r="AV63" s="99" t="str">
        <f t="shared" si="5"/>
        <v>MI</v>
      </c>
    </row>
    <row r="64" spans="1:48" s="99" customFormat="1" ht="21" customHeight="1" x14ac:dyDescent="0.35">
      <c r="A64" s="99">
        <v>424</v>
      </c>
      <c r="B64" s="126" t="str">
        <f t="shared" si="0"/>
        <v>0-304/FH-001X772</v>
      </c>
      <c r="C64" s="126" t="s">
        <v>2989</v>
      </c>
      <c r="D64" s="126" t="s">
        <v>13</v>
      </c>
      <c r="E64" s="143" t="s">
        <v>2724</v>
      </c>
      <c r="F64" s="143" t="s">
        <v>2725</v>
      </c>
      <c r="G64" s="126">
        <v>304</v>
      </c>
      <c r="H64" s="126" t="s">
        <v>65</v>
      </c>
      <c r="I64" s="127">
        <v>3.23</v>
      </c>
      <c r="J64" s="127">
        <v>1.1499999999999999</v>
      </c>
      <c r="K64" s="127"/>
      <c r="L64" s="127"/>
      <c r="M64" s="144">
        <v>772</v>
      </c>
      <c r="N64" s="129">
        <v>10.58</v>
      </c>
      <c r="O64" s="129">
        <v>10.58</v>
      </c>
      <c r="P64" s="129" t="s">
        <v>116</v>
      </c>
      <c r="Q64" s="130" t="s">
        <v>2990</v>
      </c>
      <c r="R64" s="131"/>
      <c r="S64" s="131"/>
      <c r="T64" s="132">
        <v>44604</v>
      </c>
      <c r="U64" s="132">
        <v>44604</v>
      </c>
      <c r="V64" s="132"/>
      <c r="W64" s="132"/>
      <c r="X64" s="132"/>
      <c r="Y64" s="133" t="s">
        <v>1395</v>
      </c>
      <c r="Z64" s="126" t="s">
        <v>64</v>
      </c>
      <c r="AA64" s="134" t="s">
        <v>154</v>
      </c>
      <c r="AB64" s="134" t="s">
        <v>1330</v>
      </c>
      <c r="AC64" s="134"/>
      <c r="AD64" s="134">
        <v>44554</v>
      </c>
      <c r="AE64" s="134"/>
      <c r="AF64" s="134">
        <f t="shared" ca="1" si="1"/>
        <v>44963</v>
      </c>
      <c r="AG64" s="126">
        <f t="shared" ca="1" si="2"/>
        <v>409</v>
      </c>
      <c r="AH64" s="126" t="str">
        <f t="shared" si="3"/>
        <v/>
      </c>
      <c r="AI64" s="134"/>
      <c r="AJ64" s="143" t="s">
        <v>2720</v>
      </c>
      <c r="AK64" s="129">
        <v>10.58</v>
      </c>
      <c r="AL64" s="129">
        <v>10.59</v>
      </c>
      <c r="AM64" s="129">
        <v>10.614999999999998</v>
      </c>
      <c r="AN64" s="129">
        <v>10.62</v>
      </c>
      <c r="AO64" s="126">
        <f t="shared" ca="1" si="4"/>
        <v>359</v>
      </c>
      <c r="AR64" s="99" t="s">
        <v>136</v>
      </c>
      <c r="AS64" s="281" t="str">
        <f>LEFT(RIGHT(C64,LEN(C64)-MIN(SEARCH({0,1,2,3,4,5,6,7,8,9},C64&amp;"0123456789"))+1),2)</f>
        <v>12</v>
      </c>
      <c r="AT64" s="99">
        <v>3</v>
      </c>
      <c r="AU64" s="99" t="str">
        <f>LEFT(RIGHT(C64,LEN(C64)-MIN(SEARCH({0,1,2,3,4,5,6,7,8,9},C64&amp;"0123456789"))+1),5)</f>
        <v>12.02</v>
      </c>
      <c r="AV64" s="99" t="str">
        <f t="shared" si="5"/>
        <v>MI</v>
      </c>
    </row>
    <row r="65" spans="1:48" s="99" customFormat="1" ht="21" customHeight="1" x14ac:dyDescent="0.35">
      <c r="A65" s="99">
        <v>424</v>
      </c>
      <c r="B65" s="126" t="str">
        <f t="shared" si="0"/>
        <v>0-304/FH-001X771</v>
      </c>
      <c r="C65" s="126" t="s">
        <v>2989</v>
      </c>
      <c r="D65" s="126" t="s">
        <v>13</v>
      </c>
      <c r="E65" s="143" t="s">
        <v>2729</v>
      </c>
      <c r="F65" s="143" t="s">
        <v>2730</v>
      </c>
      <c r="G65" s="126">
        <v>304</v>
      </c>
      <c r="H65" s="126" t="s">
        <v>65</v>
      </c>
      <c r="I65" s="127">
        <v>3.26</v>
      </c>
      <c r="J65" s="127">
        <v>1.1499999999999999</v>
      </c>
      <c r="K65" s="127"/>
      <c r="L65" s="127"/>
      <c r="M65" s="144">
        <v>771</v>
      </c>
      <c r="N65" s="129">
        <v>10.435</v>
      </c>
      <c r="O65" s="129">
        <v>10.435</v>
      </c>
      <c r="P65" s="129" t="s">
        <v>116</v>
      </c>
      <c r="Q65" s="130" t="s">
        <v>2990</v>
      </c>
      <c r="R65" s="131"/>
      <c r="S65" s="131"/>
      <c r="T65" s="132">
        <v>44604</v>
      </c>
      <c r="U65" s="132">
        <v>44604</v>
      </c>
      <c r="V65" s="132"/>
      <c r="W65" s="132"/>
      <c r="X65" s="132"/>
      <c r="Y65" s="133" t="s">
        <v>1395</v>
      </c>
      <c r="Z65" s="126" t="s">
        <v>64</v>
      </c>
      <c r="AA65" s="134" t="s">
        <v>154</v>
      </c>
      <c r="AB65" s="134" t="s">
        <v>1330</v>
      </c>
      <c r="AC65" s="134"/>
      <c r="AD65" s="134">
        <v>44554</v>
      </c>
      <c r="AE65" s="134"/>
      <c r="AF65" s="134">
        <f t="shared" ca="1" si="1"/>
        <v>44963</v>
      </c>
      <c r="AG65" s="126">
        <f t="shared" ca="1" si="2"/>
        <v>409</v>
      </c>
      <c r="AH65" s="126" t="str">
        <f t="shared" si="3"/>
        <v/>
      </c>
      <c r="AI65" s="134"/>
      <c r="AJ65" s="143" t="s">
        <v>2731</v>
      </c>
      <c r="AK65" s="129">
        <v>10.435</v>
      </c>
      <c r="AL65" s="129">
        <v>10.445</v>
      </c>
      <c r="AM65" s="129">
        <v>10.469999999999999</v>
      </c>
      <c r="AN65" s="129">
        <v>10.475</v>
      </c>
      <c r="AO65" s="126">
        <f t="shared" ca="1" si="4"/>
        <v>359</v>
      </c>
      <c r="AR65" s="99" t="s">
        <v>136</v>
      </c>
      <c r="AS65" s="281" t="str">
        <f>LEFT(RIGHT(C65,LEN(C65)-MIN(SEARCH({0,1,2,3,4,5,6,7,8,9},C65&amp;"0123456789"))+1),2)</f>
        <v>12</v>
      </c>
      <c r="AT65" s="99">
        <v>3</v>
      </c>
      <c r="AU65" s="99" t="str">
        <f>LEFT(RIGHT(C65,LEN(C65)-MIN(SEARCH({0,1,2,3,4,5,6,7,8,9},C65&amp;"0123456789"))+1),5)</f>
        <v>12.02</v>
      </c>
      <c r="AV65" s="99" t="str">
        <f t="shared" si="5"/>
        <v>MI</v>
      </c>
    </row>
    <row r="66" spans="1:48" s="99" customFormat="1" ht="21" customHeight="1" x14ac:dyDescent="0.35">
      <c r="A66" s="99">
        <v>424</v>
      </c>
      <c r="B66" s="126" t="str">
        <f t="shared" si="0"/>
        <v>0-304/FH-001X768</v>
      </c>
      <c r="C66" s="126" t="s">
        <v>2989</v>
      </c>
      <c r="D66" s="126" t="s">
        <v>13</v>
      </c>
      <c r="E66" s="143" t="s">
        <v>2732</v>
      </c>
      <c r="F66" s="143" t="s">
        <v>2733</v>
      </c>
      <c r="G66" s="126">
        <v>304</v>
      </c>
      <c r="H66" s="126" t="s">
        <v>65</v>
      </c>
      <c r="I66" s="127">
        <v>3.39</v>
      </c>
      <c r="J66" s="127">
        <v>1.45</v>
      </c>
      <c r="K66" s="127"/>
      <c r="L66" s="127"/>
      <c r="M66" s="144">
        <v>768</v>
      </c>
      <c r="N66" s="129">
        <v>12.005000000000001</v>
      </c>
      <c r="O66" s="129">
        <v>12.005000000000001</v>
      </c>
      <c r="P66" s="129" t="s">
        <v>116</v>
      </c>
      <c r="Q66" s="130" t="s">
        <v>2990</v>
      </c>
      <c r="R66" s="131"/>
      <c r="S66" s="131"/>
      <c r="T66" s="132">
        <v>44604</v>
      </c>
      <c r="U66" s="132">
        <v>44604</v>
      </c>
      <c r="V66" s="132"/>
      <c r="W66" s="132"/>
      <c r="X66" s="132"/>
      <c r="Y66" s="133" t="s">
        <v>1395</v>
      </c>
      <c r="Z66" s="126" t="s">
        <v>64</v>
      </c>
      <c r="AA66" s="134" t="s">
        <v>154</v>
      </c>
      <c r="AB66" s="134" t="s">
        <v>1516</v>
      </c>
      <c r="AC66" s="134"/>
      <c r="AD66" s="134">
        <v>44554</v>
      </c>
      <c r="AE66" s="134"/>
      <c r="AF66" s="134">
        <f t="shared" ca="1" si="1"/>
        <v>44963</v>
      </c>
      <c r="AG66" s="126">
        <f t="shared" ca="1" si="2"/>
        <v>409</v>
      </c>
      <c r="AH66" s="126" t="str">
        <f t="shared" si="3"/>
        <v/>
      </c>
      <c r="AI66" s="134"/>
      <c r="AJ66" s="143" t="s">
        <v>1884</v>
      </c>
      <c r="AK66" s="129">
        <v>12.005000000000001</v>
      </c>
      <c r="AL66" s="129">
        <v>12.015000000000001</v>
      </c>
      <c r="AM66" s="129">
        <v>12.04</v>
      </c>
      <c r="AN66" s="129">
        <v>12.045</v>
      </c>
      <c r="AO66" s="126">
        <f t="shared" ca="1" si="4"/>
        <v>359</v>
      </c>
      <c r="AR66" s="99" t="s">
        <v>136</v>
      </c>
      <c r="AS66" s="281" t="str">
        <f>LEFT(RIGHT(C66,LEN(C66)-MIN(SEARCH({0,1,2,3,4,5,6,7,8,9},C66&amp;"0123456789"))+1),2)</f>
        <v>12</v>
      </c>
      <c r="AT66" s="99">
        <v>3</v>
      </c>
      <c r="AU66" s="99" t="str">
        <f>LEFT(RIGHT(C66,LEN(C66)-MIN(SEARCH({0,1,2,3,4,5,6,7,8,9},C66&amp;"0123456789"))+1),5)</f>
        <v>12.02</v>
      </c>
      <c r="AV66" s="99" t="str">
        <f t="shared" si="5"/>
        <v>MI</v>
      </c>
    </row>
    <row r="67" spans="1:48" s="99" customFormat="1" ht="21" customHeight="1" x14ac:dyDescent="0.35">
      <c r="A67" s="99">
        <v>421</v>
      </c>
      <c r="B67" s="126" t="str">
        <f t="shared" si="0"/>
        <v>0-304L/FH-001X770</v>
      </c>
      <c r="C67" s="126" t="s">
        <v>2989</v>
      </c>
      <c r="D67" s="126" t="s">
        <v>13</v>
      </c>
      <c r="E67" s="143" t="s">
        <v>2734</v>
      </c>
      <c r="F67" s="143" t="s">
        <v>2735</v>
      </c>
      <c r="G67" s="126" t="s">
        <v>230</v>
      </c>
      <c r="H67" s="126" t="s">
        <v>65</v>
      </c>
      <c r="I67" s="127">
        <v>2.8</v>
      </c>
      <c r="J67" s="127">
        <v>0.8</v>
      </c>
      <c r="K67" s="127"/>
      <c r="L67" s="127"/>
      <c r="M67" s="144">
        <v>770</v>
      </c>
      <c r="N67" s="129">
        <v>10.404999999999999</v>
      </c>
      <c r="O67" s="129">
        <v>10.404999999999999</v>
      </c>
      <c r="P67" s="129" t="s">
        <v>116</v>
      </c>
      <c r="Q67" s="130" t="s">
        <v>1206</v>
      </c>
      <c r="R67" s="131"/>
      <c r="S67" s="131"/>
      <c r="T67" s="132">
        <v>44604</v>
      </c>
      <c r="U67" s="132">
        <v>44604</v>
      </c>
      <c r="V67" s="132"/>
      <c r="W67" s="132"/>
      <c r="X67" s="132"/>
      <c r="Y67" s="133"/>
      <c r="Z67" s="126" t="s">
        <v>64</v>
      </c>
      <c r="AA67" s="134" t="s">
        <v>154</v>
      </c>
      <c r="AB67" s="134" t="s">
        <v>1239</v>
      </c>
      <c r="AC67" s="134"/>
      <c r="AD67" s="134">
        <v>44496</v>
      </c>
      <c r="AE67" s="134"/>
      <c r="AF67" s="134">
        <f t="shared" ca="1" si="1"/>
        <v>44963</v>
      </c>
      <c r="AG67" s="126">
        <f t="shared" ca="1" si="2"/>
        <v>467</v>
      </c>
      <c r="AH67" s="126" t="str">
        <f t="shared" si="3"/>
        <v/>
      </c>
      <c r="AI67" s="134"/>
      <c r="AJ67" s="143" t="s">
        <v>2728</v>
      </c>
      <c r="AK67" s="129">
        <v>10.404999999999999</v>
      </c>
      <c r="AL67" s="129">
        <v>10.414999999999999</v>
      </c>
      <c r="AM67" s="129">
        <v>10.439999999999998</v>
      </c>
      <c r="AN67" s="129">
        <v>10.444999999999999</v>
      </c>
      <c r="AO67" s="126">
        <f t="shared" ca="1" si="4"/>
        <v>359</v>
      </c>
      <c r="AR67" s="99" t="s">
        <v>136</v>
      </c>
      <c r="AS67" s="281" t="str">
        <f>LEFT(RIGHT(C67,LEN(C67)-MIN(SEARCH({0,1,2,3,4,5,6,7,8,9},C67&amp;"0123456789"))+1),2)</f>
        <v>12</v>
      </c>
      <c r="AT67" s="99">
        <v>3</v>
      </c>
      <c r="AU67" s="99" t="str">
        <f>LEFT(RIGHT(C67,LEN(C67)-MIN(SEARCH({0,1,2,3,4,5,6,7,8,9},C67&amp;"0123456789"))+1),5)</f>
        <v>12.02</v>
      </c>
      <c r="AV67" s="99" t="str">
        <f t="shared" si="5"/>
        <v>MI</v>
      </c>
    </row>
    <row r="68" spans="1:48" s="99" customFormat="1" ht="21" customHeight="1" x14ac:dyDescent="0.35">
      <c r="A68" s="99">
        <v>421</v>
      </c>
      <c r="B68" s="126" t="str">
        <f t="shared" ref="B68:B131" si="6">IF(C68="HOLD RM","HOLD RM",IF(C68="BAL","WIP",IF(C68="HOLD SLT","HOLD SLT",IF(C68="MILL","RM",IF(C68="RE SLT","WIP",IF(C68="RM","RM",IF(C68="RM BAL","RM",IF(C68="RM SLT","RM",IF(C68="RR","WIP",IF(C68="SKP","WIP",IF(C68="SLT","WIP",IF(C68="CTL","WIP",IF(C68="RM SLT RUST","RM SLT RUST",0)))))))))))))&amp;"-"&amp;G68&amp;"/"&amp;IF(H68="2B","2B",IF(H68="NO.1","1D",IF(H68="FH","FH",0)))&amp;"-"&amp;IF(J68="",(TEXT(I68,"0.00")),TEXT(J68,"0.00"))&amp;"X"&amp;M68</f>
        <v>0-304L/FH-001X770</v>
      </c>
      <c r="C68" s="126" t="s">
        <v>2991</v>
      </c>
      <c r="D68" s="126" t="s">
        <v>13</v>
      </c>
      <c r="E68" s="143" t="s">
        <v>2726</v>
      </c>
      <c r="F68" s="143" t="s">
        <v>2727</v>
      </c>
      <c r="G68" s="126" t="s">
        <v>230</v>
      </c>
      <c r="H68" s="126" t="s">
        <v>65</v>
      </c>
      <c r="I68" s="127">
        <v>2.8</v>
      </c>
      <c r="J68" s="127">
        <v>0.7</v>
      </c>
      <c r="K68" s="127"/>
      <c r="L68" s="127"/>
      <c r="M68" s="144">
        <v>770</v>
      </c>
      <c r="N68" s="129">
        <v>10.375</v>
      </c>
      <c r="O68" s="129">
        <v>10.375</v>
      </c>
      <c r="P68" s="129" t="s">
        <v>116</v>
      </c>
      <c r="Q68" s="130" t="s">
        <v>1206</v>
      </c>
      <c r="R68" s="131"/>
      <c r="S68" s="131"/>
      <c r="T68" s="132">
        <v>44604</v>
      </c>
      <c r="U68" s="132">
        <v>44605</v>
      </c>
      <c r="V68" s="132"/>
      <c r="W68" s="132"/>
      <c r="X68" s="132"/>
      <c r="Y68" s="133"/>
      <c r="Z68" s="126" t="s">
        <v>64</v>
      </c>
      <c r="AA68" s="134" t="s">
        <v>154</v>
      </c>
      <c r="AB68" s="134" t="s">
        <v>1239</v>
      </c>
      <c r="AC68" s="134"/>
      <c r="AD68" s="134">
        <v>44496</v>
      </c>
      <c r="AE68" s="134"/>
      <c r="AF68" s="134">
        <f t="shared" ref="AF68:AF131" ca="1" si="7">TODAY()</f>
        <v>44963</v>
      </c>
      <c r="AG68" s="126">
        <f t="shared" ref="AG68:AG131" ca="1" si="8">IF(AD68&lt;&gt;0,AF68-AD68,0)</f>
        <v>467</v>
      </c>
      <c r="AH68" s="126" t="str">
        <f t="shared" ref="AH68:AH131" si="9">IF(ISNUMBER(V68)=TRUE,AF68-V68,IF(V68="","",(AF68)-(MID(RIGHT(V68,10),4,2)&amp;"/"&amp;LEFT((RIGHT(V68,10)),2)&amp;"/"&amp;RIGHT(V68,4))))</f>
        <v/>
      </c>
      <c r="AI68" s="134"/>
      <c r="AJ68" s="143" t="s">
        <v>2728</v>
      </c>
      <c r="AK68" s="129">
        <v>10.375</v>
      </c>
      <c r="AL68" s="129">
        <v>10.385</v>
      </c>
      <c r="AM68" s="129">
        <v>10.409999999999998</v>
      </c>
      <c r="AN68" s="129">
        <v>10.414999999999999</v>
      </c>
      <c r="AO68" s="126">
        <f t="shared" ref="AO68:AO131" ca="1" si="10">IF(ISNUMBER(U68)=TRUE,AF68-U68,IF(U68="","",(AF68)-(MID(RIGHT(U68,10),4,2)&amp;"/"&amp;LEFT((RIGHT(U68,10)),2)&amp;"/"&amp;RIGHT(U68,4))))</f>
        <v>358</v>
      </c>
      <c r="AR68" s="99" t="s">
        <v>136</v>
      </c>
      <c r="AS68" s="281" t="str">
        <f>LEFT(RIGHT(C68,LEN(C68)-MIN(SEARCH({0,1,2,3,4,5,6,7,8,9},C68&amp;"0123456789"))+1),2)</f>
        <v>13</v>
      </c>
      <c r="AT68" s="99">
        <v>1</v>
      </c>
      <c r="AU68" s="99" t="str">
        <f>LEFT(RIGHT(C68,LEN(C68)-MIN(SEARCH({0,1,2,3,4,5,6,7,8,9},C68&amp;"0123456789"))+1),5)</f>
        <v>13.02</v>
      </c>
      <c r="AV68" s="99" t="str">
        <f t="shared" ref="AV68:AV131" si="11">LEFT(C68,2)</f>
        <v>MI</v>
      </c>
    </row>
    <row r="69" spans="1:48" s="99" customFormat="1" ht="21" customHeight="1" x14ac:dyDescent="0.35">
      <c r="A69" s="99">
        <v>424</v>
      </c>
      <c r="B69" s="126" t="str">
        <f t="shared" si="6"/>
        <v>0-304/FH-001X770</v>
      </c>
      <c r="C69" s="126" t="s">
        <v>2991</v>
      </c>
      <c r="D69" s="126" t="s">
        <v>13</v>
      </c>
      <c r="E69" s="143" t="s">
        <v>2736</v>
      </c>
      <c r="F69" s="143" t="s">
        <v>2737</v>
      </c>
      <c r="G69" s="126">
        <v>304</v>
      </c>
      <c r="H69" s="126" t="s">
        <v>65</v>
      </c>
      <c r="I69" s="127">
        <v>3.26</v>
      </c>
      <c r="J69" s="127">
        <v>1.1499999999999999</v>
      </c>
      <c r="K69" s="127"/>
      <c r="L69" s="127"/>
      <c r="M69" s="144">
        <v>770</v>
      </c>
      <c r="N69" s="129">
        <v>10.414999999999999</v>
      </c>
      <c r="O69" s="129">
        <v>10.414999999999999</v>
      </c>
      <c r="P69" s="129" t="s">
        <v>116</v>
      </c>
      <c r="Q69" s="130" t="s">
        <v>2990</v>
      </c>
      <c r="R69" s="131"/>
      <c r="S69" s="131"/>
      <c r="T69" s="132">
        <v>44604</v>
      </c>
      <c r="U69" s="132">
        <v>44605</v>
      </c>
      <c r="V69" s="132"/>
      <c r="W69" s="132"/>
      <c r="X69" s="132"/>
      <c r="Y69" s="133" t="s">
        <v>1395</v>
      </c>
      <c r="Z69" s="126" t="s">
        <v>64</v>
      </c>
      <c r="AA69" s="134" t="s">
        <v>154</v>
      </c>
      <c r="AB69" s="134" t="s">
        <v>1330</v>
      </c>
      <c r="AC69" s="134"/>
      <c r="AD69" s="134">
        <v>44554</v>
      </c>
      <c r="AE69" s="134"/>
      <c r="AF69" s="134">
        <f t="shared" ca="1" si="7"/>
        <v>44963</v>
      </c>
      <c r="AG69" s="126">
        <f t="shared" ca="1" si="8"/>
        <v>409</v>
      </c>
      <c r="AH69" s="126" t="str">
        <f t="shared" si="9"/>
        <v/>
      </c>
      <c r="AI69" s="134"/>
      <c r="AJ69" s="143" t="s">
        <v>2731</v>
      </c>
      <c r="AK69" s="129">
        <v>10.414999999999999</v>
      </c>
      <c r="AL69" s="129">
        <v>10.425000000000001</v>
      </c>
      <c r="AM69" s="129">
        <v>10.45</v>
      </c>
      <c r="AN69" s="129">
        <v>10.455</v>
      </c>
      <c r="AO69" s="126">
        <f t="shared" ca="1" si="10"/>
        <v>358</v>
      </c>
      <c r="AR69" s="99" t="s">
        <v>136</v>
      </c>
      <c r="AS69" s="281" t="str">
        <f>LEFT(RIGHT(C69,LEN(C69)-MIN(SEARCH({0,1,2,3,4,5,6,7,8,9},C69&amp;"0123456789"))+1),2)</f>
        <v>13</v>
      </c>
      <c r="AT69" s="99">
        <v>1</v>
      </c>
      <c r="AU69" s="99" t="str">
        <f>LEFT(RIGHT(C69,LEN(C69)-MIN(SEARCH({0,1,2,3,4,5,6,7,8,9},C69&amp;"0123456789"))+1),5)</f>
        <v>13.02</v>
      </c>
      <c r="AV69" s="99" t="str">
        <f t="shared" si="11"/>
        <v>MI</v>
      </c>
    </row>
    <row r="70" spans="1:48" s="99" customFormat="1" ht="21" customHeight="1" x14ac:dyDescent="0.35">
      <c r="A70" s="99">
        <v>422</v>
      </c>
      <c r="B70" s="126" t="str">
        <f t="shared" si="6"/>
        <v>0-304L/FH-002X777</v>
      </c>
      <c r="C70" s="126" t="s">
        <v>2991</v>
      </c>
      <c r="D70" s="126" t="s">
        <v>13</v>
      </c>
      <c r="E70" s="143" t="s">
        <v>2746</v>
      </c>
      <c r="F70" s="143" t="s">
        <v>2747</v>
      </c>
      <c r="G70" s="126" t="s">
        <v>230</v>
      </c>
      <c r="H70" s="126" t="s">
        <v>65</v>
      </c>
      <c r="I70" s="127">
        <v>3.77</v>
      </c>
      <c r="J70" s="127">
        <v>2</v>
      </c>
      <c r="K70" s="127"/>
      <c r="L70" s="127"/>
      <c r="M70" s="144">
        <v>777</v>
      </c>
      <c r="N70" s="129">
        <v>10.555</v>
      </c>
      <c r="O70" s="129">
        <v>10.555</v>
      </c>
      <c r="P70" s="129" t="s">
        <v>116</v>
      </c>
      <c r="Q70" s="130" t="s">
        <v>1206</v>
      </c>
      <c r="R70" s="131"/>
      <c r="S70" s="131"/>
      <c r="T70" s="132">
        <v>44605</v>
      </c>
      <c r="U70" s="132">
        <v>44605</v>
      </c>
      <c r="V70" s="132"/>
      <c r="W70" s="132"/>
      <c r="X70" s="132"/>
      <c r="Y70" s="133"/>
      <c r="Z70" s="126" t="s">
        <v>64</v>
      </c>
      <c r="AA70" s="134" t="s">
        <v>154</v>
      </c>
      <c r="AB70" s="134" t="s">
        <v>1330</v>
      </c>
      <c r="AC70" s="134"/>
      <c r="AD70" s="134">
        <v>44516</v>
      </c>
      <c r="AE70" s="134"/>
      <c r="AF70" s="134">
        <f t="shared" ca="1" si="7"/>
        <v>44963</v>
      </c>
      <c r="AG70" s="126">
        <f t="shared" ca="1" si="8"/>
        <v>447</v>
      </c>
      <c r="AH70" s="126" t="str">
        <f t="shared" si="9"/>
        <v/>
      </c>
      <c r="AI70" s="134"/>
      <c r="AJ70" s="143" t="s">
        <v>2748</v>
      </c>
      <c r="AK70" s="129">
        <v>10.555</v>
      </c>
      <c r="AL70" s="129">
        <v>10.565</v>
      </c>
      <c r="AM70" s="129">
        <v>10.589999999999998</v>
      </c>
      <c r="AN70" s="129">
        <v>10.594999999999999</v>
      </c>
      <c r="AO70" s="126">
        <f t="shared" ca="1" si="10"/>
        <v>358</v>
      </c>
      <c r="AR70" s="99" t="s">
        <v>136</v>
      </c>
      <c r="AS70" s="281" t="str">
        <f>LEFT(RIGHT(C70,LEN(C70)-MIN(SEARCH({0,1,2,3,4,5,6,7,8,9},C70&amp;"0123456789"))+1),2)</f>
        <v>13</v>
      </c>
      <c r="AT70" s="99">
        <v>1</v>
      </c>
      <c r="AU70" s="99" t="str">
        <f>LEFT(RIGHT(C70,LEN(C70)-MIN(SEARCH({0,1,2,3,4,5,6,7,8,9},C70&amp;"0123456789"))+1),5)</f>
        <v>13.02</v>
      </c>
      <c r="AV70" s="99" t="str">
        <f t="shared" si="11"/>
        <v>MI</v>
      </c>
    </row>
    <row r="71" spans="1:48" s="99" customFormat="1" ht="21" customHeight="1" x14ac:dyDescent="0.35">
      <c r="A71" s="99">
        <v>421</v>
      </c>
      <c r="B71" s="126" t="str">
        <f t="shared" si="6"/>
        <v>0-304L/FH-001X770</v>
      </c>
      <c r="C71" s="126" t="s">
        <v>2991</v>
      </c>
      <c r="D71" s="126" t="s">
        <v>13</v>
      </c>
      <c r="E71" s="143" t="s">
        <v>2749</v>
      </c>
      <c r="F71" s="143" t="s">
        <v>2750</v>
      </c>
      <c r="G71" s="126" t="s">
        <v>230</v>
      </c>
      <c r="H71" s="126" t="s">
        <v>65</v>
      </c>
      <c r="I71" s="127">
        <v>2.89</v>
      </c>
      <c r="J71" s="127">
        <v>0.9</v>
      </c>
      <c r="K71" s="127"/>
      <c r="L71" s="127"/>
      <c r="M71" s="144">
        <v>770</v>
      </c>
      <c r="N71" s="129">
        <v>12.055</v>
      </c>
      <c r="O71" s="129">
        <v>12.055</v>
      </c>
      <c r="P71" s="129" t="s">
        <v>116</v>
      </c>
      <c r="Q71" s="130" t="s">
        <v>2990</v>
      </c>
      <c r="R71" s="131"/>
      <c r="S71" s="131"/>
      <c r="T71" s="132">
        <v>44605</v>
      </c>
      <c r="U71" s="132">
        <v>44605</v>
      </c>
      <c r="V71" s="132"/>
      <c r="W71" s="132"/>
      <c r="X71" s="132"/>
      <c r="Y71" s="133"/>
      <c r="Z71" s="126" t="s">
        <v>64</v>
      </c>
      <c r="AA71" s="134" t="s">
        <v>154</v>
      </c>
      <c r="AB71" s="134" t="s">
        <v>1190</v>
      </c>
      <c r="AC71" s="134"/>
      <c r="AD71" s="134">
        <v>44496</v>
      </c>
      <c r="AE71" s="134"/>
      <c r="AF71" s="134">
        <f t="shared" ca="1" si="7"/>
        <v>44963</v>
      </c>
      <c r="AG71" s="126">
        <f t="shared" ca="1" si="8"/>
        <v>467</v>
      </c>
      <c r="AH71" s="126" t="str">
        <f t="shared" si="9"/>
        <v/>
      </c>
      <c r="AI71" s="134"/>
      <c r="AJ71" s="143" t="s">
        <v>2751</v>
      </c>
      <c r="AK71" s="129">
        <v>12.055</v>
      </c>
      <c r="AL71" s="129">
        <v>12.065</v>
      </c>
      <c r="AM71" s="129">
        <v>12.089999999999998</v>
      </c>
      <c r="AN71" s="129">
        <v>12.094999999999999</v>
      </c>
      <c r="AO71" s="126">
        <f t="shared" ca="1" si="10"/>
        <v>358</v>
      </c>
      <c r="AR71" s="99" t="s">
        <v>136</v>
      </c>
      <c r="AS71" s="281" t="str">
        <f>LEFT(RIGHT(C71,LEN(C71)-MIN(SEARCH({0,1,2,3,4,5,6,7,8,9},C71&amp;"0123456789"))+1),2)</f>
        <v>13</v>
      </c>
      <c r="AT71" s="99">
        <v>2</v>
      </c>
      <c r="AU71" s="99" t="str">
        <f>LEFT(RIGHT(C71,LEN(C71)-MIN(SEARCH({0,1,2,3,4,5,6,7,8,9},C71&amp;"0123456789"))+1),5)</f>
        <v>13.02</v>
      </c>
      <c r="AV71" s="99" t="str">
        <f t="shared" si="11"/>
        <v>MI</v>
      </c>
    </row>
    <row r="72" spans="1:48" s="99" customFormat="1" ht="21" customHeight="1" x14ac:dyDescent="0.35">
      <c r="A72" s="99">
        <v>421</v>
      </c>
      <c r="B72" s="126" t="str">
        <f t="shared" si="6"/>
        <v>0-304L/FH-001X770</v>
      </c>
      <c r="C72" s="126" t="s">
        <v>2991</v>
      </c>
      <c r="D72" s="126" t="s">
        <v>13</v>
      </c>
      <c r="E72" s="143" t="s">
        <v>2738</v>
      </c>
      <c r="F72" s="143" t="s">
        <v>2739</v>
      </c>
      <c r="G72" s="126" t="s">
        <v>230</v>
      </c>
      <c r="H72" s="126" t="s">
        <v>65</v>
      </c>
      <c r="I72" s="127">
        <v>2.92</v>
      </c>
      <c r="J72" s="127">
        <v>0.9</v>
      </c>
      <c r="K72" s="127"/>
      <c r="L72" s="127"/>
      <c r="M72" s="144">
        <v>770</v>
      </c>
      <c r="N72" s="129">
        <v>8.2850000000000001</v>
      </c>
      <c r="O72" s="129">
        <v>8.2850000000000001</v>
      </c>
      <c r="P72" s="129" t="s">
        <v>116</v>
      </c>
      <c r="Q72" s="130" t="s">
        <v>2990</v>
      </c>
      <c r="R72" s="131"/>
      <c r="S72" s="131"/>
      <c r="T72" s="132">
        <v>44604</v>
      </c>
      <c r="U72" s="132">
        <v>44605</v>
      </c>
      <c r="V72" s="132"/>
      <c r="W72" s="132"/>
      <c r="X72" s="132"/>
      <c r="Y72" s="133"/>
      <c r="Z72" s="126" t="s">
        <v>64</v>
      </c>
      <c r="AA72" s="134" t="s">
        <v>154</v>
      </c>
      <c r="AB72" s="134" t="s">
        <v>1190</v>
      </c>
      <c r="AC72" s="134"/>
      <c r="AD72" s="134">
        <v>44496</v>
      </c>
      <c r="AE72" s="134"/>
      <c r="AF72" s="134">
        <f t="shared" ca="1" si="7"/>
        <v>44963</v>
      </c>
      <c r="AG72" s="126">
        <f t="shared" ca="1" si="8"/>
        <v>467</v>
      </c>
      <c r="AH72" s="126" t="str">
        <f t="shared" si="9"/>
        <v/>
      </c>
      <c r="AI72" s="134"/>
      <c r="AJ72" s="143" t="s">
        <v>2740</v>
      </c>
      <c r="AK72" s="129">
        <v>8.2850000000000001</v>
      </c>
      <c r="AL72" s="129">
        <v>8.2949999999999999</v>
      </c>
      <c r="AM72" s="129">
        <v>8.3199999999999985</v>
      </c>
      <c r="AN72" s="129">
        <v>8.3249999999999993</v>
      </c>
      <c r="AO72" s="126">
        <f t="shared" ca="1" si="10"/>
        <v>358</v>
      </c>
      <c r="AR72" s="99" t="s">
        <v>136</v>
      </c>
      <c r="AS72" s="281" t="str">
        <f>LEFT(RIGHT(C72,LEN(C72)-MIN(SEARCH({0,1,2,3,4,5,6,7,8,9},C72&amp;"0123456789"))+1),2)</f>
        <v>13</v>
      </c>
      <c r="AT72" s="99">
        <v>2</v>
      </c>
      <c r="AU72" s="99" t="str">
        <f>LEFT(RIGHT(C72,LEN(C72)-MIN(SEARCH({0,1,2,3,4,5,6,7,8,9},C72&amp;"0123456789"))+1),5)</f>
        <v>13.02</v>
      </c>
      <c r="AV72" s="99" t="str">
        <f t="shared" si="11"/>
        <v>MI</v>
      </c>
    </row>
    <row r="73" spans="1:48" s="99" customFormat="1" ht="21" customHeight="1" x14ac:dyDescent="0.35">
      <c r="A73" s="99">
        <v>422</v>
      </c>
      <c r="B73" s="126" t="str">
        <f t="shared" si="6"/>
        <v>0-304L/FH-001X768</v>
      </c>
      <c r="C73" s="126" t="s">
        <v>2991</v>
      </c>
      <c r="D73" s="126" t="s">
        <v>13</v>
      </c>
      <c r="E73" s="143" t="s">
        <v>2754</v>
      </c>
      <c r="F73" s="143" t="s">
        <v>2755</v>
      </c>
      <c r="G73" s="126" t="s">
        <v>230</v>
      </c>
      <c r="H73" s="126" t="s">
        <v>65</v>
      </c>
      <c r="I73" s="127">
        <v>3.44</v>
      </c>
      <c r="J73" s="127">
        <v>1.45</v>
      </c>
      <c r="K73" s="127"/>
      <c r="L73" s="127"/>
      <c r="M73" s="144">
        <v>768</v>
      </c>
      <c r="N73" s="129">
        <v>12.2</v>
      </c>
      <c r="O73" s="129">
        <v>12.2</v>
      </c>
      <c r="P73" s="129" t="s">
        <v>116</v>
      </c>
      <c r="Q73" s="130" t="s">
        <v>2990</v>
      </c>
      <c r="R73" s="131"/>
      <c r="S73" s="131"/>
      <c r="T73" s="132">
        <v>44605</v>
      </c>
      <c r="U73" s="132">
        <v>44605</v>
      </c>
      <c r="V73" s="132"/>
      <c r="W73" s="132"/>
      <c r="X73" s="132"/>
      <c r="Y73" s="133"/>
      <c r="Z73" s="126" t="s">
        <v>64</v>
      </c>
      <c r="AA73" s="134" t="s">
        <v>154</v>
      </c>
      <c r="AB73" s="134" t="s">
        <v>1330</v>
      </c>
      <c r="AC73" s="134"/>
      <c r="AD73" s="134">
        <v>44516</v>
      </c>
      <c r="AE73" s="134"/>
      <c r="AF73" s="134">
        <f t="shared" ca="1" si="7"/>
        <v>44963</v>
      </c>
      <c r="AG73" s="126">
        <f t="shared" ca="1" si="8"/>
        <v>447</v>
      </c>
      <c r="AH73" s="126" t="str">
        <f t="shared" si="9"/>
        <v/>
      </c>
      <c r="AI73" s="134"/>
      <c r="AJ73" s="143" t="s">
        <v>2756</v>
      </c>
      <c r="AK73" s="129">
        <v>12.2</v>
      </c>
      <c r="AL73" s="129">
        <v>12.21</v>
      </c>
      <c r="AM73" s="129">
        <v>12.234999999999999</v>
      </c>
      <c r="AN73" s="129">
        <v>12.24</v>
      </c>
      <c r="AO73" s="126">
        <f t="shared" ca="1" si="10"/>
        <v>358</v>
      </c>
      <c r="AR73" s="99" t="s">
        <v>136</v>
      </c>
      <c r="AS73" s="281" t="str">
        <f>LEFT(RIGHT(C73,LEN(C73)-MIN(SEARCH({0,1,2,3,4,5,6,7,8,9},C73&amp;"0123456789"))+1),2)</f>
        <v>13</v>
      </c>
      <c r="AT73" s="99">
        <v>2</v>
      </c>
      <c r="AU73" s="99" t="str">
        <f>LEFT(RIGHT(C73,LEN(C73)-MIN(SEARCH({0,1,2,3,4,5,6,7,8,9},C73&amp;"0123456789"))+1),5)</f>
        <v>13.02</v>
      </c>
      <c r="AV73" s="99" t="str">
        <f t="shared" si="11"/>
        <v>MI</v>
      </c>
    </row>
    <row r="74" spans="1:48" s="99" customFormat="1" ht="21" customHeight="1" x14ac:dyDescent="0.35">
      <c r="A74" s="99">
        <v>424</v>
      </c>
      <c r="B74" s="126" t="str">
        <f t="shared" si="6"/>
        <v>0-304/FH-001X770</v>
      </c>
      <c r="C74" s="126" t="s">
        <v>2991</v>
      </c>
      <c r="D74" s="126" t="s">
        <v>13</v>
      </c>
      <c r="E74" s="143" t="s">
        <v>2743</v>
      </c>
      <c r="F74" s="143" t="s">
        <v>2744</v>
      </c>
      <c r="G74" s="126">
        <v>304</v>
      </c>
      <c r="H74" s="126" t="s">
        <v>65</v>
      </c>
      <c r="I74" s="127">
        <v>3.25</v>
      </c>
      <c r="J74" s="127">
        <v>1.2</v>
      </c>
      <c r="K74" s="127"/>
      <c r="L74" s="127"/>
      <c r="M74" s="144">
        <v>770</v>
      </c>
      <c r="N74" s="129">
        <v>10.555</v>
      </c>
      <c r="O74" s="129">
        <v>10.555</v>
      </c>
      <c r="P74" s="129" t="s">
        <v>116</v>
      </c>
      <c r="Q74" s="130" t="s">
        <v>2992</v>
      </c>
      <c r="R74" s="131"/>
      <c r="S74" s="131"/>
      <c r="T74" s="132">
        <v>44605</v>
      </c>
      <c r="U74" s="132">
        <v>44605</v>
      </c>
      <c r="V74" s="132"/>
      <c r="W74" s="132"/>
      <c r="X74" s="132"/>
      <c r="Y74" s="133" t="s">
        <v>1395</v>
      </c>
      <c r="Z74" s="126" t="s">
        <v>64</v>
      </c>
      <c r="AA74" s="134" t="s">
        <v>154</v>
      </c>
      <c r="AB74" s="134" t="s">
        <v>1330</v>
      </c>
      <c r="AC74" s="134"/>
      <c r="AD74" s="134">
        <v>44554</v>
      </c>
      <c r="AE74" s="134"/>
      <c r="AF74" s="134">
        <f t="shared" ca="1" si="7"/>
        <v>44963</v>
      </c>
      <c r="AG74" s="126">
        <f t="shared" ca="1" si="8"/>
        <v>409</v>
      </c>
      <c r="AH74" s="126" t="str">
        <f t="shared" si="9"/>
        <v/>
      </c>
      <c r="AI74" s="134"/>
      <c r="AJ74" s="143" t="s">
        <v>2745</v>
      </c>
      <c r="AK74" s="129">
        <v>10.555</v>
      </c>
      <c r="AL74" s="129">
        <v>10.565</v>
      </c>
      <c r="AM74" s="129">
        <v>10.589999999999998</v>
      </c>
      <c r="AN74" s="129">
        <v>10.594999999999999</v>
      </c>
      <c r="AO74" s="126">
        <f t="shared" ca="1" si="10"/>
        <v>358</v>
      </c>
      <c r="AR74" s="99" t="s">
        <v>136</v>
      </c>
      <c r="AS74" s="281" t="str">
        <f>LEFT(RIGHT(C74,LEN(C74)-MIN(SEARCH({0,1,2,3,4,5,6,7,8,9},C74&amp;"0123456789"))+1),2)</f>
        <v>13</v>
      </c>
      <c r="AT74" s="99">
        <v>2</v>
      </c>
      <c r="AU74" s="99" t="str">
        <f>LEFT(RIGHT(C74,LEN(C74)-MIN(SEARCH({0,1,2,3,4,5,6,7,8,9},C74&amp;"0123456789"))+1),5)</f>
        <v>13.02</v>
      </c>
      <c r="AV74" s="99" t="str">
        <f t="shared" si="11"/>
        <v>MI</v>
      </c>
    </row>
    <row r="75" spans="1:48" s="99" customFormat="1" ht="21" customHeight="1" x14ac:dyDescent="0.35">
      <c r="A75" s="99">
        <v>424</v>
      </c>
      <c r="B75" s="126" t="str">
        <f t="shared" si="6"/>
        <v>0-304/FH-001X771</v>
      </c>
      <c r="C75" s="126" t="s">
        <v>2991</v>
      </c>
      <c r="D75" s="126" t="s">
        <v>13</v>
      </c>
      <c r="E75" s="143" t="s">
        <v>2757</v>
      </c>
      <c r="F75" s="143" t="s">
        <v>2758</v>
      </c>
      <c r="G75" s="126">
        <v>304</v>
      </c>
      <c r="H75" s="126" t="s">
        <v>65</v>
      </c>
      <c r="I75" s="127">
        <v>3.24</v>
      </c>
      <c r="J75" s="127">
        <v>1.2</v>
      </c>
      <c r="K75" s="127"/>
      <c r="L75" s="127"/>
      <c r="M75" s="144">
        <v>771</v>
      </c>
      <c r="N75" s="129">
        <v>10.555</v>
      </c>
      <c r="O75" s="129">
        <v>10.555</v>
      </c>
      <c r="P75" s="129" t="s">
        <v>116</v>
      </c>
      <c r="Q75" s="130" t="s">
        <v>2992</v>
      </c>
      <c r="R75" s="131"/>
      <c r="S75" s="131"/>
      <c r="T75" s="132">
        <v>44605</v>
      </c>
      <c r="U75" s="132">
        <v>44605</v>
      </c>
      <c r="V75" s="132"/>
      <c r="W75" s="132"/>
      <c r="X75" s="132"/>
      <c r="Y75" s="133" t="s">
        <v>1395</v>
      </c>
      <c r="Z75" s="126" t="s">
        <v>64</v>
      </c>
      <c r="AA75" s="134" t="s">
        <v>154</v>
      </c>
      <c r="AB75" s="134" t="s">
        <v>1330</v>
      </c>
      <c r="AC75" s="134"/>
      <c r="AD75" s="134">
        <v>44554</v>
      </c>
      <c r="AE75" s="134"/>
      <c r="AF75" s="134">
        <f t="shared" ca="1" si="7"/>
        <v>44963</v>
      </c>
      <c r="AG75" s="126">
        <f t="shared" ca="1" si="8"/>
        <v>409</v>
      </c>
      <c r="AH75" s="126" t="str">
        <f t="shared" si="9"/>
        <v/>
      </c>
      <c r="AI75" s="134"/>
      <c r="AJ75" s="143" t="s">
        <v>2745</v>
      </c>
      <c r="AK75" s="129">
        <v>10.555</v>
      </c>
      <c r="AL75" s="129">
        <v>10.565</v>
      </c>
      <c r="AM75" s="129">
        <v>10.589999999999998</v>
      </c>
      <c r="AN75" s="129">
        <v>10.594999999999999</v>
      </c>
      <c r="AO75" s="126">
        <f t="shared" ca="1" si="10"/>
        <v>358</v>
      </c>
      <c r="AR75" s="99" t="s">
        <v>136</v>
      </c>
      <c r="AS75" s="281" t="str">
        <f>LEFT(RIGHT(C75,LEN(C75)-MIN(SEARCH({0,1,2,3,4,5,6,7,8,9},C75&amp;"0123456789"))+1),2)</f>
        <v>13</v>
      </c>
      <c r="AT75" s="99">
        <v>3</v>
      </c>
      <c r="AU75" s="99" t="str">
        <f>LEFT(RIGHT(C75,LEN(C75)-MIN(SEARCH({0,1,2,3,4,5,6,7,8,9},C75&amp;"0123456789"))+1),5)</f>
        <v>13.02</v>
      </c>
      <c r="AV75" s="99" t="str">
        <f t="shared" si="11"/>
        <v>MI</v>
      </c>
    </row>
    <row r="76" spans="1:48" s="99" customFormat="1" ht="21" customHeight="1" x14ac:dyDescent="0.35">
      <c r="A76" s="99">
        <v>424</v>
      </c>
      <c r="B76" s="126" t="str">
        <f t="shared" si="6"/>
        <v>0-304L/FH-001X768</v>
      </c>
      <c r="C76" s="126" t="s">
        <v>2991</v>
      </c>
      <c r="D76" s="126" t="s">
        <v>13</v>
      </c>
      <c r="E76" s="143" t="s">
        <v>2759</v>
      </c>
      <c r="F76" s="143" t="s">
        <v>2760</v>
      </c>
      <c r="G76" s="126" t="s">
        <v>230</v>
      </c>
      <c r="H76" s="126" t="s">
        <v>65</v>
      </c>
      <c r="I76" s="127">
        <v>3.5</v>
      </c>
      <c r="J76" s="127">
        <v>1.45</v>
      </c>
      <c r="K76" s="127"/>
      <c r="L76" s="127"/>
      <c r="M76" s="144">
        <v>768</v>
      </c>
      <c r="N76" s="129">
        <v>10.43</v>
      </c>
      <c r="O76" s="129">
        <v>10.43</v>
      </c>
      <c r="P76" s="129" t="s">
        <v>116</v>
      </c>
      <c r="Q76" s="130" t="s">
        <v>2992</v>
      </c>
      <c r="R76" s="131"/>
      <c r="S76" s="131"/>
      <c r="T76" s="132">
        <v>44605</v>
      </c>
      <c r="U76" s="132">
        <v>44605</v>
      </c>
      <c r="V76" s="132"/>
      <c r="W76" s="132"/>
      <c r="X76" s="132"/>
      <c r="Y76" s="133" t="s">
        <v>1395</v>
      </c>
      <c r="Z76" s="126" t="s">
        <v>64</v>
      </c>
      <c r="AA76" s="134" t="s">
        <v>154</v>
      </c>
      <c r="AB76" s="134" t="s">
        <v>1516</v>
      </c>
      <c r="AC76" s="134"/>
      <c r="AD76" s="134">
        <v>44554</v>
      </c>
      <c r="AE76" s="134"/>
      <c r="AF76" s="134">
        <f t="shared" ca="1" si="7"/>
        <v>44963</v>
      </c>
      <c r="AG76" s="126">
        <f t="shared" ca="1" si="8"/>
        <v>409</v>
      </c>
      <c r="AH76" s="126" t="str">
        <f t="shared" si="9"/>
        <v/>
      </c>
      <c r="AI76" s="134"/>
      <c r="AJ76" s="143" t="s">
        <v>1641</v>
      </c>
      <c r="AK76" s="129">
        <v>10.43</v>
      </c>
      <c r="AL76" s="129">
        <v>10.44</v>
      </c>
      <c r="AM76" s="129">
        <v>10.464999999999998</v>
      </c>
      <c r="AN76" s="129">
        <v>10.469999999999999</v>
      </c>
      <c r="AO76" s="126">
        <f t="shared" ca="1" si="10"/>
        <v>358</v>
      </c>
      <c r="AR76" s="99" t="s">
        <v>136</v>
      </c>
      <c r="AS76" s="281" t="str">
        <f>LEFT(RIGHT(C76,LEN(C76)-MIN(SEARCH({0,1,2,3,4,5,6,7,8,9},C76&amp;"0123456789"))+1),2)</f>
        <v>13</v>
      </c>
      <c r="AT76" s="99">
        <v>3</v>
      </c>
      <c r="AU76" s="99" t="str">
        <f>LEFT(RIGHT(C76,LEN(C76)-MIN(SEARCH({0,1,2,3,4,5,6,7,8,9},C76&amp;"0123456789"))+1),5)</f>
        <v>13.02</v>
      </c>
      <c r="AV76" s="99" t="str">
        <f t="shared" si="11"/>
        <v>MI</v>
      </c>
    </row>
    <row r="77" spans="1:48" s="99" customFormat="1" ht="21" customHeight="1" x14ac:dyDescent="0.35">
      <c r="A77" s="99">
        <v>421</v>
      </c>
      <c r="B77" s="126" t="str">
        <f t="shared" si="6"/>
        <v>0-304L/FH-001X770</v>
      </c>
      <c r="C77" s="126" t="s">
        <v>2991</v>
      </c>
      <c r="D77" s="126" t="s">
        <v>13</v>
      </c>
      <c r="E77" s="143" t="s">
        <v>2752</v>
      </c>
      <c r="F77" s="143" t="s">
        <v>2753</v>
      </c>
      <c r="G77" s="126" t="s">
        <v>230</v>
      </c>
      <c r="H77" s="126" t="s">
        <v>65</v>
      </c>
      <c r="I77" s="127">
        <v>2.89</v>
      </c>
      <c r="J77" s="127">
        <v>1</v>
      </c>
      <c r="K77" s="127"/>
      <c r="L77" s="127"/>
      <c r="M77" s="144">
        <v>770</v>
      </c>
      <c r="N77" s="129">
        <v>12.065</v>
      </c>
      <c r="O77" s="129">
        <v>12.065</v>
      </c>
      <c r="P77" s="129" t="s">
        <v>116</v>
      </c>
      <c r="Q77" s="130" t="s">
        <v>2987</v>
      </c>
      <c r="R77" s="131"/>
      <c r="S77" s="131"/>
      <c r="T77" s="132">
        <v>44605</v>
      </c>
      <c r="U77" s="132">
        <v>44605</v>
      </c>
      <c r="V77" s="132"/>
      <c r="W77" s="132"/>
      <c r="X77" s="132"/>
      <c r="Y77" s="133"/>
      <c r="Z77" s="126" t="s">
        <v>64</v>
      </c>
      <c r="AA77" s="134" t="s">
        <v>154</v>
      </c>
      <c r="AB77" s="134" t="s">
        <v>1190</v>
      </c>
      <c r="AC77" s="134"/>
      <c r="AD77" s="134">
        <v>44496</v>
      </c>
      <c r="AE77" s="134"/>
      <c r="AF77" s="134">
        <f t="shared" ca="1" si="7"/>
        <v>44963</v>
      </c>
      <c r="AG77" s="126">
        <f t="shared" ca="1" si="8"/>
        <v>467</v>
      </c>
      <c r="AH77" s="126" t="str">
        <f t="shared" si="9"/>
        <v/>
      </c>
      <c r="AI77" s="134"/>
      <c r="AJ77" s="143" t="s">
        <v>1222</v>
      </c>
      <c r="AK77" s="129">
        <v>12.065</v>
      </c>
      <c r="AL77" s="129">
        <v>12.074999999999999</v>
      </c>
      <c r="AM77" s="129">
        <v>12.099999999999998</v>
      </c>
      <c r="AN77" s="129">
        <v>12.104999999999999</v>
      </c>
      <c r="AO77" s="126">
        <f t="shared" ca="1" si="10"/>
        <v>358</v>
      </c>
      <c r="AR77" s="99" t="s">
        <v>136</v>
      </c>
      <c r="AS77" s="281" t="str">
        <f>LEFT(RIGHT(C77,LEN(C77)-MIN(SEARCH({0,1,2,3,4,5,6,7,8,9},C77&amp;"0123456789"))+1),2)</f>
        <v>13</v>
      </c>
      <c r="AT77" s="99">
        <v>3</v>
      </c>
      <c r="AU77" s="99" t="str">
        <f>LEFT(RIGHT(C77,LEN(C77)-MIN(SEARCH({0,1,2,3,4,5,6,7,8,9},C77&amp;"0123456789"))+1),5)</f>
        <v>13.02</v>
      </c>
      <c r="AV77" s="99" t="str">
        <f t="shared" si="11"/>
        <v>MI</v>
      </c>
    </row>
    <row r="78" spans="1:48" s="99" customFormat="1" ht="21" customHeight="1" x14ac:dyDescent="0.35">
      <c r="A78" s="99">
        <v>421</v>
      </c>
      <c r="B78" s="126" t="str">
        <f t="shared" si="6"/>
        <v>0-304L/FH-001X770</v>
      </c>
      <c r="C78" s="126" t="s">
        <v>2993</v>
      </c>
      <c r="D78" s="126" t="s">
        <v>13</v>
      </c>
      <c r="E78" s="143" t="s">
        <v>2762</v>
      </c>
      <c r="F78" s="143" t="s">
        <v>2763</v>
      </c>
      <c r="G78" s="126" t="s">
        <v>230</v>
      </c>
      <c r="H78" s="126" t="s">
        <v>65</v>
      </c>
      <c r="I78" s="127">
        <v>2.95</v>
      </c>
      <c r="J78" s="127">
        <v>0.9</v>
      </c>
      <c r="K78" s="127"/>
      <c r="L78" s="127"/>
      <c r="M78" s="144">
        <v>770</v>
      </c>
      <c r="N78" s="129">
        <v>12.185</v>
      </c>
      <c r="O78" s="129">
        <v>12.185</v>
      </c>
      <c r="P78" s="129" t="s">
        <v>116</v>
      </c>
      <c r="Q78" s="130" t="s">
        <v>2987</v>
      </c>
      <c r="R78" s="131"/>
      <c r="S78" s="131"/>
      <c r="T78" s="132">
        <v>44605</v>
      </c>
      <c r="U78" s="132">
        <v>44606</v>
      </c>
      <c r="V78" s="132"/>
      <c r="W78" s="132"/>
      <c r="X78" s="132"/>
      <c r="Y78" s="133"/>
      <c r="Z78" s="126" t="s">
        <v>64</v>
      </c>
      <c r="AA78" s="134" t="s">
        <v>154</v>
      </c>
      <c r="AB78" s="134" t="s">
        <v>1246</v>
      </c>
      <c r="AC78" s="134"/>
      <c r="AD78" s="134">
        <v>44496</v>
      </c>
      <c r="AE78" s="134"/>
      <c r="AF78" s="134">
        <f t="shared" ca="1" si="7"/>
        <v>44963</v>
      </c>
      <c r="AG78" s="126">
        <f t="shared" ca="1" si="8"/>
        <v>467</v>
      </c>
      <c r="AH78" s="126" t="str">
        <f t="shared" si="9"/>
        <v/>
      </c>
      <c r="AI78" s="134"/>
      <c r="AJ78" s="143" t="s">
        <v>2764</v>
      </c>
      <c r="AK78" s="129">
        <v>12.185</v>
      </c>
      <c r="AL78" s="129">
        <v>12.195</v>
      </c>
      <c r="AM78" s="129">
        <v>12.219999999999999</v>
      </c>
      <c r="AN78" s="129">
        <v>12.225</v>
      </c>
      <c r="AO78" s="126">
        <f t="shared" ca="1" si="10"/>
        <v>357</v>
      </c>
      <c r="AR78" s="99" t="s">
        <v>136</v>
      </c>
      <c r="AS78" s="281" t="str">
        <f>LEFT(RIGHT(C78,LEN(C78)-MIN(SEARCH({0,1,2,3,4,5,6,7,8,9},C78&amp;"0123456789"))+1),2)</f>
        <v>14</v>
      </c>
      <c r="AT78" s="99">
        <v>1</v>
      </c>
      <c r="AU78" s="99" t="str">
        <f>LEFT(RIGHT(C78,LEN(C78)-MIN(SEARCH({0,1,2,3,4,5,6,7,8,9},C78&amp;"0123456789"))+1),5)</f>
        <v>14.02</v>
      </c>
      <c r="AV78" s="99" t="str">
        <f t="shared" si="11"/>
        <v>MI</v>
      </c>
    </row>
    <row r="79" spans="1:48" s="99" customFormat="1" ht="21" customHeight="1" x14ac:dyDescent="0.35">
      <c r="A79" s="99">
        <v>424</v>
      </c>
      <c r="B79" s="126" t="str">
        <f t="shared" si="6"/>
        <v>0-304L/FH-002X768</v>
      </c>
      <c r="C79" s="126" t="s">
        <v>2993</v>
      </c>
      <c r="D79" s="126" t="s">
        <v>13</v>
      </c>
      <c r="E79" s="143" t="s">
        <v>2765</v>
      </c>
      <c r="F79" s="143" t="s">
        <v>2766</v>
      </c>
      <c r="G79" s="126" t="s">
        <v>230</v>
      </c>
      <c r="H79" s="126" t="s">
        <v>65</v>
      </c>
      <c r="I79" s="127">
        <v>3.98</v>
      </c>
      <c r="J79" s="127">
        <v>2</v>
      </c>
      <c r="K79" s="127"/>
      <c r="L79" s="127"/>
      <c r="M79" s="144">
        <v>768</v>
      </c>
      <c r="N79" s="129">
        <v>10.305</v>
      </c>
      <c r="O79" s="129">
        <v>10.305</v>
      </c>
      <c r="P79" s="129" t="s">
        <v>116</v>
      </c>
      <c r="Q79" s="130" t="s">
        <v>2992</v>
      </c>
      <c r="R79" s="131"/>
      <c r="S79" s="131"/>
      <c r="T79" s="132">
        <v>44605</v>
      </c>
      <c r="U79" s="132">
        <v>44606</v>
      </c>
      <c r="V79" s="132"/>
      <c r="W79" s="132"/>
      <c r="X79" s="132"/>
      <c r="Y79" s="133" t="s">
        <v>1395</v>
      </c>
      <c r="Z79" s="126" t="s">
        <v>64</v>
      </c>
      <c r="AA79" s="134" t="s">
        <v>154</v>
      </c>
      <c r="AB79" s="134" t="s">
        <v>1516</v>
      </c>
      <c r="AC79" s="134"/>
      <c r="AD79" s="134">
        <v>44554</v>
      </c>
      <c r="AE79" s="134"/>
      <c r="AF79" s="134">
        <f t="shared" ca="1" si="7"/>
        <v>44963</v>
      </c>
      <c r="AG79" s="126">
        <f t="shared" ca="1" si="8"/>
        <v>409</v>
      </c>
      <c r="AH79" s="126" t="str">
        <f t="shared" si="9"/>
        <v/>
      </c>
      <c r="AI79" s="134"/>
      <c r="AJ79" s="143" t="s">
        <v>2767</v>
      </c>
      <c r="AK79" s="129">
        <v>10.305</v>
      </c>
      <c r="AL79" s="129">
        <v>10.315</v>
      </c>
      <c r="AM79" s="129">
        <v>10.339999999999998</v>
      </c>
      <c r="AN79" s="129">
        <v>10.344999999999999</v>
      </c>
      <c r="AO79" s="126">
        <f t="shared" ca="1" si="10"/>
        <v>357</v>
      </c>
      <c r="AR79" s="99" t="s">
        <v>136</v>
      </c>
      <c r="AS79" s="281" t="str">
        <f>LEFT(RIGHT(C79,LEN(C79)-MIN(SEARCH({0,1,2,3,4,5,6,7,8,9},C79&amp;"0123456789"))+1),2)</f>
        <v>14</v>
      </c>
      <c r="AT79" s="99">
        <v>1</v>
      </c>
      <c r="AU79" s="99" t="str">
        <f>LEFT(RIGHT(C79,LEN(C79)-MIN(SEARCH({0,1,2,3,4,5,6,7,8,9},C79&amp;"0123456789"))+1),5)</f>
        <v>14.02</v>
      </c>
      <c r="AV79" s="99" t="str">
        <f t="shared" si="11"/>
        <v>MI</v>
      </c>
    </row>
    <row r="80" spans="1:48" s="99" customFormat="1" ht="21" customHeight="1" x14ac:dyDescent="0.35">
      <c r="A80" s="99">
        <v>424</v>
      </c>
      <c r="B80" s="126" t="str">
        <f t="shared" si="6"/>
        <v>0-304L/FH-001X768</v>
      </c>
      <c r="C80" s="126" t="s">
        <v>2993</v>
      </c>
      <c r="D80" s="126" t="s">
        <v>13</v>
      </c>
      <c r="E80" s="143" t="s">
        <v>1639</v>
      </c>
      <c r="F80" s="143" t="s">
        <v>2761</v>
      </c>
      <c r="G80" s="126" t="s">
        <v>230</v>
      </c>
      <c r="H80" s="126" t="s">
        <v>65</v>
      </c>
      <c r="I80" s="127">
        <v>3.5</v>
      </c>
      <c r="J80" s="127">
        <v>1.45</v>
      </c>
      <c r="K80" s="127"/>
      <c r="L80" s="127"/>
      <c r="M80" s="144">
        <v>768</v>
      </c>
      <c r="N80" s="129">
        <v>10.435</v>
      </c>
      <c r="O80" s="129">
        <v>10.435</v>
      </c>
      <c r="P80" s="129" t="s">
        <v>116</v>
      </c>
      <c r="Q80" s="130" t="s">
        <v>2992</v>
      </c>
      <c r="R80" s="131"/>
      <c r="S80" s="131"/>
      <c r="T80" s="132">
        <v>44605</v>
      </c>
      <c r="U80" s="132">
        <v>44606</v>
      </c>
      <c r="V80" s="132"/>
      <c r="W80" s="132"/>
      <c r="X80" s="132"/>
      <c r="Y80" s="133" t="s">
        <v>1395</v>
      </c>
      <c r="Z80" s="126" t="s">
        <v>64</v>
      </c>
      <c r="AA80" s="134" t="s">
        <v>154</v>
      </c>
      <c r="AB80" s="134" t="s">
        <v>1516</v>
      </c>
      <c r="AC80" s="134"/>
      <c r="AD80" s="134">
        <v>44554</v>
      </c>
      <c r="AE80" s="134"/>
      <c r="AF80" s="134">
        <f t="shared" ca="1" si="7"/>
        <v>44963</v>
      </c>
      <c r="AG80" s="126">
        <f t="shared" ca="1" si="8"/>
        <v>409</v>
      </c>
      <c r="AH80" s="126" t="str">
        <f t="shared" si="9"/>
        <v/>
      </c>
      <c r="AI80" s="134"/>
      <c r="AJ80" s="143" t="s">
        <v>1641</v>
      </c>
      <c r="AK80" s="129">
        <v>10.435</v>
      </c>
      <c r="AL80" s="129">
        <v>10.445</v>
      </c>
      <c r="AM80" s="129">
        <v>10.469999999999999</v>
      </c>
      <c r="AN80" s="129">
        <v>10.475</v>
      </c>
      <c r="AO80" s="126">
        <f t="shared" ca="1" si="10"/>
        <v>357</v>
      </c>
      <c r="AR80" s="99" t="s">
        <v>136</v>
      </c>
      <c r="AS80" s="281" t="str">
        <f>LEFT(RIGHT(C80,LEN(C80)-MIN(SEARCH({0,1,2,3,4,5,6,7,8,9},C80&amp;"0123456789"))+1),2)</f>
        <v>14</v>
      </c>
      <c r="AT80" s="99">
        <v>1</v>
      </c>
      <c r="AU80" s="99" t="str">
        <f>LEFT(RIGHT(C80,LEN(C80)-MIN(SEARCH({0,1,2,3,4,5,6,7,8,9},C80&amp;"0123456789"))+1),5)</f>
        <v>14.02</v>
      </c>
      <c r="AV80" s="99" t="str">
        <f t="shared" si="11"/>
        <v>MI</v>
      </c>
    </row>
    <row r="81" spans="1:48" s="99" customFormat="1" ht="21" customHeight="1" x14ac:dyDescent="0.35">
      <c r="A81" s="99">
        <v>424</v>
      </c>
      <c r="B81" s="126" t="str">
        <f t="shared" si="6"/>
        <v>0-304L/FH-001X772</v>
      </c>
      <c r="C81" s="126" t="s">
        <v>2993</v>
      </c>
      <c r="D81" s="126" t="s">
        <v>13</v>
      </c>
      <c r="E81" s="143" t="s">
        <v>2769</v>
      </c>
      <c r="F81" s="143" t="s">
        <v>2770</v>
      </c>
      <c r="G81" s="126" t="s">
        <v>230</v>
      </c>
      <c r="H81" s="126" t="s">
        <v>65</v>
      </c>
      <c r="I81" s="127">
        <v>3.37</v>
      </c>
      <c r="J81" s="127">
        <v>1.35</v>
      </c>
      <c r="K81" s="127"/>
      <c r="L81" s="127"/>
      <c r="M81" s="144">
        <v>772</v>
      </c>
      <c r="N81" s="129">
        <v>10.465</v>
      </c>
      <c r="O81" s="129">
        <v>10.465</v>
      </c>
      <c r="P81" s="129" t="s">
        <v>116</v>
      </c>
      <c r="Q81" s="130" t="s">
        <v>2987</v>
      </c>
      <c r="R81" s="131"/>
      <c r="S81" s="131"/>
      <c r="T81" s="132">
        <v>44606</v>
      </c>
      <c r="U81" s="132">
        <v>44606</v>
      </c>
      <c r="V81" s="132"/>
      <c r="W81" s="132"/>
      <c r="X81" s="132"/>
      <c r="Y81" s="133" t="s">
        <v>1395</v>
      </c>
      <c r="Z81" s="126" t="s">
        <v>64</v>
      </c>
      <c r="AA81" s="134" t="s">
        <v>154</v>
      </c>
      <c r="AB81" s="134" t="s">
        <v>1516</v>
      </c>
      <c r="AC81" s="134"/>
      <c r="AD81" s="134">
        <v>44554</v>
      </c>
      <c r="AE81" s="134"/>
      <c r="AF81" s="134">
        <f t="shared" ca="1" si="7"/>
        <v>44963</v>
      </c>
      <c r="AG81" s="126">
        <f t="shared" ca="1" si="8"/>
        <v>409</v>
      </c>
      <c r="AH81" s="126" t="str">
        <f t="shared" si="9"/>
        <v/>
      </c>
      <c r="AI81" s="134"/>
      <c r="AJ81" s="143" t="s">
        <v>2608</v>
      </c>
      <c r="AK81" s="129">
        <v>10.465</v>
      </c>
      <c r="AL81" s="129">
        <v>10.475</v>
      </c>
      <c r="AM81" s="129">
        <v>10.499999999999998</v>
      </c>
      <c r="AN81" s="129">
        <v>10.504999999999999</v>
      </c>
      <c r="AO81" s="126">
        <f t="shared" ca="1" si="10"/>
        <v>357</v>
      </c>
      <c r="AR81" s="99" t="s">
        <v>136</v>
      </c>
      <c r="AS81" s="281" t="str">
        <f>LEFT(RIGHT(C81,LEN(C81)-MIN(SEARCH({0,1,2,3,4,5,6,7,8,9},C81&amp;"0123456789"))+1),2)</f>
        <v>14</v>
      </c>
      <c r="AT81" s="99">
        <v>1</v>
      </c>
      <c r="AU81" s="99" t="str">
        <f>LEFT(RIGHT(C81,LEN(C81)-MIN(SEARCH({0,1,2,3,4,5,6,7,8,9},C81&amp;"0123456789"))+1),5)</f>
        <v>14.02</v>
      </c>
      <c r="AV81" s="99" t="str">
        <f t="shared" si="11"/>
        <v>MI</v>
      </c>
    </row>
    <row r="82" spans="1:48" s="99" customFormat="1" ht="21" customHeight="1" x14ac:dyDescent="0.35">
      <c r="A82" s="99">
        <v>421</v>
      </c>
      <c r="B82" s="126" t="str">
        <f t="shared" si="6"/>
        <v>0-304L/FH-001X770</v>
      </c>
      <c r="C82" s="126" t="s">
        <v>2993</v>
      </c>
      <c r="D82" s="126" t="s">
        <v>13</v>
      </c>
      <c r="E82" s="143" t="s">
        <v>2775</v>
      </c>
      <c r="F82" s="143" t="s">
        <v>2776</v>
      </c>
      <c r="G82" s="126" t="s">
        <v>230</v>
      </c>
      <c r="H82" s="126" t="s">
        <v>65</v>
      </c>
      <c r="I82" s="127">
        <v>2.92</v>
      </c>
      <c r="J82" s="127">
        <v>0.9</v>
      </c>
      <c r="K82" s="127"/>
      <c r="L82" s="127"/>
      <c r="M82" s="144">
        <v>770</v>
      </c>
      <c r="N82" s="129">
        <v>10.475</v>
      </c>
      <c r="O82" s="129">
        <v>10.475</v>
      </c>
      <c r="P82" s="129" t="s">
        <v>116</v>
      </c>
      <c r="Q82" s="130" t="s">
        <v>2992</v>
      </c>
      <c r="R82" s="131"/>
      <c r="S82" s="131"/>
      <c r="T82" s="132">
        <v>44606</v>
      </c>
      <c r="U82" s="132">
        <v>44606</v>
      </c>
      <c r="V82" s="132"/>
      <c r="W82" s="132"/>
      <c r="X82" s="132"/>
      <c r="Y82" s="133"/>
      <c r="Z82" s="126" t="s">
        <v>64</v>
      </c>
      <c r="AA82" s="134" t="s">
        <v>154</v>
      </c>
      <c r="AB82" s="134" t="s">
        <v>1246</v>
      </c>
      <c r="AC82" s="134"/>
      <c r="AD82" s="134">
        <v>44496</v>
      </c>
      <c r="AE82" s="134"/>
      <c r="AF82" s="134">
        <f t="shared" ca="1" si="7"/>
        <v>44963</v>
      </c>
      <c r="AG82" s="126">
        <f t="shared" ca="1" si="8"/>
        <v>467</v>
      </c>
      <c r="AH82" s="126" t="str">
        <f t="shared" si="9"/>
        <v/>
      </c>
      <c r="AI82" s="134"/>
      <c r="AJ82" s="143" t="s">
        <v>2777</v>
      </c>
      <c r="AK82" s="129">
        <v>10.475</v>
      </c>
      <c r="AL82" s="129">
        <v>10.484999999999999</v>
      </c>
      <c r="AM82" s="129">
        <v>10.509999999999998</v>
      </c>
      <c r="AN82" s="129">
        <v>10.514999999999999</v>
      </c>
      <c r="AO82" s="126">
        <f t="shared" ca="1" si="10"/>
        <v>357</v>
      </c>
      <c r="AR82" s="99" t="s">
        <v>136</v>
      </c>
      <c r="AS82" s="281" t="str">
        <f>LEFT(RIGHT(C82,LEN(C82)-MIN(SEARCH({0,1,2,3,4,5,6,7,8,9},C82&amp;"0123456789"))+1),2)</f>
        <v>14</v>
      </c>
      <c r="AT82" s="99">
        <v>2</v>
      </c>
      <c r="AU82" s="99" t="str">
        <f>LEFT(RIGHT(C82,LEN(C82)-MIN(SEARCH({0,1,2,3,4,5,6,7,8,9},C82&amp;"0123456789"))+1),5)</f>
        <v>14.02</v>
      </c>
      <c r="AV82" s="99" t="str">
        <f t="shared" si="11"/>
        <v>MI</v>
      </c>
    </row>
    <row r="83" spans="1:48" s="99" customFormat="1" ht="21" customHeight="1" x14ac:dyDescent="0.35">
      <c r="A83" s="99">
        <v>421</v>
      </c>
      <c r="B83" s="126" t="str">
        <f t="shared" si="6"/>
        <v>0-304L/FH-001X770</v>
      </c>
      <c r="C83" s="126" t="s">
        <v>2993</v>
      </c>
      <c r="D83" s="126" t="s">
        <v>13</v>
      </c>
      <c r="E83" s="143" t="s">
        <v>2772</v>
      </c>
      <c r="F83" s="143" t="s">
        <v>2773</v>
      </c>
      <c r="G83" s="126" t="s">
        <v>230</v>
      </c>
      <c r="H83" s="126" t="s">
        <v>65</v>
      </c>
      <c r="I83" s="127">
        <v>3</v>
      </c>
      <c r="J83" s="127">
        <v>1</v>
      </c>
      <c r="K83" s="127"/>
      <c r="L83" s="127"/>
      <c r="M83" s="144">
        <v>770</v>
      </c>
      <c r="N83" s="129">
        <v>10.47</v>
      </c>
      <c r="O83" s="129">
        <v>10.47</v>
      </c>
      <c r="P83" s="129" t="s">
        <v>116</v>
      </c>
      <c r="Q83" s="130" t="s">
        <v>2987</v>
      </c>
      <c r="R83" s="131"/>
      <c r="S83" s="131"/>
      <c r="T83" s="132">
        <v>44606</v>
      </c>
      <c r="U83" s="132">
        <v>44606</v>
      </c>
      <c r="V83" s="132"/>
      <c r="W83" s="132"/>
      <c r="X83" s="132"/>
      <c r="Y83" s="133"/>
      <c r="Z83" s="126" t="s">
        <v>64</v>
      </c>
      <c r="AA83" s="134" t="s">
        <v>154</v>
      </c>
      <c r="AB83" s="134" t="s">
        <v>1190</v>
      </c>
      <c r="AC83" s="134"/>
      <c r="AD83" s="134">
        <v>44496</v>
      </c>
      <c r="AE83" s="134"/>
      <c r="AF83" s="134">
        <f t="shared" ca="1" si="7"/>
        <v>44963</v>
      </c>
      <c r="AG83" s="126">
        <f t="shared" ca="1" si="8"/>
        <v>467</v>
      </c>
      <c r="AH83" s="126" t="str">
        <f t="shared" si="9"/>
        <v/>
      </c>
      <c r="AI83" s="134"/>
      <c r="AJ83" s="143" t="s">
        <v>2774</v>
      </c>
      <c r="AK83" s="129">
        <v>10.47</v>
      </c>
      <c r="AL83" s="129">
        <v>10.48</v>
      </c>
      <c r="AM83" s="129">
        <v>10.504999999999999</v>
      </c>
      <c r="AN83" s="129">
        <v>10.51</v>
      </c>
      <c r="AO83" s="126">
        <f t="shared" ca="1" si="10"/>
        <v>357</v>
      </c>
      <c r="AR83" s="99" t="s">
        <v>136</v>
      </c>
      <c r="AS83" s="281" t="str">
        <f>LEFT(RIGHT(C83,LEN(C83)-MIN(SEARCH({0,1,2,3,4,5,6,7,8,9},C83&amp;"0123456789"))+1),2)</f>
        <v>14</v>
      </c>
      <c r="AT83" s="99">
        <v>2</v>
      </c>
      <c r="AU83" s="99" t="str">
        <f>LEFT(RIGHT(C83,LEN(C83)-MIN(SEARCH({0,1,2,3,4,5,6,7,8,9},C83&amp;"0123456789"))+1),5)</f>
        <v>14.02</v>
      </c>
      <c r="AV83" s="99" t="str">
        <f t="shared" si="11"/>
        <v>MI</v>
      </c>
    </row>
    <row r="84" spans="1:48" s="99" customFormat="1" ht="21" customHeight="1" x14ac:dyDescent="0.35">
      <c r="A84" s="99">
        <v>421</v>
      </c>
      <c r="B84" s="126" t="str">
        <f t="shared" si="6"/>
        <v>0-304L/FH-001X770</v>
      </c>
      <c r="C84" s="126" t="s">
        <v>2993</v>
      </c>
      <c r="D84" s="126" t="s">
        <v>13</v>
      </c>
      <c r="E84" s="143" t="s">
        <v>2780</v>
      </c>
      <c r="F84" s="143" t="s">
        <v>2781</v>
      </c>
      <c r="G84" s="126" t="s">
        <v>230</v>
      </c>
      <c r="H84" s="126" t="s">
        <v>65</v>
      </c>
      <c r="I84" s="127">
        <v>2.96</v>
      </c>
      <c r="J84" s="127">
        <v>1.1499999999999999</v>
      </c>
      <c r="K84" s="127"/>
      <c r="L84" s="127"/>
      <c r="M84" s="144">
        <v>770</v>
      </c>
      <c r="N84" s="129">
        <v>10.455</v>
      </c>
      <c r="O84" s="129">
        <v>10.455</v>
      </c>
      <c r="P84" s="129" t="s">
        <v>116</v>
      </c>
      <c r="Q84" s="130" t="s">
        <v>1206</v>
      </c>
      <c r="R84" s="131"/>
      <c r="S84" s="131"/>
      <c r="T84" s="132">
        <v>44606</v>
      </c>
      <c r="U84" s="132">
        <v>44606</v>
      </c>
      <c r="V84" s="132"/>
      <c r="W84" s="132"/>
      <c r="X84" s="132"/>
      <c r="Y84" s="133"/>
      <c r="Z84" s="126" t="s">
        <v>64</v>
      </c>
      <c r="AA84" s="134" t="s">
        <v>154</v>
      </c>
      <c r="AB84" s="134" t="s">
        <v>1239</v>
      </c>
      <c r="AC84" s="134"/>
      <c r="AD84" s="134">
        <v>44496</v>
      </c>
      <c r="AE84" s="134"/>
      <c r="AF84" s="134">
        <f t="shared" ca="1" si="7"/>
        <v>44963</v>
      </c>
      <c r="AG84" s="126">
        <f t="shared" ca="1" si="8"/>
        <v>467</v>
      </c>
      <c r="AH84" s="126" t="str">
        <f t="shared" si="9"/>
        <v/>
      </c>
      <c r="AI84" s="134"/>
      <c r="AJ84" s="143" t="s">
        <v>2782</v>
      </c>
      <c r="AK84" s="129">
        <v>10.455</v>
      </c>
      <c r="AL84" s="129">
        <v>10.465</v>
      </c>
      <c r="AM84" s="129">
        <v>10.489999999999998</v>
      </c>
      <c r="AN84" s="129">
        <v>10.494999999999999</v>
      </c>
      <c r="AO84" s="126">
        <f t="shared" ca="1" si="10"/>
        <v>357</v>
      </c>
      <c r="AR84" s="99" t="s">
        <v>136</v>
      </c>
      <c r="AS84" s="281" t="str">
        <f>LEFT(RIGHT(C84,LEN(C84)-MIN(SEARCH({0,1,2,3,4,5,6,7,8,9},C84&amp;"0123456789"))+1),2)</f>
        <v>14</v>
      </c>
      <c r="AT84" s="99">
        <v>2</v>
      </c>
      <c r="AU84" s="99" t="str">
        <f>LEFT(RIGHT(C84,LEN(C84)-MIN(SEARCH({0,1,2,3,4,5,6,7,8,9},C84&amp;"0123456789"))+1),5)</f>
        <v>14.02</v>
      </c>
      <c r="AV84" s="99" t="str">
        <f t="shared" si="11"/>
        <v>MI</v>
      </c>
    </row>
    <row r="85" spans="1:48" s="99" customFormat="1" ht="21" customHeight="1" x14ac:dyDescent="0.35">
      <c r="A85" s="99">
        <v>421</v>
      </c>
      <c r="B85" s="126" t="str">
        <f t="shared" si="6"/>
        <v>0-304L/FH-001X770</v>
      </c>
      <c r="C85" s="126" t="s">
        <v>2993</v>
      </c>
      <c r="D85" s="126" t="s">
        <v>13</v>
      </c>
      <c r="E85" s="143" t="s">
        <v>2783</v>
      </c>
      <c r="F85" s="143" t="s">
        <v>2784</v>
      </c>
      <c r="G85" s="126" t="s">
        <v>230</v>
      </c>
      <c r="H85" s="126" t="s">
        <v>65</v>
      </c>
      <c r="I85" s="127">
        <v>2.99</v>
      </c>
      <c r="J85" s="127">
        <v>1.1499999999999999</v>
      </c>
      <c r="K85" s="127"/>
      <c r="L85" s="127"/>
      <c r="M85" s="144">
        <v>770</v>
      </c>
      <c r="N85" s="129">
        <v>10.48</v>
      </c>
      <c r="O85" s="129">
        <v>10.48</v>
      </c>
      <c r="P85" s="129" t="s">
        <v>116</v>
      </c>
      <c r="Q85" s="130" t="s">
        <v>1206</v>
      </c>
      <c r="R85" s="131"/>
      <c r="S85" s="131"/>
      <c r="T85" s="132">
        <v>44606</v>
      </c>
      <c r="U85" s="132">
        <v>44606</v>
      </c>
      <c r="V85" s="132"/>
      <c r="W85" s="132"/>
      <c r="X85" s="132"/>
      <c r="Y85" s="133"/>
      <c r="Z85" s="126" t="s">
        <v>64</v>
      </c>
      <c r="AA85" s="134" t="s">
        <v>154</v>
      </c>
      <c r="AB85" s="134" t="s">
        <v>1246</v>
      </c>
      <c r="AC85" s="134"/>
      <c r="AD85" s="134">
        <v>44496</v>
      </c>
      <c r="AE85" s="134"/>
      <c r="AF85" s="134">
        <f t="shared" ca="1" si="7"/>
        <v>44963</v>
      </c>
      <c r="AG85" s="126">
        <f t="shared" ca="1" si="8"/>
        <v>467</v>
      </c>
      <c r="AH85" s="126" t="str">
        <f t="shared" si="9"/>
        <v/>
      </c>
      <c r="AI85" s="134"/>
      <c r="AJ85" s="143" t="s">
        <v>2785</v>
      </c>
      <c r="AK85" s="129">
        <v>10.48</v>
      </c>
      <c r="AL85" s="129">
        <v>10.49</v>
      </c>
      <c r="AM85" s="129">
        <v>10.514999999999999</v>
      </c>
      <c r="AN85" s="129">
        <v>10.52</v>
      </c>
      <c r="AO85" s="126">
        <f t="shared" ca="1" si="10"/>
        <v>357</v>
      </c>
      <c r="AR85" s="99" t="s">
        <v>136</v>
      </c>
      <c r="AS85" s="281" t="str">
        <f>LEFT(RIGHT(C85,LEN(C85)-MIN(SEARCH({0,1,2,3,4,5,6,7,8,9},C85&amp;"0123456789"))+1),2)</f>
        <v>14</v>
      </c>
      <c r="AT85" s="99">
        <v>2</v>
      </c>
      <c r="AU85" s="99" t="str">
        <f>LEFT(RIGHT(C85,LEN(C85)-MIN(SEARCH({0,1,2,3,4,5,6,7,8,9},C85&amp;"0123456789"))+1),5)</f>
        <v>14.02</v>
      </c>
      <c r="AV85" s="99" t="str">
        <f t="shared" si="11"/>
        <v>MI</v>
      </c>
    </row>
    <row r="86" spans="1:48" s="99" customFormat="1" ht="21" customHeight="1" x14ac:dyDescent="0.35">
      <c r="A86" s="99">
        <v>424</v>
      </c>
      <c r="B86" s="126" t="str">
        <f t="shared" si="6"/>
        <v>0-304L/FH-001X771</v>
      </c>
      <c r="C86" s="126" t="s">
        <v>2993</v>
      </c>
      <c r="D86" s="126" t="s">
        <v>13</v>
      </c>
      <c r="E86" s="143" t="s">
        <v>2786</v>
      </c>
      <c r="F86" s="143" t="s">
        <v>2787</v>
      </c>
      <c r="G86" s="126" t="s">
        <v>230</v>
      </c>
      <c r="H86" s="126" t="s">
        <v>65</v>
      </c>
      <c r="I86" s="127">
        <v>3.34</v>
      </c>
      <c r="J86" s="127">
        <v>1.1499999999999999</v>
      </c>
      <c r="K86" s="127"/>
      <c r="L86" s="127"/>
      <c r="M86" s="144">
        <v>771</v>
      </c>
      <c r="N86" s="129">
        <v>10.44</v>
      </c>
      <c r="O86" s="129">
        <v>10.44</v>
      </c>
      <c r="P86" s="129" t="s">
        <v>116</v>
      </c>
      <c r="Q86" s="130" t="s">
        <v>1206</v>
      </c>
      <c r="R86" s="131"/>
      <c r="S86" s="131"/>
      <c r="T86" s="132">
        <v>44606</v>
      </c>
      <c r="U86" s="132">
        <v>44606</v>
      </c>
      <c r="V86" s="132"/>
      <c r="W86" s="132"/>
      <c r="X86" s="132"/>
      <c r="Y86" s="133" t="s">
        <v>1395</v>
      </c>
      <c r="Z86" s="126" t="s">
        <v>64</v>
      </c>
      <c r="AA86" s="134" t="s">
        <v>154</v>
      </c>
      <c r="AB86" s="134" t="s">
        <v>1330</v>
      </c>
      <c r="AC86" s="134"/>
      <c r="AD86" s="134">
        <v>44554</v>
      </c>
      <c r="AE86" s="134"/>
      <c r="AF86" s="134">
        <f t="shared" ca="1" si="7"/>
        <v>44963</v>
      </c>
      <c r="AG86" s="126">
        <f t="shared" ca="1" si="8"/>
        <v>409</v>
      </c>
      <c r="AH86" s="126" t="str">
        <f t="shared" si="9"/>
        <v/>
      </c>
      <c r="AI86" s="134"/>
      <c r="AJ86" s="143" t="s">
        <v>2788</v>
      </c>
      <c r="AK86" s="129">
        <v>10.44</v>
      </c>
      <c r="AL86" s="129">
        <v>10.45</v>
      </c>
      <c r="AM86" s="129">
        <v>10.474999999999998</v>
      </c>
      <c r="AN86" s="129">
        <v>10.479999999999999</v>
      </c>
      <c r="AO86" s="126">
        <f t="shared" ca="1" si="10"/>
        <v>357</v>
      </c>
      <c r="AR86" s="99" t="s">
        <v>136</v>
      </c>
      <c r="AS86" s="281" t="str">
        <f>LEFT(RIGHT(C86,LEN(C86)-MIN(SEARCH({0,1,2,3,4,5,6,7,8,9},C86&amp;"0123456789"))+1),2)</f>
        <v>14</v>
      </c>
      <c r="AT86" s="99">
        <v>3</v>
      </c>
      <c r="AU86" s="99" t="str">
        <f>LEFT(RIGHT(C86,LEN(C86)-MIN(SEARCH({0,1,2,3,4,5,6,7,8,9},C86&amp;"0123456789"))+1),5)</f>
        <v>14.02</v>
      </c>
      <c r="AV86" s="99" t="str">
        <f t="shared" si="11"/>
        <v>MI</v>
      </c>
    </row>
    <row r="87" spans="1:48" s="99" customFormat="1" ht="21" customHeight="1" x14ac:dyDescent="0.35">
      <c r="A87" s="99">
        <v>424</v>
      </c>
      <c r="B87" s="126" t="str">
        <f t="shared" si="6"/>
        <v>0-304L/FH-001X774</v>
      </c>
      <c r="C87" s="126" t="s">
        <v>2993</v>
      </c>
      <c r="D87" s="126" t="s">
        <v>13</v>
      </c>
      <c r="E87" s="143" t="s">
        <v>2789</v>
      </c>
      <c r="F87" s="143" t="s">
        <v>2790</v>
      </c>
      <c r="G87" s="126" t="s">
        <v>230</v>
      </c>
      <c r="H87" s="126" t="s">
        <v>65</v>
      </c>
      <c r="I87" s="127">
        <v>3.5</v>
      </c>
      <c r="J87" s="127">
        <v>1.45</v>
      </c>
      <c r="K87" s="127"/>
      <c r="L87" s="127"/>
      <c r="M87" s="144">
        <v>774</v>
      </c>
      <c r="N87" s="129">
        <v>9.9949999999999992</v>
      </c>
      <c r="O87" s="129">
        <v>9.9949999999999992</v>
      </c>
      <c r="P87" s="129" t="s">
        <v>116</v>
      </c>
      <c r="Q87" s="130" t="s">
        <v>2994</v>
      </c>
      <c r="R87" s="131"/>
      <c r="S87" s="131"/>
      <c r="T87" s="132">
        <v>44606</v>
      </c>
      <c r="U87" s="132">
        <v>44606</v>
      </c>
      <c r="V87" s="132"/>
      <c r="W87" s="132"/>
      <c r="X87" s="132"/>
      <c r="Y87" s="133" t="s">
        <v>1395</v>
      </c>
      <c r="Z87" s="126" t="s">
        <v>64</v>
      </c>
      <c r="AA87" s="134" t="s">
        <v>154</v>
      </c>
      <c r="AB87" s="134" t="s">
        <v>1330</v>
      </c>
      <c r="AC87" s="134"/>
      <c r="AD87" s="134">
        <v>44554</v>
      </c>
      <c r="AE87" s="134"/>
      <c r="AF87" s="134">
        <f t="shared" ca="1" si="7"/>
        <v>44963</v>
      </c>
      <c r="AG87" s="126">
        <f t="shared" ca="1" si="8"/>
        <v>409</v>
      </c>
      <c r="AH87" s="126" t="str">
        <f t="shared" si="9"/>
        <v/>
      </c>
      <c r="AI87" s="134"/>
      <c r="AJ87" s="143" t="s">
        <v>1367</v>
      </c>
      <c r="AK87" s="129">
        <v>9.9949999999999992</v>
      </c>
      <c r="AL87" s="129">
        <v>10.005000000000001</v>
      </c>
      <c r="AM87" s="129">
        <v>10.029999999999999</v>
      </c>
      <c r="AN87" s="129">
        <v>10.035</v>
      </c>
      <c r="AO87" s="126">
        <f t="shared" ca="1" si="10"/>
        <v>357</v>
      </c>
      <c r="AR87" s="99" t="s">
        <v>136</v>
      </c>
      <c r="AS87" s="281" t="str">
        <f>LEFT(RIGHT(C87,LEN(C87)-MIN(SEARCH({0,1,2,3,4,5,6,7,8,9},C87&amp;"0123456789"))+1),2)</f>
        <v>14</v>
      </c>
      <c r="AT87" s="99">
        <v>3</v>
      </c>
      <c r="AU87" s="99" t="str">
        <f>LEFT(RIGHT(C87,LEN(C87)-MIN(SEARCH({0,1,2,3,4,5,6,7,8,9},C87&amp;"0123456789"))+1),5)</f>
        <v>14.02</v>
      </c>
      <c r="AV87" s="99" t="str">
        <f t="shared" si="11"/>
        <v>MI</v>
      </c>
    </row>
    <row r="88" spans="1:48" s="99" customFormat="1" ht="21" customHeight="1" x14ac:dyDescent="0.35">
      <c r="A88" s="99">
        <v>424</v>
      </c>
      <c r="B88" s="126" t="str">
        <f t="shared" si="6"/>
        <v>0-304L/FH-002X773</v>
      </c>
      <c r="C88" s="126" t="s">
        <v>2993</v>
      </c>
      <c r="D88" s="126" t="s">
        <v>13</v>
      </c>
      <c r="E88" s="143" t="s">
        <v>2778</v>
      </c>
      <c r="F88" s="143" t="s">
        <v>2779</v>
      </c>
      <c r="G88" s="126" t="s">
        <v>230</v>
      </c>
      <c r="H88" s="126" t="s">
        <v>65</v>
      </c>
      <c r="I88" s="127">
        <v>3.78</v>
      </c>
      <c r="J88" s="127">
        <v>1.9</v>
      </c>
      <c r="K88" s="127"/>
      <c r="L88" s="127"/>
      <c r="M88" s="144">
        <v>773</v>
      </c>
      <c r="N88" s="129">
        <v>10.39</v>
      </c>
      <c r="O88" s="129">
        <v>10.39</v>
      </c>
      <c r="P88" s="129" t="s">
        <v>116</v>
      </c>
      <c r="Q88" s="130" t="s">
        <v>2987</v>
      </c>
      <c r="R88" s="131"/>
      <c r="S88" s="131"/>
      <c r="T88" s="132">
        <v>44606</v>
      </c>
      <c r="U88" s="132">
        <v>44606</v>
      </c>
      <c r="V88" s="132"/>
      <c r="W88" s="132"/>
      <c r="X88" s="132"/>
      <c r="Y88" s="133" t="s">
        <v>1395</v>
      </c>
      <c r="Z88" s="126" t="s">
        <v>64</v>
      </c>
      <c r="AA88" s="134" t="s">
        <v>154</v>
      </c>
      <c r="AB88" s="134" t="s">
        <v>1330</v>
      </c>
      <c r="AC88" s="134"/>
      <c r="AD88" s="134">
        <v>44554</v>
      </c>
      <c r="AE88" s="134"/>
      <c r="AF88" s="134">
        <f t="shared" ca="1" si="7"/>
        <v>44963</v>
      </c>
      <c r="AG88" s="126">
        <f t="shared" ca="1" si="8"/>
        <v>409</v>
      </c>
      <c r="AH88" s="126" t="str">
        <f t="shared" si="9"/>
        <v/>
      </c>
      <c r="AI88" s="134"/>
      <c r="AJ88" s="143" t="s">
        <v>1382</v>
      </c>
      <c r="AK88" s="129">
        <v>10.39</v>
      </c>
      <c r="AL88" s="129">
        <v>10.4</v>
      </c>
      <c r="AM88" s="129">
        <v>10.424999999999999</v>
      </c>
      <c r="AN88" s="129">
        <v>10.43</v>
      </c>
      <c r="AO88" s="126">
        <f t="shared" ca="1" si="10"/>
        <v>357</v>
      </c>
      <c r="AR88" s="99" t="s">
        <v>136</v>
      </c>
      <c r="AS88" s="281" t="str">
        <f>LEFT(RIGHT(C88,LEN(C88)-MIN(SEARCH({0,1,2,3,4,5,6,7,8,9},C88&amp;"0123456789"))+1),2)</f>
        <v>14</v>
      </c>
      <c r="AT88" s="99">
        <v>3</v>
      </c>
      <c r="AU88" s="99" t="str">
        <f>LEFT(RIGHT(C88,LEN(C88)-MIN(SEARCH({0,1,2,3,4,5,6,7,8,9},C88&amp;"0123456789"))+1),5)</f>
        <v>14.02</v>
      </c>
      <c r="AV88" s="99" t="str">
        <f t="shared" si="11"/>
        <v>MI</v>
      </c>
    </row>
    <row r="89" spans="1:48" s="99" customFormat="1" ht="21" customHeight="1" x14ac:dyDescent="0.35">
      <c r="A89" s="99">
        <v>421</v>
      </c>
      <c r="B89" s="126" t="str">
        <f t="shared" si="6"/>
        <v>0-304L/FH-001X770</v>
      </c>
      <c r="C89" s="126" t="s">
        <v>2993</v>
      </c>
      <c r="D89" s="126" t="s">
        <v>13</v>
      </c>
      <c r="E89" s="143" t="s">
        <v>2794</v>
      </c>
      <c r="F89" s="143" t="s">
        <v>2795</v>
      </c>
      <c r="G89" s="126" t="s">
        <v>230</v>
      </c>
      <c r="H89" s="126" t="s">
        <v>65</v>
      </c>
      <c r="I89" s="127">
        <v>2.92</v>
      </c>
      <c r="J89" s="127">
        <v>1</v>
      </c>
      <c r="K89" s="127"/>
      <c r="L89" s="127"/>
      <c r="M89" s="144">
        <v>770</v>
      </c>
      <c r="N89" s="129">
        <v>10.51</v>
      </c>
      <c r="O89" s="129">
        <v>10.51</v>
      </c>
      <c r="P89" s="129" t="s">
        <v>116</v>
      </c>
      <c r="Q89" s="130" t="s">
        <v>2987</v>
      </c>
      <c r="R89" s="131"/>
      <c r="S89" s="131"/>
      <c r="T89" s="132">
        <v>44606</v>
      </c>
      <c r="U89" s="132">
        <v>44606</v>
      </c>
      <c r="V89" s="132"/>
      <c r="W89" s="132"/>
      <c r="X89" s="132"/>
      <c r="Y89" s="133"/>
      <c r="Z89" s="126" t="s">
        <v>64</v>
      </c>
      <c r="AA89" s="134" t="s">
        <v>154</v>
      </c>
      <c r="AB89" s="134" t="s">
        <v>1246</v>
      </c>
      <c r="AC89" s="134"/>
      <c r="AD89" s="134">
        <v>44496</v>
      </c>
      <c r="AE89" s="134"/>
      <c r="AF89" s="134">
        <f t="shared" ca="1" si="7"/>
        <v>44963</v>
      </c>
      <c r="AG89" s="126">
        <f t="shared" ca="1" si="8"/>
        <v>467</v>
      </c>
      <c r="AH89" s="126" t="str">
        <f t="shared" si="9"/>
        <v/>
      </c>
      <c r="AI89" s="134"/>
      <c r="AJ89" s="143" t="s">
        <v>2777</v>
      </c>
      <c r="AK89" s="129">
        <v>10.51</v>
      </c>
      <c r="AL89" s="129">
        <v>10.52</v>
      </c>
      <c r="AM89" s="129">
        <v>10.544999999999998</v>
      </c>
      <c r="AN89" s="129">
        <v>10.549999999999999</v>
      </c>
      <c r="AO89" s="126">
        <f t="shared" ca="1" si="10"/>
        <v>357</v>
      </c>
      <c r="AR89" s="99" t="s">
        <v>136</v>
      </c>
      <c r="AS89" s="281" t="str">
        <f>LEFT(RIGHT(C89,LEN(C89)-MIN(SEARCH({0,1,2,3,4,5,6,7,8,9},C89&amp;"0123456789"))+1),2)</f>
        <v>14</v>
      </c>
      <c r="AT89" s="99">
        <v>3</v>
      </c>
      <c r="AU89" s="99" t="str">
        <f>LEFT(RIGHT(C89,LEN(C89)-MIN(SEARCH({0,1,2,3,4,5,6,7,8,9},C89&amp;"0123456789"))+1),5)</f>
        <v>14.02</v>
      </c>
      <c r="AV89" s="99" t="str">
        <f t="shared" si="11"/>
        <v>MI</v>
      </c>
    </row>
    <row r="90" spans="1:48" s="99" customFormat="1" ht="21" customHeight="1" x14ac:dyDescent="0.35">
      <c r="A90" s="99">
        <v>421</v>
      </c>
      <c r="B90" s="126" t="str">
        <f t="shared" si="6"/>
        <v>0-304L/FH-001X770</v>
      </c>
      <c r="C90" s="126" t="s">
        <v>2995</v>
      </c>
      <c r="D90" s="126" t="s">
        <v>13</v>
      </c>
      <c r="E90" s="143" t="s">
        <v>2796</v>
      </c>
      <c r="F90" s="143" t="s">
        <v>2797</v>
      </c>
      <c r="G90" s="126" t="s">
        <v>230</v>
      </c>
      <c r="H90" s="126" t="s">
        <v>65</v>
      </c>
      <c r="I90" s="127">
        <v>2.95</v>
      </c>
      <c r="J90" s="127">
        <v>0.9</v>
      </c>
      <c r="K90" s="127"/>
      <c r="L90" s="127"/>
      <c r="M90" s="144">
        <v>770</v>
      </c>
      <c r="N90" s="129">
        <v>10.145</v>
      </c>
      <c r="O90" s="129">
        <v>10.145</v>
      </c>
      <c r="P90" s="129" t="s">
        <v>116</v>
      </c>
      <c r="Q90" s="130" t="s">
        <v>1206</v>
      </c>
      <c r="R90" s="131"/>
      <c r="S90" s="131"/>
      <c r="T90" s="132">
        <v>44606</v>
      </c>
      <c r="U90" s="132">
        <v>44607</v>
      </c>
      <c r="V90" s="132"/>
      <c r="W90" s="132"/>
      <c r="X90" s="132"/>
      <c r="Y90" s="133"/>
      <c r="Z90" s="126" t="s">
        <v>64</v>
      </c>
      <c r="AA90" s="134" t="s">
        <v>154</v>
      </c>
      <c r="AB90" s="134" t="s">
        <v>1246</v>
      </c>
      <c r="AC90" s="134"/>
      <c r="AD90" s="134">
        <v>44496</v>
      </c>
      <c r="AE90" s="134"/>
      <c r="AF90" s="134">
        <f t="shared" ca="1" si="7"/>
        <v>44963</v>
      </c>
      <c r="AG90" s="126">
        <f t="shared" ca="1" si="8"/>
        <v>467</v>
      </c>
      <c r="AH90" s="126" t="str">
        <f t="shared" si="9"/>
        <v/>
      </c>
      <c r="AI90" s="134"/>
      <c r="AJ90" s="143" t="s">
        <v>2798</v>
      </c>
      <c r="AK90" s="129">
        <v>10.145</v>
      </c>
      <c r="AL90" s="129">
        <v>10.154999999999999</v>
      </c>
      <c r="AM90" s="129">
        <v>10.179999999999998</v>
      </c>
      <c r="AN90" s="129">
        <v>10.184999999999999</v>
      </c>
      <c r="AO90" s="126">
        <f t="shared" ca="1" si="10"/>
        <v>356</v>
      </c>
      <c r="AR90" s="99" t="s">
        <v>136</v>
      </c>
      <c r="AS90" s="281" t="str">
        <f>LEFT(RIGHT(C90,LEN(C90)-MIN(SEARCH({0,1,2,3,4,5,6,7,8,9},C90&amp;"0123456789"))+1),2)</f>
        <v>15</v>
      </c>
      <c r="AT90" s="99">
        <v>1</v>
      </c>
      <c r="AU90" s="99" t="str">
        <f>LEFT(RIGHT(C90,LEN(C90)-MIN(SEARCH({0,1,2,3,4,5,6,7,8,9},C90&amp;"0123456789"))+1),5)</f>
        <v>15.02</v>
      </c>
      <c r="AV90" s="99" t="str">
        <f t="shared" si="11"/>
        <v>MI</v>
      </c>
    </row>
    <row r="91" spans="1:48" s="99" customFormat="1" ht="21" customHeight="1" x14ac:dyDescent="0.35">
      <c r="A91" s="99">
        <v>421</v>
      </c>
      <c r="B91" s="126" t="str">
        <f t="shared" si="6"/>
        <v>0-304L/FH-001X770</v>
      </c>
      <c r="C91" s="126" t="s">
        <v>2995</v>
      </c>
      <c r="D91" s="126" t="s">
        <v>13</v>
      </c>
      <c r="E91" s="143" t="s">
        <v>2804</v>
      </c>
      <c r="F91" s="143" t="s">
        <v>2805</v>
      </c>
      <c r="G91" s="126" t="s">
        <v>230</v>
      </c>
      <c r="H91" s="126" t="s">
        <v>65</v>
      </c>
      <c r="I91" s="127">
        <v>2.74</v>
      </c>
      <c r="J91" s="127">
        <v>0.8</v>
      </c>
      <c r="K91" s="127"/>
      <c r="L91" s="127"/>
      <c r="M91" s="144">
        <v>770</v>
      </c>
      <c r="N91" s="129">
        <v>10.555</v>
      </c>
      <c r="O91" s="129">
        <v>10.555</v>
      </c>
      <c r="P91" s="129" t="s">
        <v>116</v>
      </c>
      <c r="Q91" s="130" t="s">
        <v>2987</v>
      </c>
      <c r="R91" s="131"/>
      <c r="S91" s="131"/>
      <c r="T91" s="132">
        <v>44607</v>
      </c>
      <c r="U91" s="132">
        <v>44607</v>
      </c>
      <c r="V91" s="132"/>
      <c r="W91" s="132"/>
      <c r="X91" s="132"/>
      <c r="Y91" s="133"/>
      <c r="Z91" s="126" t="s">
        <v>64</v>
      </c>
      <c r="AA91" s="134" t="s">
        <v>154</v>
      </c>
      <c r="AB91" s="134" t="s">
        <v>1190</v>
      </c>
      <c r="AC91" s="134"/>
      <c r="AD91" s="134">
        <v>44496</v>
      </c>
      <c r="AE91" s="134"/>
      <c r="AF91" s="134">
        <f t="shared" ca="1" si="7"/>
        <v>44963</v>
      </c>
      <c r="AG91" s="126">
        <f t="shared" ca="1" si="8"/>
        <v>467</v>
      </c>
      <c r="AH91" s="126" t="str">
        <f t="shared" si="9"/>
        <v/>
      </c>
      <c r="AI91" s="134"/>
      <c r="AJ91" s="143" t="s">
        <v>2579</v>
      </c>
      <c r="AK91" s="129">
        <v>10.555</v>
      </c>
      <c r="AL91" s="129">
        <v>10.565</v>
      </c>
      <c r="AM91" s="129">
        <v>10.589999999999998</v>
      </c>
      <c r="AN91" s="129">
        <v>10.594999999999999</v>
      </c>
      <c r="AO91" s="126">
        <f t="shared" ca="1" si="10"/>
        <v>356</v>
      </c>
      <c r="AR91" s="99" t="s">
        <v>136</v>
      </c>
      <c r="AS91" s="281" t="str">
        <f>LEFT(RIGHT(C91,LEN(C91)-MIN(SEARCH({0,1,2,3,4,5,6,7,8,9},C91&amp;"0123456789"))+1),2)</f>
        <v>15</v>
      </c>
      <c r="AT91" s="99">
        <v>1</v>
      </c>
      <c r="AU91" s="99" t="str">
        <f>LEFT(RIGHT(C91,LEN(C91)-MIN(SEARCH({0,1,2,3,4,5,6,7,8,9},C91&amp;"0123456789"))+1),5)</f>
        <v>15.02</v>
      </c>
      <c r="AV91" s="99" t="str">
        <f t="shared" si="11"/>
        <v>MI</v>
      </c>
    </row>
    <row r="92" spans="1:48" s="99" customFormat="1" ht="21" customHeight="1" x14ac:dyDescent="0.35">
      <c r="A92" s="99">
        <v>421</v>
      </c>
      <c r="B92" s="126" t="str">
        <f t="shared" si="6"/>
        <v>0-304L/FH-001X770</v>
      </c>
      <c r="C92" s="126" t="s">
        <v>2995</v>
      </c>
      <c r="D92" s="126" t="s">
        <v>13</v>
      </c>
      <c r="E92" s="143" t="s">
        <v>2806</v>
      </c>
      <c r="F92" s="143" t="s">
        <v>2807</v>
      </c>
      <c r="G92" s="126" t="s">
        <v>230</v>
      </c>
      <c r="H92" s="126" t="s">
        <v>65</v>
      </c>
      <c r="I92" s="127">
        <v>2.81</v>
      </c>
      <c r="J92" s="127">
        <v>0.9</v>
      </c>
      <c r="K92" s="127"/>
      <c r="L92" s="127"/>
      <c r="M92" s="144">
        <v>770</v>
      </c>
      <c r="N92" s="129">
        <v>12.195</v>
      </c>
      <c r="O92" s="129">
        <v>12.195</v>
      </c>
      <c r="P92" s="129" t="s">
        <v>116</v>
      </c>
      <c r="Q92" s="130" t="s">
        <v>2987</v>
      </c>
      <c r="R92" s="131"/>
      <c r="S92" s="131"/>
      <c r="T92" s="132">
        <v>44607</v>
      </c>
      <c r="U92" s="132">
        <v>44607</v>
      </c>
      <c r="V92" s="132"/>
      <c r="W92" s="132"/>
      <c r="X92" s="132"/>
      <c r="Y92" s="133"/>
      <c r="Z92" s="126" t="s">
        <v>64</v>
      </c>
      <c r="AA92" s="134" t="s">
        <v>154</v>
      </c>
      <c r="AB92" s="134" t="s">
        <v>1190</v>
      </c>
      <c r="AC92" s="134"/>
      <c r="AD92" s="134">
        <v>44496</v>
      </c>
      <c r="AE92" s="134"/>
      <c r="AF92" s="134">
        <f t="shared" ca="1" si="7"/>
        <v>44963</v>
      </c>
      <c r="AG92" s="126">
        <f t="shared" ca="1" si="8"/>
        <v>467</v>
      </c>
      <c r="AH92" s="126" t="str">
        <f t="shared" si="9"/>
        <v/>
      </c>
      <c r="AI92" s="134"/>
      <c r="AJ92" s="143" t="s">
        <v>1191</v>
      </c>
      <c r="AK92" s="129">
        <v>12.195</v>
      </c>
      <c r="AL92" s="129">
        <v>12.205</v>
      </c>
      <c r="AM92" s="129">
        <v>12.229999999999999</v>
      </c>
      <c r="AN92" s="129">
        <v>12.234999999999999</v>
      </c>
      <c r="AO92" s="126">
        <f t="shared" ca="1" si="10"/>
        <v>356</v>
      </c>
      <c r="AR92" s="99" t="s">
        <v>136</v>
      </c>
      <c r="AS92" s="281" t="str">
        <f>LEFT(RIGHT(C92,LEN(C92)-MIN(SEARCH({0,1,2,3,4,5,6,7,8,9},C92&amp;"0123456789"))+1),2)</f>
        <v>15</v>
      </c>
      <c r="AT92" s="99">
        <v>1</v>
      </c>
      <c r="AU92" s="99" t="str">
        <f>LEFT(RIGHT(C92,LEN(C92)-MIN(SEARCH({0,1,2,3,4,5,6,7,8,9},C92&amp;"0123456789"))+1),5)</f>
        <v>15.02</v>
      </c>
      <c r="AV92" s="99" t="str">
        <f t="shared" si="11"/>
        <v>MI</v>
      </c>
    </row>
    <row r="93" spans="1:48" s="99" customFormat="1" ht="21" customHeight="1" x14ac:dyDescent="0.35">
      <c r="A93" s="99">
        <v>424</v>
      </c>
      <c r="B93" s="126" t="str">
        <f t="shared" si="6"/>
        <v>0-304L/FH-002X774</v>
      </c>
      <c r="C93" s="126" t="s">
        <v>2995</v>
      </c>
      <c r="D93" s="126" t="s">
        <v>13</v>
      </c>
      <c r="E93" s="143" t="s">
        <v>2808</v>
      </c>
      <c r="F93" s="143" t="s">
        <v>2809</v>
      </c>
      <c r="G93" s="126" t="s">
        <v>230</v>
      </c>
      <c r="H93" s="126" t="s">
        <v>65</v>
      </c>
      <c r="I93" s="127">
        <v>3.78</v>
      </c>
      <c r="J93" s="127">
        <v>1.5</v>
      </c>
      <c r="K93" s="127"/>
      <c r="L93" s="127"/>
      <c r="M93" s="144">
        <v>774</v>
      </c>
      <c r="N93" s="129">
        <v>10.4</v>
      </c>
      <c r="O93" s="129">
        <v>10.4</v>
      </c>
      <c r="P93" s="129" t="s">
        <v>116</v>
      </c>
      <c r="Q93" s="282" t="s">
        <v>1143</v>
      </c>
      <c r="R93" s="131"/>
      <c r="S93" s="131"/>
      <c r="T93" s="132">
        <v>44607</v>
      </c>
      <c r="U93" s="132">
        <v>44607</v>
      </c>
      <c r="V93" s="132"/>
      <c r="W93" s="132"/>
      <c r="X93" s="132"/>
      <c r="Y93" s="133" t="s">
        <v>1395</v>
      </c>
      <c r="Z93" s="126" t="s">
        <v>64</v>
      </c>
      <c r="AA93" s="134" t="s">
        <v>154</v>
      </c>
      <c r="AB93" s="134" t="s">
        <v>1330</v>
      </c>
      <c r="AC93" s="134"/>
      <c r="AD93" s="134">
        <v>44554</v>
      </c>
      <c r="AE93" s="134"/>
      <c r="AF93" s="134">
        <f t="shared" ca="1" si="7"/>
        <v>44963</v>
      </c>
      <c r="AG93" s="126">
        <f t="shared" ca="1" si="8"/>
        <v>409</v>
      </c>
      <c r="AH93" s="126" t="str">
        <f t="shared" si="9"/>
        <v/>
      </c>
      <c r="AI93" s="134"/>
      <c r="AJ93" s="143" t="s">
        <v>2670</v>
      </c>
      <c r="AK93" s="129">
        <v>10.4</v>
      </c>
      <c r="AL93" s="129">
        <v>10.41</v>
      </c>
      <c r="AM93" s="129">
        <v>10.434999999999999</v>
      </c>
      <c r="AN93" s="129">
        <v>10.44</v>
      </c>
      <c r="AO93" s="126">
        <f t="shared" ca="1" si="10"/>
        <v>356</v>
      </c>
      <c r="AR93" s="99" t="s">
        <v>136</v>
      </c>
      <c r="AS93" s="281" t="str">
        <f>LEFT(RIGHT(C93,LEN(C93)-MIN(SEARCH({0,1,2,3,4,5,6,7,8,9},C93&amp;"0123456789"))+1),2)</f>
        <v>15</v>
      </c>
      <c r="AT93" s="99">
        <v>2</v>
      </c>
      <c r="AU93" s="99" t="str">
        <f>LEFT(RIGHT(C93,LEN(C93)-MIN(SEARCH({0,1,2,3,4,5,6,7,8,9},C93&amp;"0123456789"))+1),5)</f>
        <v>15.02</v>
      </c>
      <c r="AV93" s="99" t="str">
        <f t="shared" si="11"/>
        <v>MI</v>
      </c>
    </row>
    <row r="94" spans="1:48" s="99" customFormat="1" ht="21" customHeight="1" x14ac:dyDescent="0.35">
      <c r="A94" s="99">
        <v>422</v>
      </c>
      <c r="B94" s="126" t="str">
        <f t="shared" si="6"/>
        <v>0-304L/FH-001X768</v>
      </c>
      <c r="C94" s="126" t="s">
        <v>2995</v>
      </c>
      <c r="D94" s="126" t="s">
        <v>13</v>
      </c>
      <c r="E94" s="143" t="s">
        <v>2791</v>
      </c>
      <c r="F94" s="143" t="s">
        <v>2792</v>
      </c>
      <c r="G94" s="126" t="s">
        <v>230</v>
      </c>
      <c r="H94" s="126" t="s">
        <v>65</v>
      </c>
      <c r="I94" s="127">
        <v>2.8</v>
      </c>
      <c r="J94" s="127">
        <v>0.8</v>
      </c>
      <c r="K94" s="127"/>
      <c r="L94" s="127"/>
      <c r="M94" s="144">
        <v>768</v>
      </c>
      <c r="N94" s="129">
        <v>9.99</v>
      </c>
      <c r="O94" s="129">
        <v>9.99</v>
      </c>
      <c r="P94" s="129" t="s">
        <v>116</v>
      </c>
      <c r="Q94" s="130" t="s">
        <v>2987</v>
      </c>
      <c r="R94" s="131"/>
      <c r="S94" s="131"/>
      <c r="T94" s="132">
        <v>44606</v>
      </c>
      <c r="U94" s="132">
        <v>44607</v>
      </c>
      <c r="V94" s="132"/>
      <c r="W94" s="132"/>
      <c r="X94" s="132"/>
      <c r="Y94" s="133"/>
      <c r="Z94" s="126" t="s">
        <v>64</v>
      </c>
      <c r="AA94" s="134" t="s">
        <v>154</v>
      </c>
      <c r="AB94" s="134" t="s">
        <v>1330</v>
      </c>
      <c r="AC94" s="134"/>
      <c r="AD94" s="134">
        <v>44516</v>
      </c>
      <c r="AE94" s="134"/>
      <c r="AF94" s="134">
        <f t="shared" ca="1" si="7"/>
        <v>44963</v>
      </c>
      <c r="AG94" s="126">
        <f t="shared" ca="1" si="8"/>
        <v>447</v>
      </c>
      <c r="AH94" s="126" t="str">
        <f t="shared" si="9"/>
        <v/>
      </c>
      <c r="AI94" s="134"/>
      <c r="AJ94" s="143" t="s">
        <v>2793</v>
      </c>
      <c r="AK94" s="129">
        <v>9.99</v>
      </c>
      <c r="AL94" s="129">
        <v>10</v>
      </c>
      <c r="AM94" s="129">
        <v>10.024999999999999</v>
      </c>
      <c r="AN94" s="129">
        <v>10.029999999999999</v>
      </c>
      <c r="AO94" s="126">
        <f t="shared" ca="1" si="10"/>
        <v>356</v>
      </c>
      <c r="AR94" s="99" t="s">
        <v>136</v>
      </c>
      <c r="AS94" s="281" t="str">
        <f>LEFT(RIGHT(C94,LEN(C94)-MIN(SEARCH({0,1,2,3,4,5,6,7,8,9},C94&amp;"0123456789"))+1),2)</f>
        <v>15</v>
      </c>
      <c r="AT94" s="99">
        <v>2</v>
      </c>
      <c r="AU94" s="99" t="str">
        <f>LEFT(RIGHT(C94,LEN(C94)-MIN(SEARCH({0,1,2,3,4,5,6,7,8,9},C94&amp;"0123456789"))+1),5)</f>
        <v>15.02</v>
      </c>
      <c r="AV94" s="99" t="str">
        <f t="shared" si="11"/>
        <v>MI</v>
      </c>
    </row>
    <row r="95" spans="1:48" s="99" customFormat="1" ht="21" customHeight="1" x14ac:dyDescent="0.35">
      <c r="A95" s="99">
        <v>421</v>
      </c>
      <c r="B95" s="126" t="str">
        <f t="shared" si="6"/>
        <v>0-304L/FH-001X770</v>
      </c>
      <c r="C95" s="126" t="s">
        <v>2995</v>
      </c>
      <c r="D95" s="126" t="s">
        <v>13</v>
      </c>
      <c r="E95" s="143" t="s">
        <v>2799</v>
      </c>
      <c r="F95" s="143" t="s">
        <v>2800</v>
      </c>
      <c r="G95" s="126" t="s">
        <v>230</v>
      </c>
      <c r="H95" s="126" t="s">
        <v>65</v>
      </c>
      <c r="I95" s="127">
        <v>3.5</v>
      </c>
      <c r="J95" s="127">
        <v>1.2</v>
      </c>
      <c r="K95" s="127"/>
      <c r="L95" s="127"/>
      <c r="M95" s="144">
        <v>770</v>
      </c>
      <c r="N95" s="129">
        <v>8.9499999999999993</v>
      </c>
      <c r="O95" s="129">
        <v>8.9499999999999993</v>
      </c>
      <c r="P95" s="129" t="s">
        <v>116</v>
      </c>
      <c r="Q95" s="130" t="s">
        <v>2996</v>
      </c>
      <c r="R95" s="131"/>
      <c r="S95" s="131"/>
      <c r="T95" s="132">
        <v>44606</v>
      </c>
      <c r="U95" s="132">
        <v>44607</v>
      </c>
      <c r="V95" s="132"/>
      <c r="W95" s="132"/>
      <c r="X95" s="132"/>
      <c r="Y95" s="133"/>
      <c r="Z95" s="126" t="s">
        <v>64</v>
      </c>
      <c r="AA95" s="134" t="s">
        <v>154</v>
      </c>
      <c r="AB95" s="134" t="s">
        <v>1246</v>
      </c>
      <c r="AC95" s="134"/>
      <c r="AD95" s="134">
        <v>44496</v>
      </c>
      <c r="AE95" s="134"/>
      <c r="AF95" s="134">
        <f t="shared" ca="1" si="7"/>
        <v>44963</v>
      </c>
      <c r="AG95" s="126">
        <f t="shared" ca="1" si="8"/>
        <v>467</v>
      </c>
      <c r="AH95" s="126" t="str">
        <f t="shared" si="9"/>
        <v/>
      </c>
      <c r="AI95" s="134"/>
      <c r="AJ95" s="143" t="s">
        <v>2801</v>
      </c>
      <c r="AK95" s="129">
        <v>8.9499999999999993</v>
      </c>
      <c r="AL95" s="129">
        <v>8.9600000000000009</v>
      </c>
      <c r="AM95" s="129">
        <v>8.9849999999999994</v>
      </c>
      <c r="AN95" s="129">
        <v>8.99</v>
      </c>
      <c r="AO95" s="126">
        <f t="shared" ca="1" si="10"/>
        <v>356</v>
      </c>
      <c r="AR95" s="99" t="s">
        <v>136</v>
      </c>
      <c r="AS95" s="281" t="str">
        <f>LEFT(RIGHT(C95,LEN(C95)-MIN(SEARCH({0,1,2,3,4,5,6,7,8,9},C95&amp;"0123456789"))+1),2)</f>
        <v>15</v>
      </c>
      <c r="AT95" s="99">
        <v>3</v>
      </c>
      <c r="AU95" s="99" t="str">
        <f>LEFT(RIGHT(C95,LEN(C95)-MIN(SEARCH({0,1,2,3,4,5,6,7,8,9},C95&amp;"0123456789"))+1),5)</f>
        <v>15.02</v>
      </c>
      <c r="AV95" s="99" t="str">
        <f t="shared" si="11"/>
        <v>MI</v>
      </c>
    </row>
    <row r="96" spans="1:48" s="99" customFormat="1" ht="21" customHeight="1" x14ac:dyDescent="0.35">
      <c r="A96" s="99">
        <v>421</v>
      </c>
      <c r="B96" s="126" t="str">
        <f t="shared" si="6"/>
        <v>0-304L/FH-001X770</v>
      </c>
      <c r="C96" s="126" t="s">
        <v>2995</v>
      </c>
      <c r="D96" s="126" t="s">
        <v>13</v>
      </c>
      <c r="E96" s="143" t="s">
        <v>2818</v>
      </c>
      <c r="F96" s="143" t="s">
        <v>2819</v>
      </c>
      <c r="G96" s="126" t="s">
        <v>230</v>
      </c>
      <c r="H96" s="126" t="s">
        <v>65</v>
      </c>
      <c r="I96" s="127">
        <v>2.79</v>
      </c>
      <c r="J96" s="127">
        <v>0.8</v>
      </c>
      <c r="K96" s="127"/>
      <c r="L96" s="127"/>
      <c r="M96" s="144">
        <v>770</v>
      </c>
      <c r="N96" s="129">
        <v>10.515000000000001</v>
      </c>
      <c r="O96" s="129">
        <v>10.515000000000001</v>
      </c>
      <c r="P96" s="129" t="s">
        <v>116</v>
      </c>
      <c r="Q96" s="130" t="s">
        <v>1206</v>
      </c>
      <c r="R96" s="131"/>
      <c r="S96" s="131"/>
      <c r="T96" s="132">
        <v>44607</v>
      </c>
      <c r="U96" s="132">
        <v>44607</v>
      </c>
      <c r="V96" s="132"/>
      <c r="W96" s="132"/>
      <c r="X96" s="132"/>
      <c r="Y96" s="133"/>
      <c r="Z96" s="126" t="s">
        <v>64</v>
      </c>
      <c r="AA96" s="134" t="s">
        <v>154</v>
      </c>
      <c r="AB96" s="134" t="s">
        <v>1239</v>
      </c>
      <c r="AC96" s="134"/>
      <c r="AD96" s="134">
        <v>44496</v>
      </c>
      <c r="AE96" s="134"/>
      <c r="AF96" s="134">
        <f t="shared" ca="1" si="7"/>
        <v>44963</v>
      </c>
      <c r="AG96" s="126">
        <f t="shared" ca="1" si="8"/>
        <v>467</v>
      </c>
      <c r="AH96" s="126" t="str">
        <f t="shared" si="9"/>
        <v/>
      </c>
      <c r="AI96" s="134"/>
      <c r="AJ96" s="143" t="s">
        <v>2820</v>
      </c>
      <c r="AK96" s="129">
        <v>10.515000000000001</v>
      </c>
      <c r="AL96" s="129">
        <v>10.525</v>
      </c>
      <c r="AM96" s="129">
        <v>10.549999999999999</v>
      </c>
      <c r="AN96" s="129">
        <v>10.555</v>
      </c>
      <c r="AO96" s="126">
        <f t="shared" ca="1" si="10"/>
        <v>356</v>
      </c>
      <c r="AR96" s="99" t="s">
        <v>136</v>
      </c>
      <c r="AS96" s="281" t="str">
        <f>LEFT(RIGHT(C96,LEN(C96)-MIN(SEARCH({0,1,2,3,4,5,6,7,8,9},C96&amp;"0123456789"))+1),2)</f>
        <v>15</v>
      </c>
      <c r="AT96" s="99">
        <v>3</v>
      </c>
      <c r="AU96" s="99" t="str">
        <f>LEFT(RIGHT(C96,LEN(C96)-MIN(SEARCH({0,1,2,3,4,5,6,7,8,9},C96&amp;"0123456789"))+1),5)</f>
        <v>15.02</v>
      </c>
      <c r="AV96" s="99" t="str">
        <f t="shared" si="11"/>
        <v>MI</v>
      </c>
    </row>
    <row r="97" spans="1:59" s="99" customFormat="1" ht="21" customHeight="1" x14ac:dyDescent="0.35">
      <c r="A97" s="99">
        <v>424</v>
      </c>
      <c r="B97" s="126" t="str">
        <f t="shared" si="6"/>
        <v>0-304/FH-002X771</v>
      </c>
      <c r="C97" s="126" t="s">
        <v>2995</v>
      </c>
      <c r="D97" s="126" t="s">
        <v>13</v>
      </c>
      <c r="E97" s="143" t="s">
        <v>2821</v>
      </c>
      <c r="F97" s="143" t="s">
        <v>2822</v>
      </c>
      <c r="G97" s="126">
        <v>304</v>
      </c>
      <c r="H97" s="126" t="s">
        <v>65</v>
      </c>
      <c r="I97" s="127">
        <v>3.9</v>
      </c>
      <c r="J97" s="127">
        <v>2</v>
      </c>
      <c r="K97" s="127"/>
      <c r="L97" s="127"/>
      <c r="M97" s="144">
        <v>771</v>
      </c>
      <c r="N97" s="129">
        <v>10.225</v>
      </c>
      <c r="O97" s="129">
        <v>10.225</v>
      </c>
      <c r="P97" s="129" t="s">
        <v>116</v>
      </c>
      <c r="Q97" s="130" t="s">
        <v>1206</v>
      </c>
      <c r="R97" s="131"/>
      <c r="S97" s="131"/>
      <c r="T97" s="132">
        <v>44607</v>
      </c>
      <c r="U97" s="132">
        <v>44607</v>
      </c>
      <c r="V97" s="132"/>
      <c r="W97" s="132"/>
      <c r="X97" s="132"/>
      <c r="Y97" s="133" t="s">
        <v>1395</v>
      </c>
      <c r="Z97" s="126" t="s">
        <v>64</v>
      </c>
      <c r="AA97" s="134" t="s">
        <v>154</v>
      </c>
      <c r="AB97" s="134" t="s">
        <v>1516</v>
      </c>
      <c r="AC97" s="134"/>
      <c r="AD97" s="134">
        <v>44554</v>
      </c>
      <c r="AE97" s="134"/>
      <c r="AF97" s="134">
        <f t="shared" ca="1" si="7"/>
        <v>44963</v>
      </c>
      <c r="AG97" s="126">
        <f t="shared" ca="1" si="8"/>
        <v>409</v>
      </c>
      <c r="AH97" s="126" t="str">
        <f t="shared" si="9"/>
        <v/>
      </c>
      <c r="AI97" s="134"/>
      <c r="AJ97" s="143" t="s">
        <v>1736</v>
      </c>
      <c r="AK97" s="129">
        <v>10.225</v>
      </c>
      <c r="AL97" s="129">
        <v>10.234999999999999</v>
      </c>
      <c r="AM97" s="129">
        <v>10.259999999999998</v>
      </c>
      <c r="AN97" s="129">
        <v>10.264999999999999</v>
      </c>
      <c r="AO97" s="126">
        <f t="shared" ca="1" si="10"/>
        <v>356</v>
      </c>
      <c r="AR97" s="99" t="s">
        <v>136</v>
      </c>
      <c r="AS97" s="281" t="str">
        <f>LEFT(RIGHT(C97,LEN(C97)-MIN(SEARCH({0,1,2,3,4,5,6,7,8,9},C97&amp;"0123456789"))+1),2)</f>
        <v>15</v>
      </c>
      <c r="AT97" s="99">
        <v>3</v>
      </c>
      <c r="AU97" s="99" t="str">
        <f>LEFT(RIGHT(C97,LEN(C97)-MIN(SEARCH({0,1,2,3,4,5,6,7,8,9},C97&amp;"0123456789"))+1),5)</f>
        <v>15.02</v>
      </c>
      <c r="AV97" s="99" t="str">
        <f t="shared" si="11"/>
        <v>MI</v>
      </c>
    </row>
    <row r="98" spans="1:59" s="99" customFormat="1" ht="21" customHeight="1" x14ac:dyDescent="0.35">
      <c r="A98" s="99">
        <v>422</v>
      </c>
      <c r="B98" s="126" t="str">
        <f t="shared" si="6"/>
        <v>0-304L/FH-001X770</v>
      </c>
      <c r="C98" s="126" t="s">
        <v>2995</v>
      </c>
      <c r="D98" s="126" t="s">
        <v>13</v>
      </c>
      <c r="E98" s="143" t="s">
        <v>2823</v>
      </c>
      <c r="F98" s="143" t="s">
        <v>2824</v>
      </c>
      <c r="G98" s="126" t="s">
        <v>230</v>
      </c>
      <c r="H98" s="126" t="s">
        <v>65</v>
      </c>
      <c r="I98" s="127">
        <v>2.88</v>
      </c>
      <c r="J98" s="127">
        <v>0.8</v>
      </c>
      <c r="K98" s="127"/>
      <c r="L98" s="127"/>
      <c r="M98" s="144">
        <v>770</v>
      </c>
      <c r="N98" s="129">
        <v>8.2850000000000001</v>
      </c>
      <c r="O98" s="129">
        <v>8.2850000000000001</v>
      </c>
      <c r="P98" s="129" t="s">
        <v>116</v>
      </c>
      <c r="Q98" s="130" t="s">
        <v>1206</v>
      </c>
      <c r="R98" s="131"/>
      <c r="S98" s="131"/>
      <c r="T98" s="132">
        <v>44607</v>
      </c>
      <c r="U98" s="132">
        <v>44607</v>
      </c>
      <c r="V98" s="132"/>
      <c r="W98" s="132"/>
      <c r="X98" s="132"/>
      <c r="Y98" s="133"/>
      <c r="Z98" s="126" t="s">
        <v>64</v>
      </c>
      <c r="AA98" s="134" t="s">
        <v>154</v>
      </c>
      <c r="AB98" s="134" t="s">
        <v>1330</v>
      </c>
      <c r="AC98" s="134"/>
      <c r="AD98" s="134">
        <v>44516</v>
      </c>
      <c r="AE98" s="134"/>
      <c r="AF98" s="134">
        <f t="shared" ca="1" si="7"/>
        <v>44963</v>
      </c>
      <c r="AG98" s="126">
        <f t="shared" ca="1" si="8"/>
        <v>447</v>
      </c>
      <c r="AH98" s="126" t="str">
        <f t="shared" si="9"/>
        <v/>
      </c>
      <c r="AI98" s="134"/>
      <c r="AJ98" s="143" t="s">
        <v>2688</v>
      </c>
      <c r="AK98" s="129">
        <v>8.2850000000000001</v>
      </c>
      <c r="AL98" s="129">
        <v>8.2949999999999999</v>
      </c>
      <c r="AM98" s="129">
        <v>8.3199999999999985</v>
      </c>
      <c r="AN98" s="129">
        <v>8.3249999999999993</v>
      </c>
      <c r="AO98" s="126">
        <f t="shared" ca="1" si="10"/>
        <v>356</v>
      </c>
      <c r="AR98" s="99" t="s">
        <v>136</v>
      </c>
      <c r="AS98" s="281" t="str">
        <f>LEFT(RIGHT(C98,LEN(C98)-MIN(SEARCH({0,1,2,3,4,5,6,7,8,9},C98&amp;"0123456789"))+1),2)</f>
        <v>15</v>
      </c>
      <c r="AT98" s="99">
        <v>3</v>
      </c>
      <c r="AU98" s="99" t="str">
        <f>LEFT(RIGHT(C98,LEN(C98)-MIN(SEARCH({0,1,2,3,4,5,6,7,8,9},C98&amp;"0123456789"))+1),5)</f>
        <v>15.02</v>
      </c>
      <c r="AV98" s="99" t="str">
        <f t="shared" si="11"/>
        <v>MI</v>
      </c>
    </row>
    <row r="99" spans="1:59" s="99" customFormat="1" ht="21" customHeight="1" x14ac:dyDescent="0.35">
      <c r="A99" s="99">
        <v>422</v>
      </c>
      <c r="B99" s="126" t="str">
        <f t="shared" si="6"/>
        <v>0-304L/FH-001X766</v>
      </c>
      <c r="C99" s="126" t="s">
        <v>2997</v>
      </c>
      <c r="D99" s="126" t="s">
        <v>13</v>
      </c>
      <c r="E99" s="143" t="s">
        <v>2825</v>
      </c>
      <c r="F99" s="143" t="s">
        <v>2826</v>
      </c>
      <c r="G99" s="126" t="s">
        <v>230</v>
      </c>
      <c r="H99" s="126" t="s">
        <v>65</v>
      </c>
      <c r="I99" s="127">
        <v>2.88</v>
      </c>
      <c r="J99" s="127">
        <v>0.9</v>
      </c>
      <c r="K99" s="127"/>
      <c r="L99" s="127"/>
      <c r="M99" s="144">
        <v>766</v>
      </c>
      <c r="N99" s="129">
        <v>7.0049999999999999</v>
      </c>
      <c r="O99" s="129">
        <v>7.0049999999999999</v>
      </c>
      <c r="P99" s="129" t="s">
        <v>116</v>
      </c>
      <c r="Q99" s="130" t="s">
        <v>1206</v>
      </c>
      <c r="R99" s="131"/>
      <c r="S99" s="131"/>
      <c r="T99" s="132">
        <v>44607</v>
      </c>
      <c r="U99" s="132">
        <v>44608</v>
      </c>
      <c r="V99" s="132"/>
      <c r="W99" s="132"/>
      <c r="X99" s="132"/>
      <c r="Y99" s="133"/>
      <c r="Z99" s="126" t="s">
        <v>64</v>
      </c>
      <c r="AA99" s="134" t="s">
        <v>154</v>
      </c>
      <c r="AB99" s="134" t="s">
        <v>1296</v>
      </c>
      <c r="AC99" s="134"/>
      <c r="AD99" s="134">
        <v>44516</v>
      </c>
      <c r="AE99" s="134"/>
      <c r="AF99" s="134">
        <f t="shared" ca="1" si="7"/>
        <v>44963</v>
      </c>
      <c r="AG99" s="126">
        <f t="shared" ca="1" si="8"/>
        <v>447</v>
      </c>
      <c r="AH99" s="126" t="str">
        <f t="shared" si="9"/>
        <v/>
      </c>
      <c r="AI99" s="134"/>
      <c r="AJ99" s="143" t="s">
        <v>2708</v>
      </c>
      <c r="AK99" s="129">
        <v>7.0049999999999999</v>
      </c>
      <c r="AL99" s="129">
        <v>7.0149999999999997</v>
      </c>
      <c r="AM99" s="129">
        <v>7.04</v>
      </c>
      <c r="AN99" s="129">
        <v>7.0449999999999999</v>
      </c>
      <c r="AO99" s="126">
        <f t="shared" ca="1" si="10"/>
        <v>355</v>
      </c>
      <c r="AR99" s="99" t="s">
        <v>136</v>
      </c>
      <c r="AS99" s="281" t="str">
        <f>LEFT(RIGHT(C99,LEN(C99)-MIN(SEARCH({0,1,2,3,4,5,6,7,8,9},C99&amp;"0123456789"))+1),2)</f>
        <v>16</v>
      </c>
      <c r="AT99" s="99">
        <v>1</v>
      </c>
      <c r="AU99" s="99" t="str">
        <f>LEFT(RIGHT(C99,LEN(C99)-MIN(SEARCH({0,1,2,3,4,5,6,7,8,9},C99&amp;"0123456789"))+1),5)</f>
        <v>16.02</v>
      </c>
      <c r="AV99" s="99" t="str">
        <f t="shared" si="11"/>
        <v>MI</v>
      </c>
    </row>
    <row r="100" spans="1:59" s="99" customFormat="1" ht="21" customHeight="1" x14ac:dyDescent="0.35">
      <c r="A100" s="99">
        <v>402</v>
      </c>
      <c r="B100" s="126" t="str">
        <f t="shared" si="6"/>
        <v>0-304/304L/FH-001X770</v>
      </c>
      <c r="C100" s="126" t="s">
        <v>2998</v>
      </c>
      <c r="D100" s="126" t="s">
        <v>13</v>
      </c>
      <c r="E100" s="143" t="s">
        <v>2811</v>
      </c>
      <c r="F100" s="143" t="s">
        <v>2812</v>
      </c>
      <c r="G100" s="126" t="s">
        <v>377</v>
      </c>
      <c r="H100" s="126" t="s">
        <v>65</v>
      </c>
      <c r="I100" s="127">
        <v>1.5</v>
      </c>
      <c r="J100" s="127">
        <v>0.8</v>
      </c>
      <c r="K100" s="127"/>
      <c r="L100" s="127"/>
      <c r="M100" s="144">
        <v>770</v>
      </c>
      <c r="N100" s="129">
        <v>3.9649999999999999</v>
      </c>
      <c r="O100" s="129">
        <v>3.9649999999999999</v>
      </c>
      <c r="P100" s="129" t="s">
        <v>116</v>
      </c>
      <c r="Q100" s="130" t="s">
        <v>2987</v>
      </c>
      <c r="R100" s="131" t="s">
        <v>2813</v>
      </c>
      <c r="S100" s="131" t="s">
        <v>2814</v>
      </c>
      <c r="T100" s="132" t="s">
        <v>2815</v>
      </c>
      <c r="U100" s="132" t="s">
        <v>2999</v>
      </c>
      <c r="V100" s="132">
        <v>44402</v>
      </c>
      <c r="W100" s="132">
        <v>44403</v>
      </c>
      <c r="X100" s="132"/>
      <c r="Y100" s="133"/>
      <c r="Z100" s="126" t="s">
        <v>64</v>
      </c>
      <c r="AA100" s="134" t="s">
        <v>154</v>
      </c>
      <c r="AB100" s="134" t="s">
        <v>2816</v>
      </c>
      <c r="AC100" s="134"/>
      <c r="AD100" s="134">
        <v>44388</v>
      </c>
      <c r="AE100" s="134"/>
      <c r="AF100" s="134">
        <f t="shared" ca="1" si="7"/>
        <v>44963</v>
      </c>
      <c r="AG100" s="126">
        <f t="shared" ca="1" si="8"/>
        <v>575</v>
      </c>
      <c r="AH100" s="126">
        <f t="shared" ca="1" si="9"/>
        <v>561</v>
      </c>
      <c r="AI100" s="134"/>
      <c r="AJ100" s="143" t="s">
        <v>2817</v>
      </c>
      <c r="AK100" s="129">
        <v>12.175000000000001</v>
      </c>
      <c r="AL100" s="129">
        <v>12.185</v>
      </c>
      <c r="AM100" s="129">
        <v>12.209999999999999</v>
      </c>
      <c r="AN100" s="129">
        <v>12.215</v>
      </c>
      <c r="AO100" s="126" t="e">
        <f t="shared" ca="1" si="10"/>
        <v>#VALUE!</v>
      </c>
      <c r="AR100" s="99" t="s">
        <v>136</v>
      </c>
      <c r="AS100" s="281" t="str">
        <f>LEFT(RIGHT(C100,LEN(C100)-MIN(SEARCH({0,1,2,3,4,5,6,7,8,9},C100&amp;"0123456789"))+1),2)</f>
        <v>16</v>
      </c>
      <c r="AT100" s="99">
        <v>2</v>
      </c>
      <c r="AU100" s="99" t="str">
        <f>LEFT(RIGHT(C100,LEN(C100)-MIN(SEARCH({0,1,2,3,4,5,6,7,8,9},C100&amp;"0123456789"))+1),5)</f>
        <v>16.02</v>
      </c>
      <c r="AV100" s="99" t="str">
        <f t="shared" si="11"/>
        <v>RR</v>
      </c>
      <c r="BG100" s="135" t="s">
        <v>137</v>
      </c>
    </row>
    <row r="101" spans="1:59" s="99" customFormat="1" ht="21" customHeight="1" x14ac:dyDescent="0.35">
      <c r="A101" s="99">
        <v>424</v>
      </c>
      <c r="B101" s="126" t="str">
        <f t="shared" si="6"/>
        <v>0-304/FH-001X767</v>
      </c>
      <c r="C101" s="126" t="s">
        <v>2997</v>
      </c>
      <c r="D101" s="126" t="s">
        <v>13</v>
      </c>
      <c r="E101" s="143" t="s">
        <v>1772</v>
      </c>
      <c r="F101" s="143" t="s">
        <v>1773</v>
      </c>
      <c r="G101" s="126">
        <v>304</v>
      </c>
      <c r="H101" s="126" t="s">
        <v>65</v>
      </c>
      <c r="I101" s="127">
        <v>3.89</v>
      </c>
      <c r="J101" s="127">
        <v>1.45</v>
      </c>
      <c r="K101" s="127"/>
      <c r="L101" s="127"/>
      <c r="M101" s="144">
        <v>767</v>
      </c>
      <c r="N101" s="129">
        <v>10.38</v>
      </c>
      <c r="O101" s="129">
        <v>10.38</v>
      </c>
      <c r="P101" s="129" t="s">
        <v>116</v>
      </c>
      <c r="Q101" s="130" t="s">
        <v>446</v>
      </c>
      <c r="R101" s="131"/>
      <c r="S101" s="131"/>
      <c r="T101" s="132">
        <v>44607</v>
      </c>
      <c r="U101" s="132">
        <v>44608</v>
      </c>
      <c r="V101" s="132"/>
      <c r="W101" s="132"/>
      <c r="X101" s="132"/>
      <c r="Y101" s="133" t="s">
        <v>1395</v>
      </c>
      <c r="Z101" s="126" t="s">
        <v>64</v>
      </c>
      <c r="AA101" s="134" t="s">
        <v>154</v>
      </c>
      <c r="AB101" s="134" t="s">
        <v>1516</v>
      </c>
      <c r="AC101" s="134"/>
      <c r="AD101" s="134">
        <v>44554</v>
      </c>
      <c r="AE101" s="134"/>
      <c r="AF101" s="134">
        <f t="shared" ca="1" si="7"/>
        <v>44963</v>
      </c>
      <c r="AG101" s="126">
        <f t="shared" ca="1" si="8"/>
        <v>409</v>
      </c>
      <c r="AH101" s="126" t="str">
        <f t="shared" si="9"/>
        <v/>
      </c>
      <c r="AI101" s="134"/>
      <c r="AJ101" s="143" t="s">
        <v>1774</v>
      </c>
      <c r="AK101" s="129">
        <v>10.38</v>
      </c>
      <c r="AL101" s="129">
        <v>10.39</v>
      </c>
      <c r="AM101" s="129">
        <v>10.414999999999999</v>
      </c>
      <c r="AN101" s="129">
        <v>10.42</v>
      </c>
      <c r="AO101" s="126">
        <f t="shared" ca="1" si="10"/>
        <v>355</v>
      </c>
      <c r="AR101" s="99" t="s">
        <v>136</v>
      </c>
      <c r="AS101" s="281" t="str">
        <f>LEFT(RIGHT(C101,LEN(C101)-MIN(SEARCH({0,1,2,3,4,5,6,7,8,9},C101&amp;"0123456789"))+1),2)</f>
        <v>16</v>
      </c>
      <c r="AT101" s="99">
        <v>2</v>
      </c>
      <c r="AU101" s="99" t="str">
        <f>LEFT(RIGHT(C101,LEN(C101)-MIN(SEARCH({0,1,2,3,4,5,6,7,8,9},C101&amp;"0123456789"))+1),5)</f>
        <v>16.02</v>
      </c>
      <c r="AV101" s="99" t="str">
        <f t="shared" si="11"/>
        <v>MI</v>
      </c>
    </row>
    <row r="102" spans="1:59" s="99" customFormat="1" ht="21" customHeight="1" x14ac:dyDescent="0.35">
      <c r="A102" s="99">
        <v>422</v>
      </c>
      <c r="B102" s="126" t="str">
        <f t="shared" si="6"/>
        <v>0-304L/FH-001X770</v>
      </c>
      <c r="C102" s="126" t="s">
        <v>2997</v>
      </c>
      <c r="D102" s="126" t="s">
        <v>13</v>
      </c>
      <c r="E102" s="143" t="s">
        <v>2829</v>
      </c>
      <c r="F102" s="143" t="s">
        <v>2830</v>
      </c>
      <c r="G102" s="126" t="s">
        <v>230</v>
      </c>
      <c r="H102" s="126" t="s">
        <v>65</v>
      </c>
      <c r="I102" s="127">
        <v>2.9</v>
      </c>
      <c r="J102" s="127">
        <v>0.9</v>
      </c>
      <c r="K102" s="127"/>
      <c r="L102" s="127"/>
      <c r="M102" s="144">
        <v>770</v>
      </c>
      <c r="N102" s="129">
        <v>8.4749999999999996</v>
      </c>
      <c r="O102" s="129">
        <v>8.4749999999999996</v>
      </c>
      <c r="P102" s="129" t="s">
        <v>116</v>
      </c>
      <c r="Q102" s="130" t="s">
        <v>1206</v>
      </c>
      <c r="R102" s="131"/>
      <c r="S102" s="131"/>
      <c r="T102" s="132">
        <v>44608</v>
      </c>
      <c r="U102" s="132">
        <v>44608</v>
      </c>
      <c r="V102" s="132"/>
      <c r="W102" s="132"/>
      <c r="X102" s="132"/>
      <c r="Y102" s="133"/>
      <c r="Z102" s="126" t="s">
        <v>64</v>
      </c>
      <c r="AA102" s="134" t="s">
        <v>154</v>
      </c>
      <c r="AB102" s="134" t="s">
        <v>1296</v>
      </c>
      <c r="AC102" s="134"/>
      <c r="AD102" s="134">
        <v>44516</v>
      </c>
      <c r="AE102" s="134"/>
      <c r="AF102" s="134">
        <f t="shared" ca="1" si="7"/>
        <v>44963</v>
      </c>
      <c r="AG102" s="126">
        <f t="shared" ca="1" si="8"/>
        <v>447</v>
      </c>
      <c r="AH102" s="126" t="str">
        <f t="shared" si="9"/>
        <v/>
      </c>
      <c r="AI102" s="134"/>
      <c r="AJ102" s="143" t="s">
        <v>2684</v>
      </c>
      <c r="AK102" s="129">
        <v>8.4749999999999996</v>
      </c>
      <c r="AL102" s="129">
        <v>8.4849999999999994</v>
      </c>
      <c r="AM102" s="129">
        <v>8.509999999999998</v>
      </c>
      <c r="AN102" s="129">
        <v>8.5149999999999988</v>
      </c>
      <c r="AO102" s="126">
        <f t="shared" ca="1" si="10"/>
        <v>355</v>
      </c>
      <c r="AR102" s="99" t="s">
        <v>136</v>
      </c>
      <c r="AS102" s="281" t="str">
        <f>LEFT(RIGHT(C102,LEN(C102)-MIN(SEARCH({0,1,2,3,4,5,6,7,8,9},C102&amp;"0123456789"))+1),2)</f>
        <v>16</v>
      </c>
      <c r="AT102" s="99">
        <v>2</v>
      </c>
      <c r="AU102" s="99" t="str">
        <f>LEFT(RIGHT(C102,LEN(C102)-MIN(SEARCH({0,1,2,3,4,5,6,7,8,9},C102&amp;"0123456789"))+1),5)</f>
        <v>16.02</v>
      </c>
      <c r="AV102" s="99" t="str">
        <f t="shared" si="11"/>
        <v>MI</v>
      </c>
    </row>
    <row r="103" spans="1:59" s="99" customFormat="1" ht="21" customHeight="1" x14ac:dyDescent="0.35">
      <c r="A103" s="99">
        <v>421</v>
      </c>
      <c r="B103" s="126" t="str">
        <f t="shared" si="6"/>
        <v>0-304/FH-001X770</v>
      </c>
      <c r="C103" s="126" t="s">
        <v>3000</v>
      </c>
      <c r="D103" s="126" t="s">
        <v>13</v>
      </c>
      <c r="E103" s="143" t="s">
        <v>2835</v>
      </c>
      <c r="F103" s="143" t="s">
        <v>2836</v>
      </c>
      <c r="G103" s="126">
        <v>304</v>
      </c>
      <c r="H103" s="126" t="s">
        <v>65</v>
      </c>
      <c r="I103" s="127">
        <v>3</v>
      </c>
      <c r="J103" s="127">
        <v>1</v>
      </c>
      <c r="K103" s="127"/>
      <c r="L103" s="127"/>
      <c r="M103" s="144">
        <v>770</v>
      </c>
      <c r="N103" s="129">
        <v>10.494999999999999</v>
      </c>
      <c r="O103" s="129">
        <v>10.494999999999999</v>
      </c>
      <c r="P103" s="129" t="s">
        <v>116</v>
      </c>
      <c r="Q103" s="130" t="s">
        <v>3001</v>
      </c>
      <c r="R103" s="131"/>
      <c r="S103" s="131"/>
      <c r="T103" s="132">
        <v>44608</v>
      </c>
      <c r="U103" s="132">
        <v>44609</v>
      </c>
      <c r="V103" s="132"/>
      <c r="W103" s="132"/>
      <c r="X103" s="132"/>
      <c r="Y103" s="133"/>
      <c r="Z103" s="126" t="s">
        <v>64</v>
      </c>
      <c r="AA103" s="134" t="s">
        <v>154</v>
      </c>
      <c r="AB103" s="134" t="s">
        <v>1239</v>
      </c>
      <c r="AC103" s="134"/>
      <c r="AD103" s="134">
        <v>44496</v>
      </c>
      <c r="AE103" s="134"/>
      <c r="AF103" s="134">
        <f t="shared" ca="1" si="7"/>
        <v>44963</v>
      </c>
      <c r="AG103" s="126">
        <f t="shared" ca="1" si="8"/>
        <v>467</v>
      </c>
      <c r="AH103" s="126" t="str">
        <f t="shared" si="9"/>
        <v/>
      </c>
      <c r="AI103" s="134"/>
      <c r="AJ103" s="143" t="s">
        <v>2837</v>
      </c>
      <c r="AK103" s="129">
        <v>10.494999999999999</v>
      </c>
      <c r="AL103" s="129">
        <v>10.505000000000001</v>
      </c>
      <c r="AM103" s="129">
        <v>10.53</v>
      </c>
      <c r="AN103" s="129">
        <v>10.535</v>
      </c>
      <c r="AO103" s="126">
        <f t="shared" ca="1" si="10"/>
        <v>354</v>
      </c>
      <c r="AR103" s="99" t="s">
        <v>136</v>
      </c>
      <c r="AS103" s="281" t="str">
        <f>LEFT(RIGHT(C103,LEN(C103)-MIN(SEARCH({0,1,2,3,4,5,6,7,8,9},C103&amp;"0123456789"))+1),2)</f>
        <v>17</v>
      </c>
      <c r="AT103" s="99">
        <v>2</v>
      </c>
      <c r="AU103" s="99" t="str">
        <f>LEFT(RIGHT(C103,LEN(C103)-MIN(SEARCH({0,1,2,3,4,5,6,7,8,9},C103&amp;"0123456789"))+1),5)</f>
        <v>17.02</v>
      </c>
      <c r="AV103" s="99" t="str">
        <f t="shared" si="11"/>
        <v>MI</v>
      </c>
    </row>
    <row r="104" spans="1:59" s="99" customFormat="1" ht="21" customHeight="1" x14ac:dyDescent="0.35">
      <c r="A104" s="99">
        <v>421</v>
      </c>
      <c r="B104" s="126" t="str">
        <f t="shared" si="6"/>
        <v>0-304L/FH-001X770</v>
      </c>
      <c r="C104" s="126" t="s">
        <v>3002</v>
      </c>
      <c r="D104" s="126" t="s">
        <v>13</v>
      </c>
      <c r="E104" s="143" t="s">
        <v>1204</v>
      </c>
      <c r="F104" s="143" t="s">
        <v>2832</v>
      </c>
      <c r="G104" s="126" t="s">
        <v>230</v>
      </c>
      <c r="H104" s="126" t="s">
        <v>65</v>
      </c>
      <c r="I104" s="127">
        <v>1.2</v>
      </c>
      <c r="J104" s="127">
        <v>0.6</v>
      </c>
      <c r="K104" s="127"/>
      <c r="L104" s="127"/>
      <c r="M104" s="144">
        <v>770</v>
      </c>
      <c r="N104" s="129">
        <v>9.8450000000000006</v>
      </c>
      <c r="O104" s="129">
        <v>9.8450000000000006</v>
      </c>
      <c r="P104" s="129" t="s">
        <v>116</v>
      </c>
      <c r="Q104" s="130" t="s">
        <v>1206</v>
      </c>
      <c r="R104" s="130" t="s">
        <v>1207</v>
      </c>
      <c r="S104" s="131" t="s">
        <v>1208</v>
      </c>
      <c r="T104" s="132" t="s">
        <v>1209</v>
      </c>
      <c r="U104" s="132" t="s">
        <v>1210</v>
      </c>
      <c r="V104" s="132">
        <v>44548</v>
      </c>
      <c r="W104" s="132"/>
      <c r="X104" s="132"/>
      <c r="Y104" s="133"/>
      <c r="Z104" s="126" t="s">
        <v>64</v>
      </c>
      <c r="AA104" s="134" t="s">
        <v>154</v>
      </c>
      <c r="AB104" s="134" t="s">
        <v>1190</v>
      </c>
      <c r="AC104" s="134"/>
      <c r="AD104" s="134">
        <v>44496</v>
      </c>
      <c r="AE104" s="134"/>
      <c r="AF104" s="134">
        <f t="shared" ca="1" si="7"/>
        <v>44963</v>
      </c>
      <c r="AG104" s="126">
        <f t="shared" ca="1" si="8"/>
        <v>467</v>
      </c>
      <c r="AH104" s="126">
        <f t="shared" ca="1" si="9"/>
        <v>415</v>
      </c>
      <c r="AI104" s="134"/>
      <c r="AJ104" s="143" t="s">
        <v>1212</v>
      </c>
      <c r="AK104" s="129">
        <v>9.9700000000000006</v>
      </c>
      <c r="AL104" s="129">
        <v>9.98</v>
      </c>
      <c r="AM104" s="129">
        <v>10.004999999999999</v>
      </c>
      <c r="AN104" s="129">
        <v>10.01</v>
      </c>
      <c r="AO104" s="126" t="e">
        <f t="shared" ca="1" si="10"/>
        <v>#VALUE!</v>
      </c>
      <c r="AR104" s="99" t="s">
        <v>136</v>
      </c>
      <c r="AS104" s="281" t="str">
        <f>LEFT(RIGHT(C104,LEN(C104)-MIN(SEARCH({0,1,2,3,4,5,6,7,8,9},C104&amp;"0123456789"))+1),2)</f>
        <v>17</v>
      </c>
      <c r="AT104" s="99">
        <v>2</v>
      </c>
      <c r="AU104" s="99" t="str">
        <f>LEFT(RIGHT(C104,LEN(C104)-MIN(SEARCH({0,1,2,3,4,5,6,7,8,9},C104&amp;"0123456789"))+1),5)</f>
        <v>17.02</v>
      </c>
      <c r="AV104" s="99" t="str">
        <f t="shared" si="11"/>
        <v>RR</v>
      </c>
      <c r="BG104" s="135" t="s">
        <v>1213</v>
      </c>
    </row>
    <row r="105" spans="1:59" s="99" customFormat="1" ht="21" customHeight="1" x14ac:dyDescent="0.35">
      <c r="A105" s="99">
        <v>422</v>
      </c>
      <c r="B105" s="126" t="str">
        <f t="shared" si="6"/>
        <v>0-304L/FH-001X766</v>
      </c>
      <c r="C105" s="126" t="s">
        <v>3000</v>
      </c>
      <c r="D105" s="126" t="s">
        <v>13</v>
      </c>
      <c r="E105" s="143" t="s">
        <v>2840</v>
      </c>
      <c r="F105" s="143" t="s">
        <v>2841</v>
      </c>
      <c r="G105" s="126" t="s">
        <v>230</v>
      </c>
      <c r="H105" s="126" t="s">
        <v>65</v>
      </c>
      <c r="I105" s="127">
        <v>2.9</v>
      </c>
      <c r="J105" s="127">
        <v>0.9</v>
      </c>
      <c r="K105" s="127"/>
      <c r="L105" s="127"/>
      <c r="M105" s="144">
        <v>766</v>
      </c>
      <c r="N105" s="129">
        <v>8.34</v>
      </c>
      <c r="O105" s="129">
        <v>8.34</v>
      </c>
      <c r="P105" s="129" t="s">
        <v>116</v>
      </c>
      <c r="Q105" s="130" t="s">
        <v>1206</v>
      </c>
      <c r="R105" s="131"/>
      <c r="S105" s="131"/>
      <c r="T105" s="132">
        <v>44609</v>
      </c>
      <c r="U105" s="132">
        <v>44609</v>
      </c>
      <c r="V105" s="132"/>
      <c r="W105" s="132"/>
      <c r="X105" s="132"/>
      <c r="Y105" s="133"/>
      <c r="Z105" s="126" t="s">
        <v>64</v>
      </c>
      <c r="AA105" s="134" t="s">
        <v>154</v>
      </c>
      <c r="AB105" s="134" t="s">
        <v>1296</v>
      </c>
      <c r="AC105" s="134"/>
      <c r="AD105" s="134">
        <v>44516</v>
      </c>
      <c r="AE105" s="134"/>
      <c r="AF105" s="134">
        <f t="shared" ca="1" si="7"/>
        <v>44963</v>
      </c>
      <c r="AG105" s="126">
        <f t="shared" ca="1" si="8"/>
        <v>447</v>
      </c>
      <c r="AH105" s="126" t="str">
        <f t="shared" si="9"/>
        <v/>
      </c>
      <c r="AI105" s="134"/>
      <c r="AJ105" s="143" t="s">
        <v>1307</v>
      </c>
      <c r="AK105" s="129">
        <v>8.34</v>
      </c>
      <c r="AL105" s="129">
        <v>8.35</v>
      </c>
      <c r="AM105" s="129">
        <v>8.3749999999999982</v>
      </c>
      <c r="AN105" s="129">
        <v>8.379999999999999</v>
      </c>
      <c r="AO105" s="126">
        <f t="shared" ca="1" si="10"/>
        <v>354</v>
      </c>
      <c r="AR105" s="99" t="s">
        <v>136</v>
      </c>
      <c r="AS105" s="281" t="str">
        <f>LEFT(RIGHT(C105,LEN(C105)-MIN(SEARCH({0,1,2,3,4,5,6,7,8,9},C105&amp;"0123456789"))+1),2)</f>
        <v>17</v>
      </c>
      <c r="AT105" s="99">
        <v>2</v>
      </c>
      <c r="AU105" s="99" t="str">
        <f>LEFT(RIGHT(C105,LEN(C105)-MIN(SEARCH({0,1,2,3,4,5,6,7,8,9},C105&amp;"0123456789"))+1),5)</f>
        <v>17.02</v>
      </c>
      <c r="AV105" s="99" t="str">
        <f t="shared" si="11"/>
        <v>MI</v>
      </c>
    </row>
    <row r="106" spans="1:59" s="99" customFormat="1" ht="21" customHeight="1" x14ac:dyDescent="0.35">
      <c r="A106" s="99">
        <v>424</v>
      </c>
      <c r="B106" s="126" t="str">
        <f t="shared" si="6"/>
        <v>0-304/FH-002X770</v>
      </c>
      <c r="C106" s="126" t="s">
        <v>3003</v>
      </c>
      <c r="D106" s="126" t="s">
        <v>13</v>
      </c>
      <c r="E106" s="143" t="s">
        <v>2847</v>
      </c>
      <c r="F106" s="143" t="s">
        <v>2848</v>
      </c>
      <c r="G106" s="126">
        <v>304</v>
      </c>
      <c r="H106" s="126" t="s">
        <v>65</v>
      </c>
      <c r="I106" s="127">
        <v>3.74</v>
      </c>
      <c r="J106" s="127">
        <v>1.5</v>
      </c>
      <c r="K106" s="127"/>
      <c r="L106" s="127"/>
      <c r="M106" s="144">
        <v>770</v>
      </c>
      <c r="N106" s="129">
        <v>10.375</v>
      </c>
      <c r="O106" s="129">
        <v>10.375</v>
      </c>
      <c r="P106" s="129" t="s">
        <v>116</v>
      </c>
      <c r="Q106" s="130" t="s">
        <v>2996</v>
      </c>
      <c r="R106" s="131"/>
      <c r="S106" s="131"/>
      <c r="T106" s="132">
        <v>44610</v>
      </c>
      <c r="U106" s="132">
        <v>44610</v>
      </c>
      <c r="V106" s="132"/>
      <c r="W106" s="132"/>
      <c r="X106" s="132"/>
      <c r="Y106" s="133" t="s">
        <v>1395</v>
      </c>
      <c r="Z106" s="126" t="s">
        <v>64</v>
      </c>
      <c r="AA106" s="134" t="s">
        <v>154</v>
      </c>
      <c r="AB106" s="134" t="s">
        <v>1330</v>
      </c>
      <c r="AC106" s="134"/>
      <c r="AD106" s="134">
        <v>44554</v>
      </c>
      <c r="AE106" s="134"/>
      <c r="AF106" s="134">
        <f t="shared" ca="1" si="7"/>
        <v>44963</v>
      </c>
      <c r="AG106" s="126">
        <f t="shared" ca="1" si="8"/>
        <v>409</v>
      </c>
      <c r="AH106" s="126" t="str">
        <f t="shared" si="9"/>
        <v/>
      </c>
      <c r="AI106" s="134"/>
      <c r="AJ106" s="143" t="s">
        <v>1427</v>
      </c>
      <c r="AK106" s="129">
        <v>10.375</v>
      </c>
      <c r="AL106" s="129">
        <v>10.385</v>
      </c>
      <c r="AM106" s="129">
        <v>10.409999999999998</v>
      </c>
      <c r="AN106" s="129">
        <v>10.414999999999999</v>
      </c>
      <c r="AO106" s="126">
        <f t="shared" ca="1" si="10"/>
        <v>353</v>
      </c>
      <c r="AR106" s="99" t="s">
        <v>136</v>
      </c>
      <c r="AS106" s="281" t="str">
        <f>LEFT(RIGHT(C106,LEN(C106)-MIN(SEARCH({0,1,2,3,4,5,6,7,8,9},C106&amp;"0123456789"))+1),2)</f>
        <v>18</v>
      </c>
      <c r="AT106" s="99">
        <v>2</v>
      </c>
      <c r="AU106" s="99" t="str">
        <f>LEFT(RIGHT(C106,LEN(C106)-MIN(SEARCH({0,1,2,3,4,5,6,7,8,9},C106&amp;"0123456789"))+1),5)</f>
        <v>18.02</v>
      </c>
      <c r="AV106" s="99" t="str">
        <f t="shared" si="11"/>
        <v>MI</v>
      </c>
    </row>
    <row r="107" spans="1:59" s="99" customFormat="1" ht="21" customHeight="1" x14ac:dyDescent="0.35">
      <c r="A107" s="99">
        <v>421</v>
      </c>
      <c r="B107" s="126" t="str">
        <f t="shared" si="6"/>
        <v>0-304L/FH-001X770</v>
      </c>
      <c r="C107" s="126" t="s">
        <v>3003</v>
      </c>
      <c r="D107" s="126" t="s">
        <v>13</v>
      </c>
      <c r="E107" s="143" t="s">
        <v>2833</v>
      </c>
      <c r="F107" s="143" t="s">
        <v>2834</v>
      </c>
      <c r="G107" s="126" t="s">
        <v>230</v>
      </c>
      <c r="H107" s="126" t="s">
        <v>65</v>
      </c>
      <c r="I107" s="127">
        <v>2.96</v>
      </c>
      <c r="J107" s="127">
        <v>0.8</v>
      </c>
      <c r="K107" s="127"/>
      <c r="L107" s="127"/>
      <c r="M107" s="144">
        <v>770</v>
      </c>
      <c r="N107" s="129">
        <v>10.1</v>
      </c>
      <c r="O107" s="129">
        <v>10.1</v>
      </c>
      <c r="P107" s="129" t="s">
        <v>116</v>
      </c>
      <c r="Q107" s="130" t="s">
        <v>2996</v>
      </c>
      <c r="R107" s="131"/>
      <c r="S107" s="131"/>
      <c r="T107" s="132">
        <v>44608</v>
      </c>
      <c r="U107" s="132">
        <v>44610</v>
      </c>
      <c r="V107" s="132"/>
      <c r="W107" s="132"/>
      <c r="X107" s="132"/>
      <c r="Y107" s="133"/>
      <c r="Z107" s="126" t="s">
        <v>64</v>
      </c>
      <c r="AA107" s="134" t="s">
        <v>154</v>
      </c>
      <c r="AB107" s="134" t="s">
        <v>1246</v>
      </c>
      <c r="AC107" s="134"/>
      <c r="AD107" s="134">
        <v>44496</v>
      </c>
      <c r="AE107" s="134"/>
      <c r="AF107" s="134">
        <f t="shared" ca="1" si="7"/>
        <v>44963</v>
      </c>
      <c r="AG107" s="126">
        <f t="shared" ca="1" si="8"/>
        <v>467</v>
      </c>
      <c r="AH107" s="126" t="str">
        <f t="shared" si="9"/>
        <v/>
      </c>
      <c r="AI107" s="134"/>
      <c r="AJ107" s="143" t="s">
        <v>2798</v>
      </c>
      <c r="AK107" s="129">
        <v>10.1</v>
      </c>
      <c r="AL107" s="129">
        <v>10.11</v>
      </c>
      <c r="AM107" s="129">
        <v>10.134999999999998</v>
      </c>
      <c r="AN107" s="129">
        <v>10.139999999999999</v>
      </c>
      <c r="AO107" s="126">
        <f t="shared" ca="1" si="10"/>
        <v>353</v>
      </c>
      <c r="AR107" s="99" t="s">
        <v>136</v>
      </c>
      <c r="AS107" s="281" t="str">
        <f>LEFT(RIGHT(C107,LEN(C107)-MIN(SEARCH({0,1,2,3,4,5,6,7,8,9},C107&amp;"0123456789"))+1),2)</f>
        <v>18</v>
      </c>
      <c r="AT107" s="99">
        <v>2</v>
      </c>
      <c r="AU107" s="99" t="str">
        <f>LEFT(RIGHT(C107,LEN(C107)-MIN(SEARCH({0,1,2,3,4,5,6,7,8,9},C107&amp;"0123456789"))+1),5)</f>
        <v>18.02</v>
      </c>
      <c r="AV107" s="99" t="str">
        <f t="shared" si="11"/>
        <v>MI</v>
      </c>
    </row>
    <row r="108" spans="1:59" s="99" customFormat="1" ht="21" customHeight="1" x14ac:dyDescent="0.35">
      <c r="A108" s="99">
        <v>421</v>
      </c>
      <c r="B108" s="126" t="str">
        <f t="shared" si="6"/>
        <v>0-304L/FH-001X770</v>
      </c>
      <c r="C108" s="126" t="s">
        <v>3003</v>
      </c>
      <c r="D108" s="126" t="s">
        <v>13</v>
      </c>
      <c r="E108" s="143" t="s">
        <v>2842</v>
      </c>
      <c r="F108" s="143" t="s">
        <v>2843</v>
      </c>
      <c r="G108" s="126" t="s">
        <v>230</v>
      </c>
      <c r="H108" s="126" t="s">
        <v>65</v>
      </c>
      <c r="I108" s="127">
        <v>3</v>
      </c>
      <c r="J108" s="127">
        <v>1</v>
      </c>
      <c r="K108" s="127"/>
      <c r="L108" s="127"/>
      <c r="M108" s="144">
        <v>770</v>
      </c>
      <c r="N108" s="129">
        <v>9.2149999999999999</v>
      </c>
      <c r="O108" s="129">
        <v>9.2149999999999999</v>
      </c>
      <c r="P108" s="129" t="s">
        <v>116</v>
      </c>
      <c r="Q108" s="130" t="s">
        <v>2987</v>
      </c>
      <c r="R108" s="131"/>
      <c r="S108" s="131"/>
      <c r="T108" s="132">
        <v>44609</v>
      </c>
      <c r="U108" s="132">
        <v>44610</v>
      </c>
      <c r="V108" s="132"/>
      <c r="W108" s="132"/>
      <c r="X108" s="132"/>
      <c r="Y108" s="133"/>
      <c r="Z108" s="126" t="s">
        <v>64</v>
      </c>
      <c r="AA108" s="134" t="s">
        <v>154</v>
      </c>
      <c r="AB108" s="134" t="s">
        <v>1190</v>
      </c>
      <c r="AC108" s="134"/>
      <c r="AD108" s="134">
        <v>44496</v>
      </c>
      <c r="AE108" s="134"/>
      <c r="AF108" s="134">
        <f t="shared" ca="1" si="7"/>
        <v>44963</v>
      </c>
      <c r="AG108" s="126">
        <f t="shared" ca="1" si="8"/>
        <v>467</v>
      </c>
      <c r="AH108" s="126" t="str">
        <f t="shared" si="9"/>
        <v/>
      </c>
      <c r="AI108" s="134"/>
      <c r="AJ108" s="143" t="s">
        <v>2844</v>
      </c>
      <c r="AK108" s="129">
        <v>9.2149999999999999</v>
      </c>
      <c r="AL108" s="129">
        <v>9.2249999999999996</v>
      </c>
      <c r="AM108" s="129">
        <v>9.2499999999999982</v>
      </c>
      <c r="AN108" s="129">
        <v>9.254999999999999</v>
      </c>
      <c r="AO108" s="126">
        <f t="shared" ca="1" si="10"/>
        <v>353</v>
      </c>
      <c r="AR108" s="99" t="s">
        <v>136</v>
      </c>
      <c r="AS108" s="281" t="str">
        <f>LEFT(RIGHT(C108,LEN(C108)-MIN(SEARCH({0,1,2,3,4,5,6,7,8,9},C108&amp;"0123456789"))+1),2)</f>
        <v>18</v>
      </c>
      <c r="AT108" s="99">
        <v>2</v>
      </c>
      <c r="AU108" s="99" t="str">
        <f>LEFT(RIGHT(C108,LEN(C108)-MIN(SEARCH({0,1,2,3,4,5,6,7,8,9},C108&amp;"0123456789"))+1),5)</f>
        <v>18.02</v>
      </c>
      <c r="AV108" s="99" t="str">
        <f t="shared" si="11"/>
        <v>MI</v>
      </c>
    </row>
    <row r="109" spans="1:59" s="99" customFormat="1" ht="21" customHeight="1" x14ac:dyDescent="0.35">
      <c r="A109" s="99">
        <v>424</v>
      </c>
      <c r="B109" s="126" t="str">
        <f t="shared" si="6"/>
        <v>0-304L/FH-001X770</v>
      </c>
      <c r="C109" s="126" t="s">
        <v>3004</v>
      </c>
      <c r="D109" s="126" t="s">
        <v>13</v>
      </c>
      <c r="E109" s="143" t="s">
        <v>2852</v>
      </c>
      <c r="F109" s="143" t="s">
        <v>2853</v>
      </c>
      <c r="G109" s="126" t="s">
        <v>230</v>
      </c>
      <c r="H109" s="126" t="s">
        <v>65</v>
      </c>
      <c r="I109" s="127">
        <v>3.34</v>
      </c>
      <c r="J109" s="127">
        <v>1.1000000000000001</v>
      </c>
      <c r="K109" s="127"/>
      <c r="L109" s="127"/>
      <c r="M109" s="144">
        <v>770</v>
      </c>
      <c r="N109" s="129">
        <v>10.43</v>
      </c>
      <c r="O109" s="129">
        <v>10.43</v>
      </c>
      <c r="P109" s="129" t="s">
        <v>116</v>
      </c>
      <c r="Q109" s="130" t="s">
        <v>2987</v>
      </c>
      <c r="R109" s="131"/>
      <c r="S109" s="131"/>
      <c r="T109" s="132">
        <v>44610</v>
      </c>
      <c r="U109" s="132">
        <v>44611</v>
      </c>
      <c r="V109" s="132"/>
      <c r="W109" s="132"/>
      <c r="X109" s="132"/>
      <c r="Y109" s="133" t="s">
        <v>1395</v>
      </c>
      <c r="Z109" s="126" t="s">
        <v>64</v>
      </c>
      <c r="AA109" s="134" t="s">
        <v>154</v>
      </c>
      <c r="AB109" s="134" t="s">
        <v>1330</v>
      </c>
      <c r="AC109" s="134"/>
      <c r="AD109" s="134">
        <v>44554</v>
      </c>
      <c r="AE109" s="134"/>
      <c r="AF109" s="134">
        <f t="shared" ca="1" si="7"/>
        <v>44963</v>
      </c>
      <c r="AG109" s="126">
        <f t="shared" ca="1" si="8"/>
        <v>409</v>
      </c>
      <c r="AH109" s="126" t="str">
        <f t="shared" si="9"/>
        <v/>
      </c>
      <c r="AI109" s="134"/>
      <c r="AJ109" s="143" t="s">
        <v>2788</v>
      </c>
      <c r="AK109" s="129">
        <v>10.43</v>
      </c>
      <c r="AL109" s="129">
        <v>10.44</v>
      </c>
      <c r="AM109" s="129">
        <v>10.464999999999998</v>
      </c>
      <c r="AN109" s="129">
        <v>10.469999999999999</v>
      </c>
      <c r="AO109" s="126">
        <f t="shared" ca="1" si="10"/>
        <v>352</v>
      </c>
      <c r="AR109" s="99" t="s">
        <v>136</v>
      </c>
      <c r="AS109" s="281" t="str">
        <f>LEFT(RIGHT(C109,LEN(C109)-MIN(SEARCH({0,1,2,3,4,5,6,7,8,9},C109&amp;"0123456789"))+1),2)</f>
        <v>19</v>
      </c>
      <c r="AT109" s="99">
        <v>2</v>
      </c>
      <c r="AU109" s="99" t="str">
        <f>LEFT(RIGHT(C109,LEN(C109)-MIN(SEARCH({0,1,2,3,4,5,6,7,8,9},C109&amp;"0123456789"))+1),5)</f>
        <v>19.02</v>
      </c>
      <c r="AV109" s="99" t="str">
        <f t="shared" si="11"/>
        <v>MI</v>
      </c>
    </row>
    <row r="110" spans="1:59" s="99" customFormat="1" ht="21" customHeight="1" x14ac:dyDescent="0.35">
      <c r="A110" s="99">
        <v>422</v>
      </c>
      <c r="B110" s="126" t="str">
        <f t="shared" si="6"/>
        <v>0-304L/FH-001X769</v>
      </c>
      <c r="C110" s="126" t="s">
        <v>3004</v>
      </c>
      <c r="D110" s="126" t="s">
        <v>13</v>
      </c>
      <c r="E110" s="143" t="s">
        <v>2856</v>
      </c>
      <c r="F110" s="143" t="s">
        <v>2857</v>
      </c>
      <c r="G110" s="126" t="s">
        <v>230</v>
      </c>
      <c r="H110" s="126" t="s">
        <v>65</v>
      </c>
      <c r="I110" s="127">
        <v>2.99</v>
      </c>
      <c r="J110" s="127">
        <v>0.95</v>
      </c>
      <c r="K110" s="127"/>
      <c r="L110" s="127"/>
      <c r="M110" s="144">
        <v>769</v>
      </c>
      <c r="N110" s="129">
        <v>10.210000000000001</v>
      </c>
      <c r="O110" s="129">
        <v>10.210000000000001</v>
      </c>
      <c r="P110" s="129" t="s">
        <v>116</v>
      </c>
      <c r="Q110" s="130" t="s">
        <v>1206</v>
      </c>
      <c r="R110" s="131"/>
      <c r="S110" s="131"/>
      <c r="T110" s="132">
        <v>44611</v>
      </c>
      <c r="U110" s="132">
        <v>44611</v>
      </c>
      <c r="V110" s="132"/>
      <c r="W110" s="132"/>
      <c r="X110" s="132"/>
      <c r="Y110" s="133"/>
      <c r="Z110" s="126" t="s">
        <v>64</v>
      </c>
      <c r="AA110" s="134" t="s">
        <v>154</v>
      </c>
      <c r="AB110" s="134" t="s">
        <v>1330</v>
      </c>
      <c r="AC110" s="134"/>
      <c r="AD110" s="134">
        <v>44516</v>
      </c>
      <c r="AE110" s="134"/>
      <c r="AF110" s="134">
        <f t="shared" ca="1" si="7"/>
        <v>44963</v>
      </c>
      <c r="AG110" s="126">
        <f t="shared" ca="1" si="8"/>
        <v>447</v>
      </c>
      <c r="AH110" s="126" t="str">
        <f t="shared" si="9"/>
        <v/>
      </c>
      <c r="AI110" s="134"/>
      <c r="AJ110" s="143" t="s">
        <v>2858</v>
      </c>
      <c r="AK110" s="129">
        <v>10.210000000000001</v>
      </c>
      <c r="AL110" s="129">
        <v>10.220000000000001</v>
      </c>
      <c r="AM110" s="129">
        <v>10.244999999999999</v>
      </c>
      <c r="AN110" s="129">
        <v>10.25</v>
      </c>
      <c r="AO110" s="126">
        <f t="shared" ca="1" si="10"/>
        <v>352</v>
      </c>
      <c r="AR110" s="99" t="s">
        <v>136</v>
      </c>
      <c r="AS110" s="281" t="str">
        <f>LEFT(RIGHT(C110,LEN(C110)-MIN(SEARCH({0,1,2,3,4,5,6,7,8,9},C110&amp;"0123456789"))+1),2)</f>
        <v>19</v>
      </c>
      <c r="AT110" s="99">
        <v>2</v>
      </c>
      <c r="AU110" s="99" t="str">
        <f>LEFT(RIGHT(C110,LEN(C110)-MIN(SEARCH({0,1,2,3,4,5,6,7,8,9},C110&amp;"0123456789"))+1),5)</f>
        <v>19.02</v>
      </c>
      <c r="AV110" s="99" t="str">
        <f t="shared" si="11"/>
        <v>MI</v>
      </c>
    </row>
    <row r="111" spans="1:59" s="99" customFormat="1" ht="21" customHeight="1" x14ac:dyDescent="0.35">
      <c r="A111" s="99">
        <v>424</v>
      </c>
      <c r="B111" s="126" t="str">
        <f t="shared" si="6"/>
        <v>0-304L/FH-001X767</v>
      </c>
      <c r="C111" s="126" t="s">
        <v>3004</v>
      </c>
      <c r="D111" s="126" t="s">
        <v>13</v>
      </c>
      <c r="E111" s="143" t="s">
        <v>2859</v>
      </c>
      <c r="F111" s="143" t="s">
        <v>2860</v>
      </c>
      <c r="G111" s="126" t="s">
        <v>230</v>
      </c>
      <c r="H111" s="126" t="s">
        <v>65</v>
      </c>
      <c r="I111" s="127">
        <v>3.5</v>
      </c>
      <c r="J111" s="127">
        <v>1.2</v>
      </c>
      <c r="K111" s="127"/>
      <c r="L111" s="127"/>
      <c r="M111" s="144">
        <v>767</v>
      </c>
      <c r="N111" s="129">
        <v>10.185</v>
      </c>
      <c r="O111" s="129">
        <v>10.185</v>
      </c>
      <c r="P111" s="129" t="s">
        <v>116</v>
      </c>
      <c r="Q111" s="130" t="s">
        <v>1206</v>
      </c>
      <c r="R111" s="131"/>
      <c r="S111" s="131"/>
      <c r="T111" s="132">
        <v>44611</v>
      </c>
      <c r="U111" s="132">
        <v>44611</v>
      </c>
      <c r="V111" s="132"/>
      <c r="W111" s="132"/>
      <c r="X111" s="132"/>
      <c r="Y111" s="133" t="s">
        <v>1395</v>
      </c>
      <c r="Z111" s="126" t="s">
        <v>64</v>
      </c>
      <c r="AA111" s="134" t="s">
        <v>154</v>
      </c>
      <c r="AB111" s="134" t="s">
        <v>1516</v>
      </c>
      <c r="AC111" s="134"/>
      <c r="AD111" s="134">
        <v>44554</v>
      </c>
      <c r="AE111" s="134"/>
      <c r="AF111" s="134">
        <f t="shared" ca="1" si="7"/>
        <v>44963</v>
      </c>
      <c r="AG111" s="126">
        <f t="shared" ca="1" si="8"/>
        <v>409</v>
      </c>
      <c r="AH111" s="126" t="str">
        <f t="shared" si="9"/>
        <v/>
      </c>
      <c r="AI111" s="134"/>
      <c r="AJ111" s="143" t="s">
        <v>1644</v>
      </c>
      <c r="AK111" s="129">
        <v>10.185</v>
      </c>
      <c r="AL111" s="129">
        <v>10.195</v>
      </c>
      <c r="AM111" s="129">
        <v>10.219999999999999</v>
      </c>
      <c r="AN111" s="129">
        <v>10.225</v>
      </c>
      <c r="AO111" s="126">
        <f t="shared" ca="1" si="10"/>
        <v>352</v>
      </c>
      <c r="AR111" s="99" t="s">
        <v>136</v>
      </c>
      <c r="AS111" s="281" t="str">
        <f>LEFT(RIGHT(C111,LEN(C111)-MIN(SEARCH({0,1,2,3,4,5,6,7,8,9},C111&amp;"0123456789"))+1),2)</f>
        <v>19</v>
      </c>
      <c r="AT111" s="99">
        <v>2</v>
      </c>
      <c r="AU111" s="99" t="str">
        <f>LEFT(RIGHT(C111,LEN(C111)-MIN(SEARCH({0,1,2,3,4,5,6,7,8,9},C111&amp;"0123456789"))+1),5)</f>
        <v>19.02</v>
      </c>
      <c r="AV111" s="99" t="str">
        <f t="shared" si="11"/>
        <v>MI</v>
      </c>
    </row>
    <row r="112" spans="1:59" s="99" customFormat="1" ht="21" customHeight="1" x14ac:dyDescent="0.35">
      <c r="A112" s="99">
        <v>424</v>
      </c>
      <c r="B112" s="126" t="str">
        <f t="shared" si="6"/>
        <v>0-304L/FH-001X766</v>
      </c>
      <c r="C112" s="126" t="s">
        <v>3004</v>
      </c>
      <c r="D112" s="126" t="s">
        <v>13</v>
      </c>
      <c r="E112" s="143" t="s">
        <v>1535</v>
      </c>
      <c r="F112" s="143" t="s">
        <v>1536</v>
      </c>
      <c r="G112" s="126" t="s">
        <v>230</v>
      </c>
      <c r="H112" s="126" t="s">
        <v>65</v>
      </c>
      <c r="I112" s="127">
        <v>3.37</v>
      </c>
      <c r="J112" s="127">
        <v>1.1499999999999999</v>
      </c>
      <c r="K112" s="127"/>
      <c r="L112" s="127"/>
      <c r="M112" s="144">
        <v>766</v>
      </c>
      <c r="N112" s="129">
        <v>10.29</v>
      </c>
      <c r="O112" s="129">
        <v>10.29</v>
      </c>
      <c r="P112" s="129" t="s">
        <v>116</v>
      </c>
      <c r="Q112" s="130" t="s">
        <v>446</v>
      </c>
      <c r="R112" s="131"/>
      <c r="S112" s="131"/>
      <c r="T112" s="132">
        <v>44609</v>
      </c>
      <c r="U112" s="132">
        <v>44611</v>
      </c>
      <c r="V112" s="132"/>
      <c r="W112" s="132"/>
      <c r="X112" s="132"/>
      <c r="Y112" s="133" t="s">
        <v>1395</v>
      </c>
      <c r="Z112" s="126" t="s">
        <v>64</v>
      </c>
      <c r="AA112" s="134" t="s">
        <v>154</v>
      </c>
      <c r="AB112" s="134" t="s">
        <v>1516</v>
      </c>
      <c r="AC112" s="134"/>
      <c r="AD112" s="134">
        <v>44554</v>
      </c>
      <c r="AE112" s="134"/>
      <c r="AF112" s="134">
        <f t="shared" ca="1" si="7"/>
        <v>44963</v>
      </c>
      <c r="AG112" s="126">
        <f t="shared" ca="1" si="8"/>
        <v>409</v>
      </c>
      <c r="AH112" s="126" t="str">
        <f t="shared" si="9"/>
        <v/>
      </c>
      <c r="AI112" s="134"/>
      <c r="AJ112" s="143" t="s">
        <v>1537</v>
      </c>
      <c r="AK112" s="129">
        <v>10.29</v>
      </c>
      <c r="AL112" s="129">
        <v>10.3</v>
      </c>
      <c r="AM112" s="129">
        <v>10.324999999999999</v>
      </c>
      <c r="AN112" s="129">
        <v>10.33</v>
      </c>
      <c r="AO112" s="126">
        <f t="shared" ca="1" si="10"/>
        <v>352</v>
      </c>
      <c r="AR112" s="99" t="s">
        <v>136</v>
      </c>
      <c r="AS112" s="281" t="str">
        <f>LEFT(RIGHT(C112,LEN(C112)-MIN(SEARCH({0,1,2,3,4,5,6,7,8,9},C112&amp;"0123456789"))+1),2)</f>
        <v>19</v>
      </c>
      <c r="AT112" s="99">
        <v>3</v>
      </c>
      <c r="AU112" s="99" t="str">
        <f>LEFT(RIGHT(C112,LEN(C112)-MIN(SEARCH({0,1,2,3,4,5,6,7,8,9},C112&amp;"0123456789"))+1),5)</f>
        <v>19.02</v>
      </c>
      <c r="AV112" s="99" t="str">
        <f t="shared" si="11"/>
        <v>MI</v>
      </c>
    </row>
    <row r="113" spans="1:48" s="99" customFormat="1" ht="21" customHeight="1" x14ac:dyDescent="0.35">
      <c r="A113" s="99">
        <v>424</v>
      </c>
      <c r="B113" s="126" t="str">
        <f t="shared" si="6"/>
        <v>0-304L/FH-002X768</v>
      </c>
      <c r="C113" s="126" t="s">
        <v>3004</v>
      </c>
      <c r="D113" s="126" t="s">
        <v>13</v>
      </c>
      <c r="E113" s="143" t="s">
        <v>2861</v>
      </c>
      <c r="F113" s="143" t="s">
        <v>2862</v>
      </c>
      <c r="G113" s="126" t="s">
        <v>230</v>
      </c>
      <c r="H113" s="126" t="s">
        <v>65</v>
      </c>
      <c r="I113" s="127">
        <v>3.97</v>
      </c>
      <c r="J113" s="127">
        <v>2</v>
      </c>
      <c r="K113" s="127"/>
      <c r="L113" s="127"/>
      <c r="M113" s="144">
        <v>768</v>
      </c>
      <c r="N113" s="129">
        <v>10.305</v>
      </c>
      <c r="O113" s="129">
        <v>10.305</v>
      </c>
      <c r="P113" s="129" t="s">
        <v>116</v>
      </c>
      <c r="Q113" s="130" t="s">
        <v>1206</v>
      </c>
      <c r="R113" s="131"/>
      <c r="S113" s="131"/>
      <c r="T113" s="132">
        <v>44611</v>
      </c>
      <c r="U113" s="132">
        <v>44611</v>
      </c>
      <c r="V113" s="132"/>
      <c r="W113" s="132"/>
      <c r="X113" s="132"/>
      <c r="Y113" s="133" t="s">
        <v>1395</v>
      </c>
      <c r="Z113" s="126" t="s">
        <v>64</v>
      </c>
      <c r="AA113" s="134" t="s">
        <v>154</v>
      </c>
      <c r="AB113" s="134" t="s">
        <v>1516</v>
      </c>
      <c r="AC113" s="134"/>
      <c r="AD113" s="134">
        <v>44554</v>
      </c>
      <c r="AE113" s="134"/>
      <c r="AF113" s="134">
        <f t="shared" ca="1" si="7"/>
        <v>44963</v>
      </c>
      <c r="AG113" s="126">
        <f t="shared" ca="1" si="8"/>
        <v>409</v>
      </c>
      <c r="AH113" s="126" t="str">
        <f t="shared" si="9"/>
        <v/>
      </c>
      <c r="AI113" s="134"/>
      <c r="AJ113" s="143" t="s">
        <v>2767</v>
      </c>
      <c r="AK113" s="129">
        <v>10.305</v>
      </c>
      <c r="AL113" s="129">
        <v>10.315</v>
      </c>
      <c r="AM113" s="129">
        <v>10.339999999999998</v>
      </c>
      <c r="AN113" s="129">
        <v>10.344999999999999</v>
      </c>
      <c r="AO113" s="126">
        <f t="shared" ca="1" si="10"/>
        <v>352</v>
      </c>
      <c r="AR113" s="99" t="s">
        <v>136</v>
      </c>
      <c r="AS113" s="281" t="str">
        <f>LEFT(RIGHT(C113,LEN(C113)-MIN(SEARCH({0,1,2,3,4,5,6,7,8,9},C113&amp;"0123456789"))+1),2)</f>
        <v>19</v>
      </c>
      <c r="AT113" s="99">
        <v>3</v>
      </c>
      <c r="AU113" s="99" t="str">
        <f>LEFT(RIGHT(C113,LEN(C113)-MIN(SEARCH({0,1,2,3,4,5,6,7,8,9},C113&amp;"0123456789"))+1),5)</f>
        <v>19.02</v>
      </c>
      <c r="AV113" s="99" t="str">
        <f t="shared" si="11"/>
        <v>MI</v>
      </c>
    </row>
    <row r="114" spans="1:48" s="99" customFormat="1" ht="21" customHeight="1" x14ac:dyDescent="0.35">
      <c r="A114" s="99">
        <v>422</v>
      </c>
      <c r="B114" s="126" t="str">
        <f t="shared" si="6"/>
        <v>0-304L/FH-001X767</v>
      </c>
      <c r="C114" s="126" t="s">
        <v>3004</v>
      </c>
      <c r="D114" s="126" t="s">
        <v>13</v>
      </c>
      <c r="E114" s="143" t="s">
        <v>1345</v>
      </c>
      <c r="F114" s="143" t="s">
        <v>2863</v>
      </c>
      <c r="G114" s="126" t="s">
        <v>230</v>
      </c>
      <c r="H114" s="126" t="s">
        <v>65</v>
      </c>
      <c r="I114" s="127">
        <v>2.88</v>
      </c>
      <c r="J114" s="127">
        <v>0.7</v>
      </c>
      <c r="K114" s="127"/>
      <c r="L114" s="127"/>
      <c r="M114" s="144">
        <v>767</v>
      </c>
      <c r="N114" s="129">
        <v>7.29</v>
      </c>
      <c r="O114" s="129">
        <v>7.29</v>
      </c>
      <c r="P114" s="129" t="s">
        <v>116</v>
      </c>
      <c r="Q114" s="130" t="s">
        <v>1206</v>
      </c>
      <c r="R114" s="131"/>
      <c r="S114" s="131"/>
      <c r="T114" s="132">
        <v>44611</v>
      </c>
      <c r="U114" s="132">
        <v>44611</v>
      </c>
      <c r="V114" s="132"/>
      <c r="W114" s="132"/>
      <c r="X114" s="132"/>
      <c r="Y114" s="133"/>
      <c r="Z114" s="126" t="s">
        <v>64</v>
      </c>
      <c r="AA114" s="134" t="s">
        <v>154</v>
      </c>
      <c r="AB114" s="134" t="s">
        <v>1330</v>
      </c>
      <c r="AC114" s="134"/>
      <c r="AD114" s="134">
        <v>44516</v>
      </c>
      <c r="AE114" s="134"/>
      <c r="AF114" s="134">
        <f t="shared" ca="1" si="7"/>
        <v>44963</v>
      </c>
      <c r="AG114" s="126">
        <f t="shared" ca="1" si="8"/>
        <v>447</v>
      </c>
      <c r="AH114" s="126" t="str">
        <f t="shared" si="9"/>
        <v/>
      </c>
      <c r="AI114" s="134"/>
      <c r="AJ114" s="143" t="s">
        <v>1347</v>
      </c>
      <c r="AK114" s="129">
        <v>7.29</v>
      </c>
      <c r="AL114" s="129">
        <v>7.3</v>
      </c>
      <c r="AM114" s="129">
        <v>7.3250000000000002</v>
      </c>
      <c r="AN114" s="129">
        <v>7.33</v>
      </c>
      <c r="AO114" s="126">
        <f t="shared" ca="1" si="10"/>
        <v>352</v>
      </c>
      <c r="AR114" s="99" t="s">
        <v>136</v>
      </c>
      <c r="AS114" s="281" t="str">
        <f>LEFT(RIGHT(C114,LEN(C114)-MIN(SEARCH({0,1,2,3,4,5,6,7,8,9},C114&amp;"0123456789"))+1),2)</f>
        <v>19</v>
      </c>
      <c r="AT114" s="99">
        <v>3</v>
      </c>
      <c r="AU114" s="99" t="str">
        <f>LEFT(RIGHT(C114,LEN(C114)-MIN(SEARCH({0,1,2,3,4,5,6,7,8,9},C114&amp;"0123456789"))+1),5)</f>
        <v>19.02</v>
      </c>
      <c r="AV114" s="99" t="str">
        <f t="shared" si="11"/>
        <v>MI</v>
      </c>
    </row>
    <row r="115" spans="1:48" s="99" customFormat="1" ht="21" customHeight="1" x14ac:dyDescent="0.35">
      <c r="A115" s="99">
        <v>421</v>
      </c>
      <c r="B115" s="126" t="str">
        <f t="shared" si="6"/>
        <v>0-304L/FH-001X770</v>
      </c>
      <c r="C115" s="126" t="s">
        <v>3004</v>
      </c>
      <c r="D115" s="126" t="s">
        <v>13</v>
      </c>
      <c r="E115" s="143" t="s">
        <v>1251</v>
      </c>
      <c r="F115" s="143" t="s">
        <v>1252</v>
      </c>
      <c r="G115" s="126" t="s">
        <v>230</v>
      </c>
      <c r="H115" s="126" t="s">
        <v>65</v>
      </c>
      <c r="I115" s="127">
        <v>3.79</v>
      </c>
      <c r="J115" s="127">
        <v>1.42</v>
      </c>
      <c r="K115" s="127"/>
      <c r="L115" s="127"/>
      <c r="M115" s="144">
        <v>770</v>
      </c>
      <c r="N115" s="129">
        <v>10.36</v>
      </c>
      <c r="O115" s="129">
        <v>10.36</v>
      </c>
      <c r="P115" s="129" t="s">
        <v>116</v>
      </c>
      <c r="Q115" s="130" t="s">
        <v>284</v>
      </c>
      <c r="R115" s="131"/>
      <c r="S115" s="131"/>
      <c r="T115" s="132">
        <v>44611</v>
      </c>
      <c r="U115" s="132">
        <v>44611</v>
      </c>
      <c r="V115" s="132"/>
      <c r="W115" s="132"/>
      <c r="X115" s="132"/>
      <c r="Y115" s="133"/>
      <c r="Z115" s="126" t="s">
        <v>64</v>
      </c>
      <c r="AA115" s="134" t="s">
        <v>154</v>
      </c>
      <c r="AB115" s="134" t="s">
        <v>1246</v>
      </c>
      <c r="AC115" s="134"/>
      <c r="AD115" s="134">
        <v>44496</v>
      </c>
      <c r="AE115" s="134"/>
      <c r="AF115" s="134">
        <f t="shared" ca="1" si="7"/>
        <v>44963</v>
      </c>
      <c r="AG115" s="126">
        <f t="shared" ca="1" si="8"/>
        <v>467</v>
      </c>
      <c r="AH115" s="126" t="str">
        <f t="shared" si="9"/>
        <v/>
      </c>
      <c r="AI115" s="134"/>
      <c r="AJ115" s="143" t="s">
        <v>1253</v>
      </c>
      <c r="AK115" s="129">
        <v>10.36</v>
      </c>
      <c r="AL115" s="129">
        <v>10.37</v>
      </c>
      <c r="AM115" s="129">
        <v>10.394999999999998</v>
      </c>
      <c r="AN115" s="129">
        <v>10.399999999999999</v>
      </c>
      <c r="AO115" s="126">
        <f t="shared" ca="1" si="10"/>
        <v>352</v>
      </c>
      <c r="AR115" s="99" t="s">
        <v>136</v>
      </c>
      <c r="AS115" s="281" t="str">
        <f>LEFT(RIGHT(C115,LEN(C115)-MIN(SEARCH({0,1,2,3,4,5,6,7,8,9},C115&amp;"0123456789"))+1),2)</f>
        <v>19</v>
      </c>
      <c r="AT115" s="99">
        <v>3</v>
      </c>
      <c r="AU115" s="99" t="str">
        <f>LEFT(RIGHT(C115,LEN(C115)-MIN(SEARCH({0,1,2,3,4,5,6,7,8,9},C115&amp;"0123456789"))+1),5)</f>
        <v>19.02</v>
      </c>
      <c r="AV115" s="99" t="str">
        <f t="shared" si="11"/>
        <v>MI</v>
      </c>
    </row>
    <row r="116" spans="1:48" s="99" customFormat="1" ht="21" customHeight="1" x14ac:dyDescent="0.35">
      <c r="A116" s="99">
        <v>424</v>
      </c>
      <c r="B116" s="126" t="str">
        <f t="shared" si="6"/>
        <v>0-304L/FH-002X768</v>
      </c>
      <c r="C116" s="126" t="s">
        <v>3005</v>
      </c>
      <c r="D116" s="126" t="s">
        <v>13</v>
      </c>
      <c r="E116" s="143" t="s">
        <v>2864</v>
      </c>
      <c r="F116" s="143" t="s">
        <v>2865</v>
      </c>
      <c r="G116" s="126" t="s">
        <v>230</v>
      </c>
      <c r="H116" s="126" t="s">
        <v>65</v>
      </c>
      <c r="I116" s="127">
        <v>3.82</v>
      </c>
      <c r="J116" s="127">
        <v>2</v>
      </c>
      <c r="K116" s="127"/>
      <c r="L116" s="127"/>
      <c r="M116" s="144">
        <v>768</v>
      </c>
      <c r="N116" s="129">
        <v>11.41</v>
      </c>
      <c r="O116" s="129">
        <v>11.41</v>
      </c>
      <c r="P116" s="129" t="s">
        <v>116</v>
      </c>
      <c r="Q116" s="130" t="s">
        <v>1206</v>
      </c>
      <c r="R116" s="131"/>
      <c r="S116" s="131"/>
      <c r="T116" s="132">
        <v>44611</v>
      </c>
      <c r="U116" s="132">
        <v>44612</v>
      </c>
      <c r="V116" s="132"/>
      <c r="W116" s="132"/>
      <c r="X116" s="132"/>
      <c r="Y116" s="133" t="s">
        <v>1395</v>
      </c>
      <c r="Z116" s="126" t="s">
        <v>64</v>
      </c>
      <c r="AA116" s="134" t="s">
        <v>154</v>
      </c>
      <c r="AB116" s="134" t="s">
        <v>1330</v>
      </c>
      <c r="AC116" s="134"/>
      <c r="AD116" s="134">
        <v>44554</v>
      </c>
      <c r="AE116" s="134"/>
      <c r="AF116" s="134">
        <f t="shared" ca="1" si="7"/>
        <v>44963</v>
      </c>
      <c r="AG116" s="126">
        <f t="shared" ca="1" si="8"/>
        <v>409</v>
      </c>
      <c r="AH116" s="126" t="str">
        <f t="shared" si="9"/>
        <v/>
      </c>
      <c r="AI116" s="134"/>
      <c r="AJ116" s="143" t="s">
        <v>1510</v>
      </c>
      <c r="AK116" s="129">
        <v>11.41</v>
      </c>
      <c r="AL116" s="129">
        <v>11.42</v>
      </c>
      <c r="AM116" s="129">
        <v>11.444999999999999</v>
      </c>
      <c r="AN116" s="129">
        <v>11.45</v>
      </c>
      <c r="AO116" s="126">
        <f t="shared" ca="1" si="10"/>
        <v>351</v>
      </c>
      <c r="AR116" s="99" t="s">
        <v>136</v>
      </c>
      <c r="AS116" s="281" t="str">
        <f>LEFT(RIGHT(C116,LEN(C116)-MIN(SEARCH({0,1,2,3,4,5,6,7,8,9},C116&amp;"0123456789"))+1),2)</f>
        <v>20</v>
      </c>
      <c r="AT116" s="99">
        <v>2</v>
      </c>
      <c r="AU116" s="99" t="str">
        <f>LEFT(RIGHT(C116,LEN(C116)-MIN(SEARCH({0,1,2,3,4,5,6,7,8,9},C116&amp;"0123456789"))+1),5)</f>
        <v>20.02</v>
      </c>
      <c r="AV116" s="99" t="str">
        <f t="shared" si="11"/>
        <v>MI</v>
      </c>
    </row>
    <row r="117" spans="1:48" s="99" customFormat="1" ht="21" customHeight="1" x14ac:dyDescent="0.35">
      <c r="A117" s="99">
        <v>422</v>
      </c>
      <c r="B117" s="126" t="str">
        <f t="shared" si="6"/>
        <v>0-304L/FH-001X765</v>
      </c>
      <c r="C117" s="126" t="s">
        <v>3005</v>
      </c>
      <c r="D117" s="126" t="s">
        <v>13</v>
      </c>
      <c r="E117" s="143" t="s">
        <v>1351</v>
      </c>
      <c r="F117" s="143" t="s">
        <v>1352</v>
      </c>
      <c r="G117" s="126" t="s">
        <v>230</v>
      </c>
      <c r="H117" s="126" t="s">
        <v>65</v>
      </c>
      <c r="I117" s="127">
        <v>2.9</v>
      </c>
      <c r="J117" s="127">
        <v>0.95</v>
      </c>
      <c r="K117" s="127"/>
      <c r="L117" s="127"/>
      <c r="M117" s="144">
        <v>765</v>
      </c>
      <c r="N117" s="129">
        <v>8.7149999999999999</v>
      </c>
      <c r="O117" s="129">
        <v>8.7149999999999999</v>
      </c>
      <c r="P117" s="129" t="s">
        <v>116</v>
      </c>
      <c r="Q117" s="130" t="s">
        <v>446</v>
      </c>
      <c r="R117" s="131"/>
      <c r="S117" s="131"/>
      <c r="T117" s="132">
        <v>44612</v>
      </c>
      <c r="U117" s="132">
        <v>44612</v>
      </c>
      <c r="V117" s="132"/>
      <c r="W117" s="132"/>
      <c r="X117" s="132"/>
      <c r="Y117" s="133"/>
      <c r="Z117" s="126" t="s">
        <v>64</v>
      </c>
      <c r="AA117" s="134" t="s">
        <v>154</v>
      </c>
      <c r="AB117" s="134" t="s">
        <v>1330</v>
      </c>
      <c r="AC117" s="134"/>
      <c r="AD117" s="134">
        <v>44516</v>
      </c>
      <c r="AE117" s="134"/>
      <c r="AF117" s="134">
        <f t="shared" ca="1" si="7"/>
        <v>44963</v>
      </c>
      <c r="AG117" s="126">
        <f t="shared" ca="1" si="8"/>
        <v>447</v>
      </c>
      <c r="AH117" s="126" t="str">
        <f t="shared" si="9"/>
        <v/>
      </c>
      <c r="AI117" s="134"/>
      <c r="AJ117" s="143" t="s">
        <v>1350</v>
      </c>
      <c r="AK117" s="129">
        <v>8.7149999999999999</v>
      </c>
      <c r="AL117" s="129">
        <v>8.7249999999999996</v>
      </c>
      <c r="AM117" s="129">
        <v>8.7499999999999982</v>
      </c>
      <c r="AN117" s="129">
        <v>8.754999999999999</v>
      </c>
      <c r="AO117" s="126">
        <f t="shared" ca="1" si="10"/>
        <v>351</v>
      </c>
      <c r="AR117" s="99" t="s">
        <v>136</v>
      </c>
      <c r="AS117" s="281" t="str">
        <f>LEFT(RIGHT(C117,LEN(C117)-MIN(SEARCH({0,1,2,3,4,5,6,7,8,9},C117&amp;"0123456789"))+1),2)</f>
        <v>20</v>
      </c>
      <c r="AT117" s="99">
        <v>2</v>
      </c>
      <c r="AU117" s="99" t="str">
        <f>LEFT(RIGHT(C117,LEN(C117)-MIN(SEARCH({0,1,2,3,4,5,6,7,8,9},C117&amp;"0123456789"))+1),5)</f>
        <v>20.02</v>
      </c>
      <c r="AV117" s="99" t="str">
        <f t="shared" si="11"/>
        <v>MI</v>
      </c>
    </row>
    <row r="118" spans="1:48" s="99" customFormat="1" ht="21" customHeight="1" x14ac:dyDescent="0.35">
      <c r="A118" s="99">
        <v>422</v>
      </c>
      <c r="B118" s="126" t="str">
        <f t="shared" si="6"/>
        <v>0-304/FH-001X772</v>
      </c>
      <c r="C118" s="126" t="s">
        <v>3005</v>
      </c>
      <c r="D118" s="126" t="s">
        <v>13</v>
      </c>
      <c r="E118" s="143" t="s">
        <v>1332</v>
      </c>
      <c r="F118" s="143" t="s">
        <v>1333</v>
      </c>
      <c r="G118" s="126">
        <v>304</v>
      </c>
      <c r="H118" s="126" t="s">
        <v>65</v>
      </c>
      <c r="I118" s="127">
        <v>2.98</v>
      </c>
      <c r="J118" s="127">
        <v>0.92</v>
      </c>
      <c r="K118" s="127"/>
      <c r="L118" s="127"/>
      <c r="M118" s="144">
        <v>772</v>
      </c>
      <c r="N118" s="129">
        <v>10.28</v>
      </c>
      <c r="O118" s="129">
        <v>10.28</v>
      </c>
      <c r="P118" s="129" t="s">
        <v>116</v>
      </c>
      <c r="Q118" s="130" t="s">
        <v>1334</v>
      </c>
      <c r="R118" s="131"/>
      <c r="S118" s="131"/>
      <c r="T118" s="132">
        <v>44611</v>
      </c>
      <c r="U118" s="132">
        <v>44612</v>
      </c>
      <c r="V118" s="132"/>
      <c r="W118" s="132"/>
      <c r="X118" s="132"/>
      <c r="Y118" s="133"/>
      <c r="Z118" s="126" t="s">
        <v>64</v>
      </c>
      <c r="AA118" s="134" t="s">
        <v>154</v>
      </c>
      <c r="AB118" s="134" t="s">
        <v>1330</v>
      </c>
      <c r="AC118" s="134"/>
      <c r="AD118" s="134">
        <v>44516</v>
      </c>
      <c r="AE118" s="134"/>
      <c r="AF118" s="134">
        <f t="shared" ca="1" si="7"/>
        <v>44963</v>
      </c>
      <c r="AG118" s="126">
        <f t="shared" ca="1" si="8"/>
        <v>447</v>
      </c>
      <c r="AH118" s="126" t="str">
        <f t="shared" si="9"/>
        <v/>
      </c>
      <c r="AI118" s="134"/>
      <c r="AJ118" s="143" t="s">
        <v>1335</v>
      </c>
      <c r="AK118" s="129">
        <v>10.28</v>
      </c>
      <c r="AL118" s="129">
        <v>10.29</v>
      </c>
      <c r="AM118" s="129">
        <v>10.314999999999998</v>
      </c>
      <c r="AN118" s="129">
        <v>10.319999999999999</v>
      </c>
      <c r="AO118" s="126">
        <f t="shared" ca="1" si="10"/>
        <v>351</v>
      </c>
      <c r="AR118" s="99" t="s">
        <v>136</v>
      </c>
      <c r="AS118" s="281" t="str">
        <f>LEFT(RIGHT(C118,LEN(C118)-MIN(SEARCH({0,1,2,3,4,5,6,7,8,9},C118&amp;"0123456789"))+1),2)</f>
        <v>20</v>
      </c>
      <c r="AT118" s="99">
        <v>2</v>
      </c>
      <c r="AU118" s="99" t="str">
        <f>LEFT(RIGHT(C118,LEN(C118)-MIN(SEARCH({0,1,2,3,4,5,6,7,8,9},C118&amp;"0123456789"))+1),5)</f>
        <v>20.02</v>
      </c>
      <c r="AV118" s="99" t="str">
        <f t="shared" si="11"/>
        <v>MI</v>
      </c>
    </row>
    <row r="119" spans="1:48" s="99" customFormat="1" ht="21" customHeight="1" x14ac:dyDescent="0.35">
      <c r="A119" s="99">
        <v>424</v>
      </c>
      <c r="B119" s="126" t="str">
        <f t="shared" si="6"/>
        <v>0-304L/FH-001X766</v>
      </c>
      <c r="C119" s="126" t="s">
        <v>3005</v>
      </c>
      <c r="D119" s="126" t="s">
        <v>13</v>
      </c>
      <c r="E119" s="143" t="s">
        <v>2868</v>
      </c>
      <c r="F119" s="143" t="s">
        <v>2869</v>
      </c>
      <c r="G119" s="126" t="s">
        <v>230</v>
      </c>
      <c r="H119" s="126" t="s">
        <v>65</v>
      </c>
      <c r="I119" s="127">
        <v>3.36</v>
      </c>
      <c r="J119" s="127">
        <v>1.2</v>
      </c>
      <c r="K119" s="127"/>
      <c r="L119" s="127"/>
      <c r="M119" s="144">
        <v>766</v>
      </c>
      <c r="N119" s="129">
        <v>10.345000000000001</v>
      </c>
      <c r="O119" s="129">
        <v>10.345000000000001</v>
      </c>
      <c r="P119" s="129" t="s">
        <v>116</v>
      </c>
      <c r="Q119" s="130" t="s">
        <v>1206</v>
      </c>
      <c r="R119" s="131"/>
      <c r="S119" s="131"/>
      <c r="T119" s="132">
        <v>44612</v>
      </c>
      <c r="U119" s="132">
        <v>44612</v>
      </c>
      <c r="V119" s="132"/>
      <c r="W119" s="132"/>
      <c r="X119" s="132"/>
      <c r="Y119" s="133" t="s">
        <v>1395</v>
      </c>
      <c r="Z119" s="126" t="s">
        <v>64</v>
      </c>
      <c r="AA119" s="134" t="s">
        <v>154</v>
      </c>
      <c r="AB119" s="134" t="s">
        <v>1516</v>
      </c>
      <c r="AC119" s="134"/>
      <c r="AD119" s="134">
        <v>44554</v>
      </c>
      <c r="AE119" s="134"/>
      <c r="AF119" s="134">
        <f t="shared" ca="1" si="7"/>
        <v>44963</v>
      </c>
      <c r="AG119" s="126">
        <f t="shared" ca="1" si="8"/>
        <v>409</v>
      </c>
      <c r="AH119" s="126" t="str">
        <f t="shared" si="9"/>
        <v/>
      </c>
      <c r="AI119" s="134"/>
      <c r="AJ119" s="143" t="s">
        <v>1537</v>
      </c>
      <c r="AK119" s="129">
        <v>10.345000000000001</v>
      </c>
      <c r="AL119" s="129">
        <v>10.355</v>
      </c>
      <c r="AM119" s="129">
        <v>10.379999999999999</v>
      </c>
      <c r="AN119" s="129">
        <v>10.385</v>
      </c>
      <c r="AO119" s="126">
        <f t="shared" ca="1" si="10"/>
        <v>351</v>
      </c>
      <c r="AR119" s="99" t="s">
        <v>136</v>
      </c>
      <c r="AS119" s="281" t="str">
        <f>LEFT(RIGHT(C119,LEN(C119)-MIN(SEARCH({0,1,2,3,4,5,6,7,8,9},C119&amp;"0123456789"))+1),2)</f>
        <v>20</v>
      </c>
      <c r="AT119" s="99">
        <v>3</v>
      </c>
      <c r="AU119" s="99" t="str">
        <f>LEFT(RIGHT(C119,LEN(C119)-MIN(SEARCH({0,1,2,3,4,5,6,7,8,9},C119&amp;"0123456789"))+1),5)</f>
        <v>20.02</v>
      </c>
      <c r="AV119" s="99" t="str">
        <f t="shared" si="11"/>
        <v>MI</v>
      </c>
    </row>
    <row r="120" spans="1:48" s="99" customFormat="1" ht="21" customHeight="1" x14ac:dyDescent="0.35">
      <c r="A120" s="99">
        <v>421</v>
      </c>
      <c r="B120" s="126" t="str">
        <f t="shared" si="6"/>
        <v>0-304L/FH-001X770</v>
      </c>
      <c r="C120" s="126" t="s">
        <v>3005</v>
      </c>
      <c r="D120" s="126" t="s">
        <v>13</v>
      </c>
      <c r="E120" s="143" t="s">
        <v>2872</v>
      </c>
      <c r="F120" s="143" t="s">
        <v>2873</v>
      </c>
      <c r="G120" s="126" t="s">
        <v>230</v>
      </c>
      <c r="H120" s="126" t="s">
        <v>65</v>
      </c>
      <c r="I120" s="127">
        <v>2.91</v>
      </c>
      <c r="J120" s="127">
        <v>1.01</v>
      </c>
      <c r="K120" s="127"/>
      <c r="L120" s="127"/>
      <c r="M120" s="144">
        <v>770</v>
      </c>
      <c r="N120" s="129">
        <v>8.31</v>
      </c>
      <c r="O120" s="129">
        <v>8.31</v>
      </c>
      <c r="P120" s="129" t="s">
        <v>116</v>
      </c>
      <c r="Q120" s="130" t="s">
        <v>1326</v>
      </c>
      <c r="R120" s="131"/>
      <c r="S120" s="131"/>
      <c r="T120" s="132">
        <v>44612</v>
      </c>
      <c r="U120" s="132">
        <v>44612</v>
      </c>
      <c r="V120" s="132"/>
      <c r="W120" s="132"/>
      <c r="X120" s="132"/>
      <c r="Y120" s="133"/>
      <c r="Z120" s="126" t="s">
        <v>64</v>
      </c>
      <c r="AA120" s="134" t="s">
        <v>154</v>
      </c>
      <c r="AB120" s="134" t="s">
        <v>1190</v>
      </c>
      <c r="AC120" s="134"/>
      <c r="AD120" s="134">
        <v>44496</v>
      </c>
      <c r="AE120" s="134"/>
      <c r="AF120" s="134">
        <f t="shared" ca="1" si="7"/>
        <v>44963</v>
      </c>
      <c r="AG120" s="126">
        <f t="shared" ca="1" si="8"/>
        <v>467</v>
      </c>
      <c r="AH120" s="126" t="str">
        <f t="shared" si="9"/>
        <v/>
      </c>
      <c r="AI120" s="134"/>
      <c r="AJ120" s="143" t="s">
        <v>2740</v>
      </c>
      <c r="AK120" s="129">
        <v>8.31</v>
      </c>
      <c r="AL120" s="129">
        <v>8.32</v>
      </c>
      <c r="AM120" s="129">
        <v>8.3449999999999989</v>
      </c>
      <c r="AN120" s="129">
        <v>8.35</v>
      </c>
      <c r="AO120" s="126">
        <f t="shared" ca="1" si="10"/>
        <v>351</v>
      </c>
      <c r="AR120" s="99" t="s">
        <v>136</v>
      </c>
      <c r="AS120" s="281" t="str">
        <f>LEFT(RIGHT(C120,LEN(C120)-MIN(SEARCH({0,1,2,3,4,5,6,7,8,9},C120&amp;"0123456789"))+1),2)</f>
        <v>20</v>
      </c>
      <c r="AT120" s="99">
        <v>3</v>
      </c>
      <c r="AU120" s="99" t="str">
        <f>LEFT(RIGHT(C120,LEN(C120)-MIN(SEARCH({0,1,2,3,4,5,6,7,8,9},C120&amp;"0123456789"))+1),5)</f>
        <v>20.02</v>
      </c>
      <c r="AV120" s="99" t="str">
        <f t="shared" si="11"/>
        <v>MI</v>
      </c>
    </row>
    <row r="121" spans="1:48" s="99" customFormat="1" ht="21" customHeight="1" x14ac:dyDescent="0.35">
      <c r="A121" s="99">
        <v>424</v>
      </c>
      <c r="B121" s="126" t="str">
        <f t="shared" si="6"/>
        <v>0-304L/FH-002X767</v>
      </c>
      <c r="C121" s="126" t="s">
        <v>3005</v>
      </c>
      <c r="D121" s="126" t="s">
        <v>13</v>
      </c>
      <c r="E121" s="143" t="s">
        <v>2870</v>
      </c>
      <c r="F121" s="143" t="s">
        <v>2871</v>
      </c>
      <c r="G121" s="126" t="s">
        <v>230</v>
      </c>
      <c r="H121" s="126" t="s">
        <v>65</v>
      </c>
      <c r="I121" s="127">
        <v>3.77</v>
      </c>
      <c r="J121" s="127">
        <v>1.5</v>
      </c>
      <c r="K121" s="127"/>
      <c r="L121" s="127"/>
      <c r="M121" s="144">
        <v>767</v>
      </c>
      <c r="N121" s="129">
        <v>11.695</v>
      </c>
      <c r="O121" s="129">
        <v>11.695</v>
      </c>
      <c r="P121" s="129" t="s">
        <v>116</v>
      </c>
      <c r="Q121" s="130" t="s">
        <v>1206</v>
      </c>
      <c r="R121" s="131"/>
      <c r="S121" s="131"/>
      <c r="T121" s="132">
        <v>44612</v>
      </c>
      <c r="U121" s="132">
        <v>44612</v>
      </c>
      <c r="V121" s="132"/>
      <c r="W121" s="132"/>
      <c r="X121" s="132"/>
      <c r="Y121" s="133" t="s">
        <v>1395</v>
      </c>
      <c r="Z121" s="126" t="s">
        <v>64</v>
      </c>
      <c r="AA121" s="134" t="s">
        <v>154</v>
      </c>
      <c r="AB121" s="134" t="s">
        <v>1516</v>
      </c>
      <c r="AC121" s="134"/>
      <c r="AD121" s="134">
        <v>44554</v>
      </c>
      <c r="AE121" s="134"/>
      <c r="AF121" s="134">
        <f t="shared" ca="1" si="7"/>
        <v>44963</v>
      </c>
      <c r="AG121" s="126">
        <f t="shared" ca="1" si="8"/>
        <v>409</v>
      </c>
      <c r="AH121" s="126" t="str">
        <f t="shared" si="9"/>
        <v/>
      </c>
      <c r="AI121" s="134"/>
      <c r="AJ121" s="143" t="s">
        <v>1588</v>
      </c>
      <c r="AK121" s="129">
        <v>11.695</v>
      </c>
      <c r="AL121" s="129">
        <v>11.705</v>
      </c>
      <c r="AM121" s="129">
        <v>11.729999999999999</v>
      </c>
      <c r="AN121" s="129">
        <v>11.734999999999999</v>
      </c>
      <c r="AO121" s="126">
        <f t="shared" ca="1" si="10"/>
        <v>351</v>
      </c>
      <c r="AR121" s="99" t="s">
        <v>136</v>
      </c>
      <c r="AS121" s="281" t="str">
        <f>LEFT(RIGHT(C121,LEN(C121)-MIN(SEARCH({0,1,2,3,4,5,6,7,8,9},C121&amp;"0123456789"))+1),2)</f>
        <v>20</v>
      </c>
      <c r="AT121" s="99">
        <v>3</v>
      </c>
      <c r="AU121" s="99" t="str">
        <f>LEFT(RIGHT(C121,LEN(C121)-MIN(SEARCH({0,1,2,3,4,5,6,7,8,9},C121&amp;"0123456789"))+1),5)</f>
        <v>20.02</v>
      </c>
      <c r="AV121" s="99" t="str">
        <f t="shared" si="11"/>
        <v>MI</v>
      </c>
    </row>
    <row r="122" spans="1:48" s="99" customFormat="1" ht="21" customHeight="1" x14ac:dyDescent="0.35">
      <c r="A122" s="99">
        <v>424</v>
      </c>
      <c r="B122" s="126" t="str">
        <f t="shared" si="6"/>
        <v>0-304L/FH-002X764</v>
      </c>
      <c r="C122" s="126" t="s">
        <v>3006</v>
      </c>
      <c r="D122" s="126" t="s">
        <v>13</v>
      </c>
      <c r="E122" s="143" t="s">
        <v>2876</v>
      </c>
      <c r="F122" s="143" t="s">
        <v>2877</v>
      </c>
      <c r="G122" s="126" t="s">
        <v>230</v>
      </c>
      <c r="H122" s="126" t="s">
        <v>65</v>
      </c>
      <c r="I122" s="127">
        <v>3.78</v>
      </c>
      <c r="J122" s="127">
        <v>1.5</v>
      </c>
      <c r="K122" s="127"/>
      <c r="L122" s="127"/>
      <c r="M122" s="144">
        <v>764</v>
      </c>
      <c r="N122" s="129">
        <v>10.210000000000001</v>
      </c>
      <c r="O122" s="129">
        <v>10.210000000000001</v>
      </c>
      <c r="P122" s="129" t="s">
        <v>116</v>
      </c>
      <c r="Q122" s="130" t="s">
        <v>1206</v>
      </c>
      <c r="R122" s="131"/>
      <c r="S122" s="131"/>
      <c r="T122" s="132">
        <v>44612</v>
      </c>
      <c r="U122" s="132">
        <v>44613</v>
      </c>
      <c r="V122" s="132"/>
      <c r="W122" s="132"/>
      <c r="X122" s="132"/>
      <c r="Y122" s="133" t="s">
        <v>1395</v>
      </c>
      <c r="Z122" s="126" t="s">
        <v>64</v>
      </c>
      <c r="AA122" s="134" t="s">
        <v>154</v>
      </c>
      <c r="AB122" s="134" t="s">
        <v>1330</v>
      </c>
      <c r="AC122" s="134"/>
      <c r="AD122" s="134">
        <v>44554</v>
      </c>
      <c r="AE122" s="134"/>
      <c r="AF122" s="134">
        <f t="shared" ca="1" si="7"/>
        <v>44963</v>
      </c>
      <c r="AG122" s="126">
        <f t="shared" ca="1" si="8"/>
        <v>409</v>
      </c>
      <c r="AH122" s="126" t="str">
        <f t="shared" si="9"/>
        <v/>
      </c>
      <c r="AI122" s="134"/>
      <c r="AJ122" s="143" t="s">
        <v>1396</v>
      </c>
      <c r="AK122" s="129">
        <v>10.210000000000001</v>
      </c>
      <c r="AL122" s="129">
        <v>10.220000000000001</v>
      </c>
      <c r="AM122" s="129">
        <v>10.244999999999999</v>
      </c>
      <c r="AN122" s="129">
        <v>10.25</v>
      </c>
      <c r="AO122" s="126">
        <f t="shared" ca="1" si="10"/>
        <v>350</v>
      </c>
      <c r="AR122" s="99" t="s">
        <v>136</v>
      </c>
      <c r="AS122" s="281" t="str">
        <f>LEFT(RIGHT(C122,LEN(C122)-MIN(SEARCH({0,1,2,3,4,5,6,7,8,9},C122&amp;"0123456789"))+1),2)</f>
        <v>21</v>
      </c>
      <c r="AT122" s="99">
        <v>1</v>
      </c>
      <c r="AU122" s="99" t="str">
        <f>LEFT(RIGHT(C122,LEN(C122)-MIN(SEARCH({0,1,2,3,4,5,6,7,8,9},C122&amp;"0123456789"))+1),5)</f>
        <v>21.02</v>
      </c>
      <c r="AV122" s="99" t="str">
        <f t="shared" si="11"/>
        <v>MI</v>
      </c>
    </row>
    <row r="123" spans="1:48" s="99" customFormat="1" ht="21" customHeight="1" x14ac:dyDescent="0.35">
      <c r="A123" s="99">
        <v>422</v>
      </c>
      <c r="B123" s="126" t="str">
        <f t="shared" si="6"/>
        <v>0-304/FH-001X768</v>
      </c>
      <c r="C123" s="126" t="s">
        <v>3007</v>
      </c>
      <c r="D123" s="126" t="s">
        <v>13</v>
      </c>
      <c r="E123" s="143" t="s">
        <v>2879</v>
      </c>
      <c r="F123" s="143" t="s">
        <v>2880</v>
      </c>
      <c r="G123" s="126">
        <v>304</v>
      </c>
      <c r="H123" s="126" t="s">
        <v>65</v>
      </c>
      <c r="I123" s="127">
        <v>3</v>
      </c>
      <c r="J123" s="127">
        <v>1.01</v>
      </c>
      <c r="K123" s="127"/>
      <c r="L123" s="127"/>
      <c r="M123" s="144">
        <v>768</v>
      </c>
      <c r="N123" s="129">
        <v>10.455</v>
      </c>
      <c r="O123" s="129">
        <v>10.455</v>
      </c>
      <c r="P123" s="129" t="s">
        <v>116</v>
      </c>
      <c r="Q123" s="130" t="s">
        <v>2987</v>
      </c>
      <c r="R123" s="131"/>
      <c r="S123" s="131"/>
      <c r="T123" s="132">
        <v>44613</v>
      </c>
      <c r="U123" s="132">
        <v>44614</v>
      </c>
      <c r="V123" s="132"/>
      <c r="W123" s="132"/>
      <c r="X123" s="132"/>
      <c r="Y123" s="133"/>
      <c r="Z123" s="126" t="s">
        <v>64</v>
      </c>
      <c r="AA123" s="134" t="s">
        <v>154</v>
      </c>
      <c r="AB123" s="134" t="s">
        <v>1296</v>
      </c>
      <c r="AC123" s="134"/>
      <c r="AD123" s="134">
        <v>44516</v>
      </c>
      <c r="AE123" s="134"/>
      <c r="AF123" s="134">
        <f t="shared" ca="1" si="7"/>
        <v>44963</v>
      </c>
      <c r="AG123" s="126">
        <f t="shared" ca="1" si="8"/>
        <v>447</v>
      </c>
      <c r="AH123" s="126" t="str">
        <f t="shared" si="9"/>
        <v/>
      </c>
      <c r="AI123" s="134"/>
      <c r="AJ123" s="143" t="s">
        <v>2881</v>
      </c>
      <c r="AK123" s="129">
        <v>10.455</v>
      </c>
      <c r="AL123" s="129">
        <v>10.465</v>
      </c>
      <c r="AM123" s="129">
        <v>10.489999999999998</v>
      </c>
      <c r="AN123" s="129">
        <v>10.494999999999999</v>
      </c>
      <c r="AO123" s="126">
        <f t="shared" ca="1" si="10"/>
        <v>349</v>
      </c>
      <c r="AR123" s="99" t="s">
        <v>136</v>
      </c>
      <c r="AS123" s="281" t="str">
        <f>LEFT(RIGHT(C123,LEN(C123)-MIN(SEARCH({0,1,2,3,4,5,6,7,8,9},C123&amp;"0123456789"))+1),2)</f>
        <v>22</v>
      </c>
      <c r="AT123" s="99">
        <v>2</v>
      </c>
      <c r="AU123" s="99" t="str">
        <f>LEFT(RIGHT(C123,LEN(C123)-MIN(SEARCH({0,1,2,3,4,5,6,7,8,9},C123&amp;"0123456789"))+1),5)</f>
        <v>22.02</v>
      </c>
      <c r="AV123" s="99" t="str">
        <f t="shared" si="11"/>
        <v>MI</v>
      </c>
    </row>
    <row r="124" spans="1:48" s="99" customFormat="1" ht="21" customHeight="1" x14ac:dyDescent="0.35">
      <c r="A124" s="99">
        <v>421</v>
      </c>
      <c r="B124" s="126" t="str">
        <f t="shared" si="6"/>
        <v>0-304L/FH-001X770</v>
      </c>
      <c r="C124" s="126" t="s">
        <v>3007</v>
      </c>
      <c r="D124" s="126" t="s">
        <v>13</v>
      </c>
      <c r="E124" s="143" t="s">
        <v>2884</v>
      </c>
      <c r="F124" s="143" t="s">
        <v>2885</v>
      </c>
      <c r="G124" s="126" t="s">
        <v>230</v>
      </c>
      <c r="H124" s="126" t="s">
        <v>65</v>
      </c>
      <c r="I124" s="127">
        <v>2.88</v>
      </c>
      <c r="J124" s="127">
        <v>0.8</v>
      </c>
      <c r="K124" s="127"/>
      <c r="L124" s="127"/>
      <c r="M124" s="144">
        <v>770</v>
      </c>
      <c r="N124" s="129">
        <v>12.08</v>
      </c>
      <c r="O124" s="129">
        <v>12.08</v>
      </c>
      <c r="P124" s="129" t="s">
        <v>116</v>
      </c>
      <c r="Q124" s="130" t="s">
        <v>1206</v>
      </c>
      <c r="R124" s="131"/>
      <c r="S124" s="131"/>
      <c r="T124" s="132">
        <v>44614</v>
      </c>
      <c r="U124" s="132">
        <v>44614</v>
      </c>
      <c r="V124" s="132"/>
      <c r="W124" s="132"/>
      <c r="X124" s="132"/>
      <c r="Y124" s="133"/>
      <c r="Z124" s="126" t="s">
        <v>64</v>
      </c>
      <c r="AA124" s="134" t="s">
        <v>154</v>
      </c>
      <c r="AB124" s="134" t="s">
        <v>1190</v>
      </c>
      <c r="AC124" s="134"/>
      <c r="AD124" s="134">
        <v>44496</v>
      </c>
      <c r="AE124" s="134"/>
      <c r="AF124" s="134">
        <f t="shared" ca="1" si="7"/>
        <v>44963</v>
      </c>
      <c r="AG124" s="126">
        <f t="shared" ca="1" si="8"/>
        <v>467</v>
      </c>
      <c r="AH124" s="126" t="str">
        <f t="shared" si="9"/>
        <v/>
      </c>
      <c r="AI124" s="134"/>
      <c r="AJ124" s="143" t="s">
        <v>2751</v>
      </c>
      <c r="AK124" s="129">
        <v>12.08</v>
      </c>
      <c r="AL124" s="129">
        <v>12.09</v>
      </c>
      <c r="AM124" s="129">
        <v>12.114999999999998</v>
      </c>
      <c r="AN124" s="129">
        <v>12.12</v>
      </c>
      <c r="AO124" s="126">
        <f t="shared" ca="1" si="10"/>
        <v>349</v>
      </c>
      <c r="AR124" s="99" t="s">
        <v>136</v>
      </c>
      <c r="AS124" s="281" t="str">
        <f>LEFT(RIGHT(C124,LEN(C124)-MIN(SEARCH({0,1,2,3,4,5,6,7,8,9},C124&amp;"0123456789"))+1),2)</f>
        <v>22</v>
      </c>
      <c r="AT124" s="99">
        <v>2</v>
      </c>
      <c r="AU124" s="99" t="str">
        <f>LEFT(RIGHT(C124,LEN(C124)-MIN(SEARCH({0,1,2,3,4,5,6,7,8,9},C124&amp;"0123456789"))+1),5)</f>
        <v>22.02</v>
      </c>
      <c r="AV124" s="99" t="str">
        <f t="shared" si="11"/>
        <v>MI</v>
      </c>
    </row>
    <row r="125" spans="1:48" s="99" customFormat="1" ht="21" customHeight="1" x14ac:dyDescent="0.35">
      <c r="A125" s="99">
        <v>424</v>
      </c>
      <c r="B125" s="126" t="str">
        <f t="shared" si="6"/>
        <v>0-304/FH-002X773</v>
      </c>
      <c r="C125" s="126" t="s">
        <v>3007</v>
      </c>
      <c r="D125" s="126" t="s">
        <v>13</v>
      </c>
      <c r="E125" s="143" t="s">
        <v>2874</v>
      </c>
      <c r="F125" s="143" t="s">
        <v>2875</v>
      </c>
      <c r="G125" s="126">
        <v>304</v>
      </c>
      <c r="H125" s="126" t="s">
        <v>65</v>
      </c>
      <c r="I125" s="127">
        <v>3.64</v>
      </c>
      <c r="J125" s="127">
        <v>1.5</v>
      </c>
      <c r="K125" s="127"/>
      <c r="L125" s="127"/>
      <c r="M125" s="144">
        <v>773</v>
      </c>
      <c r="N125" s="129">
        <v>12.015000000000001</v>
      </c>
      <c r="O125" s="129">
        <v>12.015000000000001</v>
      </c>
      <c r="P125" s="129" t="s">
        <v>116</v>
      </c>
      <c r="Q125" s="130" t="s">
        <v>1206</v>
      </c>
      <c r="R125" s="131"/>
      <c r="S125" s="131"/>
      <c r="T125" s="132">
        <v>44612</v>
      </c>
      <c r="U125" s="132">
        <v>44614</v>
      </c>
      <c r="V125" s="132"/>
      <c r="W125" s="132"/>
      <c r="X125" s="132"/>
      <c r="Y125" s="133" t="s">
        <v>1395</v>
      </c>
      <c r="Z125" s="126" t="s">
        <v>64</v>
      </c>
      <c r="AA125" s="134" t="s">
        <v>154</v>
      </c>
      <c r="AB125" s="134" t="s">
        <v>1330</v>
      </c>
      <c r="AC125" s="134"/>
      <c r="AD125" s="134">
        <v>44554</v>
      </c>
      <c r="AE125" s="134"/>
      <c r="AF125" s="134">
        <f t="shared" ca="1" si="7"/>
        <v>44963</v>
      </c>
      <c r="AG125" s="126">
        <f t="shared" ca="1" si="8"/>
        <v>409</v>
      </c>
      <c r="AH125" s="126" t="str">
        <f t="shared" si="9"/>
        <v/>
      </c>
      <c r="AI125" s="134"/>
      <c r="AJ125" s="143" t="s">
        <v>2625</v>
      </c>
      <c r="AK125" s="129">
        <v>12.015000000000001</v>
      </c>
      <c r="AL125" s="129">
        <v>12.025</v>
      </c>
      <c r="AM125" s="129">
        <v>12.049999999999999</v>
      </c>
      <c r="AN125" s="129">
        <v>12.055</v>
      </c>
      <c r="AO125" s="126">
        <f t="shared" ca="1" si="10"/>
        <v>349</v>
      </c>
      <c r="AR125" s="99" t="s">
        <v>136</v>
      </c>
      <c r="AS125" s="281" t="str">
        <f>LEFT(RIGHT(C125,LEN(C125)-MIN(SEARCH({0,1,2,3,4,5,6,7,8,9},C125&amp;"0123456789"))+1),2)</f>
        <v>22</v>
      </c>
      <c r="AT125" s="99">
        <v>3</v>
      </c>
      <c r="AU125" s="99" t="str">
        <f>LEFT(RIGHT(C125,LEN(C125)-MIN(SEARCH({0,1,2,3,4,5,6,7,8,9},C125&amp;"0123456789"))+1),5)</f>
        <v>22.02</v>
      </c>
      <c r="AV125" s="99" t="str">
        <f t="shared" si="11"/>
        <v>MI</v>
      </c>
    </row>
    <row r="126" spans="1:48" s="99" customFormat="1" ht="21" customHeight="1" x14ac:dyDescent="0.35">
      <c r="A126" s="99">
        <v>421</v>
      </c>
      <c r="B126" s="126" t="str">
        <f t="shared" si="6"/>
        <v>0-304L/FH-001X770</v>
      </c>
      <c r="C126" s="126" t="s">
        <v>3007</v>
      </c>
      <c r="D126" s="126" t="s">
        <v>13</v>
      </c>
      <c r="E126" s="143" t="s">
        <v>2889</v>
      </c>
      <c r="F126" s="143" t="s">
        <v>2890</v>
      </c>
      <c r="G126" s="126" t="s">
        <v>230</v>
      </c>
      <c r="H126" s="126" t="s">
        <v>65</v>
      </c>
      <c r="I126" s="127">
        <v>3.5</v>
      </c>
      <c r="J126" s="127">
        <v>1.2</v>
      </c>
      <c r="K126" s="127"/>
      <c r="L126" s="127"/>
      <c r="M126" s="144">
        <v>770</v>
      </c>
      <c r="N126" s="129">
        <v>8.93</v>
      </c>
      <c r="O126" s="129">
        <v>8.93</v>
      </c>
      <c r="P126" s="129" t="s">
        <v>116</v>
      </c>
      <c r="Q126" s="130" t="s">
        <v>1206</v>
      </c>
      <c r="R126" s="131"/>
      <c r="S126" s="131"/>
      <c r="T126" s="132">
        <v>44614</v>
      </c>
      <c r="U126" s="132">
        <v>44614</v>
      </c>
      <c r="V126" s="132"/>
      <c r="W126" s="132"/>
      <c r="X126" s="132"/>
      <c r="Y126" s="133"/>
      <c r="Z126" s="126" t="s">
        <v>64</v>
      </c>
      <c r="AA126" s="134" t="s">
        <v>154</v>
      </c>
      <c r="AB126" s="134" t="s">
        <v>1246</v>
      </c>
      <c r="AC126" s="134"/>
      <c r="AD126" s="134">
        <v>44496</v>
      </c>
      <c r="AE126" s="134"/>
      <c r="AF126" s="134">
        <f t="shared" ca="1" si="7"/>
        <v>44963</v>
      </c>
      <c r="AG126" s="126">
        <f t="shared" ca="1" si="8"/>
        <v>467</v>
      </c>
      <c r="AH126" s="126" t="str">
        <f t="shared" si="9"/>
        <v/>
      </c>
      <c r="AI126" s="134"/>
      <c r="AJ126" s="143" t="s">
        <v>2801</v>
      </c>
      <c r="AK126" s="129">
        <v>8.93</v>
      </c>
      <c r="AL126" s="129">
        <v>8.94</v>
      </c>
      <c r="AM126" s="129">
        <v>8.9649999999999981</v>
      </c>
      <c r="AN126" s="129">
        <v>8.9699999999999989</v>
      </c>
      <c r="AO126" s="126">
        <f t="shared" ca="1" si="10"/>
        <v>349</v>
      </c>
      <c r="AR126" s="99" t="s">
        <v>136</v>
      </c>
      <c r="AS126" s="281" t="str">
        <f>LEFT(RIGHT(C126,LEN(C126)-MIN(SEARCH({0,1,2,3,4,5,6,7,8,9},C126&amp;"0123456789"))+1),2)</f>
        <v>22</v>
      </c>
      <c r="AT126" s="99">
        <v>3</v>
      </c>
      <c r="AU126" s="99" t="str">
        <f>LEFT(RIGHT(C126,LEN(C126)-MIN(SEARCH({0,1,2,3,4,5,6,7,8,9},C126&amp;"0123456789"))+1),5)</f>
        <v>22.02</v>
      </c>
      <c r="AV126" s="99" t="str">
        <f t="shared" si="11"/>
        <v>MI</v>
      </c>
    </row>
    <row r="127" spans="1:48" s="99" customFormat="1" ht="21" customHeight="1" x14ac:dyDescent="0.35">
      <c r="A127" s="99">
        <v>422</v>
      </c>
      <c r="B127" s="126" t="str">
        <f t="shared" si="6"/>
        <v>0-304L/FH-001X768</v>
      </c>
      <c r="C127" s="126" t="s">
        <v>3007</v>
      </c>
      <c r="D127" s="126" t="s">
        <v>13</v>
      </c>
      <c r="E127" s="143" t="s">
        <v>2891</v>
      </c>
      <c r="F127" s="143" t="s">
        <v>2892</v>
      </c>
      <c r="G127" s="126" t="s">
        <v>230</v>
      </c>
      <c r="H127" s="126" t="s">
        <v>65</v>
      </c>
      <c r="I127" s="127">
        <v>3.23</v>
      </c>
      <c r="J127" s="127">
        <v>1.1599999999999999</v>
      </c>
      <c r="K127" s="127"/>
      <c r="L127" s="127"/>
      <c r="M127" s="144">
        <v>768</v>
      </c>
      <c r="N127" s="129">
        <v>11.71</v>
      </c>
      <c r="O127" s="129">
        <v>11.71</v>
      </c>
      <c r="P127" s="129" t="s">
        <v>116</v>
      </c>
      <c r="Q127" s="130" t="s">
        <v>284</v>
      </c>
      <c r="R127" s="131"/>
      <c r="S127" s="131"/>
      <c r="T127" s="132">
        <v>44614</v>
      </c>
      <c r="U127" s="132">
        <v>44614</v>
      </c>
      <c r="V127" s="132"/>
      <c r="W127" s="132"/>
      <c r="X127" s="132"/>
      <c r="Y127" s="133"/>
      <c r="Z127" s="126" t="s">
        <v>64</v>
      </c>
      <c r="AA127" s="134" t="s">
        <v>154</v>
      </c>
      <c r="AB127" s="134" t="s">
        <v>1330</v>
      </c>
      <c r="AC127" s="134"/>
      <c r="AD127" s="134">
        <v>44516</v>
      </c>
      <c r="AE127" s="134"/>
      <c r="AF127" s="134">
        <f t="shared" ca="1" si="7"/>
        <v>44963</v>
      </c>
      <c r="AG127" s="126">
        <f t="shared" ca="1" si="8"/>
        <v>447</v>
      </c>
      <c r="AH127" s="126" t="str">
        <f t="shared" si="9"/>
        <v/>
      </c>
      <c r="AI127" s="134"/>
      <c r="AJ127" s="143" t="s">
        <v>2893</v>
      </c>
      <c r="AK127" s="129">
        <v>11.71</v>
      </c>
      <c r="AL127" s="129">
        <v>11.72</v>
      </c>
      <c r="AM127" s="129">
        <v>11.744999999999999</v>
      </c>
      <c r="AN127" s="129">
        <v>11.75</v>
      </c>
      <c r="AO127" s="126">
        <f t="shared" ca="1" si="10"/>
        <v>349</v>
      </c>
      <c r="AR127" s="99" t="s">
        <v>136</v>
      </c>
      <c r="AS127" s="281" t="str">
        <f>LEFT(RIGHT(C127,LEN(C127)-MIN(SEARCH({0,1,2,3,4,5,6,7,8,9},C127&amp;"0123456789"))+1),2)</f>
        <v>22</v>
      </c>
      <c r="AT127" s="99">
        <v>3</v>
      </c>
      <c r="AU127" s="99" t="str">
        <f>LEFT(RIGHT(C127,LEN(C127)-MIN(SEARCH({0,1,2,3,4,5,6,7,8,9},C127&amp;"0123456789"))+1),5)</f>
        <v>22.02</v>
      </c>
      <c r="AV127" s="99" t="str">
        <f t="shared" si="11"/>
        <v>MI</v>
      </c>
    </row>
    <row r="128" spans="1:48" s="99" customFormat="1" ht="21" customHeight="1" x14ac:dyDescent="0.35">
      <c r="A128" s="99">
        <v>422</v>
      </c>
      <c r="B128" s="126" t="str">
        <f t="shared" si="6"/>
        <v>0-304L/FH-001X767</v>
      </c>
      <c r="C128" s="126" t="s">
        <v>3008</v>
      </c>
      <c r="D128" s="126" t="s">
        <v>13</v>
      </c>
      <c r="E128" s="143" t="s">
        <v>2886</v>
      </c>
      <c r="F128" s="143" t="s">
        <v>2887</v>
      </c>
      <c r="G128" s="126" t="s">
        <v>230</v>
      </c>
      <c r="H128" s="126" t="s">
        <v>65</v>
      </c>
      <c r="I128" s="127">
        <v>2.89</v>
      </c>
      <c r="J128" s="127">
        <v>0.9</v>
      </c>
      <c r="K128" s="127"/>
      <c r="L128" s="127"/>
      <c r="M128" s="144">
        <v>767</v>
      </c>
      <c r="N128" s="129">
        <v>10.395</v>
      </c>
      <c r="O128" s="129">
        <v>10.395</v>
      </c>
      <c r="P128" s="129" t="s">
        <v>116</v>
      </c>
      <c r="Q128" s="130" t="s">
        <v>1206</v>
      </c>
      <c r="R128" s="131"/>
      <c r="S128" s="131"/>
      <c r="T128" s="132">
        <v>44614</v>
      </c>
      <c r="U128" s="132">
        <v>44615</v>
      </c>
      <c r="V128" s="132"/>
      <c r="W128" s="132"/>
      <c r="X128" s="132"/>
      <c r="Y128" s="133"/>
      <c r="Z128" s="126" t="s">
        <v>64</v>
      </c>
      <c r="AA128" s="134" t="s">
        <v>154</v>
      </c>
      <c r="AB128" s="134" t="s">
        <v>1330</v>
      </c>
      <c r="AC128" s="134"/>
      <c r="AD128" s="134">
        <v>44516</v>
      </c>
      <c r="AE128" s="134"/>
      <c r="AF128" s="134">
        <f t="shared" ca="1" si="7"/>
        <v>44963</v>
      </c>
      <c r="AG128" s="126">
        <f t="shared" ca="1" si="8"/>
        <v>447</v>
      </c>
      <c r="AH128" s="126" t="str">
        <f t="shared" si="9"/>
        <v/>
      </c>
      <c r="AI128" s="134"/>
      <c r="AJ128" s="143" t="s">
        <v>2888</v>
      </c>
      <c r="AK128" s="129">
        <v>10.395</v>
      </c>
      <c r="AL128" s="129">
        <v>10.404999999999999</v>
      </c>
      <c r="AM128" s="129">
        <v>10.429999999999998</v>
      </c>
      <c r="AN128" s="129">
        <v>10.434999999999999</v>
      </c>
      <c r="AO128" s="126">
        <f t="shared" ca="1" si="10"/>
        <v>348</v>
      </c>
      <c r="AR128" s="99" t="s">
        <v>136</v>
      </c>
      <c r="AS128" s="281" t="str">
        <f>LEFT(RIGHT(C128,LEN(C128)-MIN(SEARCH({0,1,2,3,4,5,6,7,8,9},C128&amp;"0123456789"))+1),2)</f>
        <v>23</v>
      </c>
      <c r="AT128" s="99">
        <v>1</v>
      </c>
      <c r="AU128" s="99" t="str">
        <f>LEFT(RIGHT(C128,LEN(C128)-MIN(SEARCH({0,1,2,3,4,5,6,7,8,9},C128&amp;"0123456789"))+1),5)</f>
        <v>23.02</v>
      </c>
      <c r="AV128" s="99" t="str">
        <f t="shared" si="11"/>
        <v>MI</v>
      </c>
    </row>
    <row r="129" spans="1:59" s="99" customFormat="1" ht="21" customHeight="1" x14ac:dyDescent="0.35">
      <c r="A129" s="99">
        <v>422</v>
      </c>
      <c r="B129" s="126" t="str">
        <f t="shared" si="6"/>
        <v>0-304/FH-001X770</v>
      </c>
      <c r="C129" s="126" t="s">
        <v>3008</v>
      </c>
      <c r="D129" s="126" t="s">
        <v>13</v>
      </c>
      <c r="E129" s="143" t="s">
        <v>2898</v>
      </c>
      <c r="F129" s="143" t="s">
        <v>2899</v>
      </c>
      <c r="G129" s="126">
        <v>304</v>
      </c>
      <c r="H129" s="126" t="s">
        <v>65</v>
      </c>
      <c r="I129" s="127">
        <v>3.5</v>
      </c>
      <c r="J129" s="127">
        <v>1.2</v>
      </c>
      <c r="K129" s="127"/>
      <c r="L129" s="127"/>
      <c r="M129" s="144">
        <v>770</v>
      </c>
      <c r="N129" s="129">
        <v>10.43</v>
      </c>
      <c r="O129" s="129">
        <v>10.43</v>
      </c>
      <c r="P129" s="129" t="s">
        <v>116</v>
      </c>
      <c r="Q129" s="130" t="s">
        <v>1206</v>
      </c>
      <c r="R129" s="131"/>
      <c r="S129" s="131"/>
      <c r="T129" s="132">
        <v>44615</v>
      </c>
      <c r="U129" s="132">
        <v>44615</v>
      </c>
      <c r="V129" s="132"/>
      <c r="W129" s="132"/>
      <c r="X129" s="132"/>
      <c r="Y129" s="133"/>
      <c r="Z129" s="126" t="s">
        <v>64</v>
      </c>
      <c r="AA129" s="134" t="s">
        <v>154</v>
      </c>
      <c r="AB129" s="134" t="s">
        <v>1296</v>
      </c>
      <c r="AC129" s="134"/>
      <c r="AD129" s="134">
        <v>44516</v>
      </c>
      <c r="AE129" s="134"/>
      <c r="AF129" s="134">
        <f t="shared" ca="1" si="7"/>
        <v>44963</v>
      </c>
      <c r="AG129" s="126">
        <f t="shared" ca="1" si="8"/>
        <v>447</v>
      </c>
      <c r="AH129" s="126" t="str">
        <f t="shared" si="9"/>
        <v/>
      </c>
      <c r="AI129" s="134"/>
      <c r="AJ129" s="143" t="s">
        <v>2900</v>
      </c>
      <c r="AK129" s="129">
        <v>10.43</v>
      </c>
      <c r="AL129" s="129">
        <v>10.44</v>
      </c>
      <c r="AM129" s="129">
        <v>10.464999999999998</v>
      </c>
      <c r="AN129" s="129">
        <v>10.469999999999999</v>
      </c>
      <c r="AO129" s="126">
        <f t="shared" ca="1" si="10"/>
        <v>348</v>
      </c>
      <c r="AR129" s="99" t="s">
        <v>136</v>
      </c>
      <c r="AS129" s="281" t="str">
        <f>LEFT(RIGHT(C129,LEN(C129)-MIN(SEARCH({0,1,2,3,4,5,6,7,8,9},C129&amp;"0123456789"))+1),2)</f>
        <v>23</v>
      </c>
      <c r="AT129" s="99">
        <v>1</v>
      </c>
      <c r="AU129" s="99" t="str">
        <f>LEFT(RIGHT(C129,LEN(C129)-MIN(SEARCH({0,1,2,3,4,5,6,7,8,9},C129&amp;"0123456789"))+1),5)</f>
        <v>23.02</v>
      </c>
      <c r="AV129" s="99" t="str">
        <f t="shared" si="11"/>
        <v>MI</v>
      </c>
    </row>
    <row r="130" spans="1:59" s="99" customFormat="1" ht="21" customHeight="1" x14ac:dyDescent="0.35">
      <c r="A130" s="99">
        <v>421</v>
      </c>
      <c r="B130" s="126" t="str">
        <f t="shared" si="6"/>
        <v>0-304L/FH-001X770</v>
      </c>
      <c r="C130" s="126" t="s">
        <v>3008</v>
      </c>
      <c r="D130" s="126" t="s">
        <v>13</v>
      </c>
      <c r="E130" s="143" t="s">
        <v>2894</v>
      </c>
      <c r="F130" s="143" t="s">
        <v>2895</v>
      </c>
      <c r="G130" s="126" t="s">
        <v>230</v>
      </c>
      <c r="H130" s="126" t="s">
        <v>65</v>
      </c>
      <c r="I130" s="127">
        <v>2.91</v>
      </c>
      <c r="J130" s="127">
        <v>1</v>
      </c>
      <c r="K130" s="127"/>
      <c r="L130" s="127"/>
      <c r="M130" s="144">
        <v>770</v>
      </c>
      <c r="N130" s="129">
        <v>11.994999999999999</v>
      </c>
      <c r="O130" s="129">
        <v>11.994999999999999</v>
      </c>
      <c r="P130" s="129" t="s">
        <v>116</v>
      </c>
      <c r="Q130" s="130" t="s">
        <v>1206</v>
      </c>
      <c r="R130" s="131"/>
      <c r="S130" s="131"/>
      <c r="T130" s="132">
        <v>44614</v>
      </c>
      <c r="U130" s="132">
        <v>44615</v>
      </c>
      <c r="V130" s="132"/>
      <c r="W130" s="132"/>
      <c r="X130" s="132"/>
      <c r="Y130" s="133"/>
      <c r="Z130" s="126" t="s">
        <v>64</v>
      </c>
      <c r="AA130" s="134" t="s">
        <v>154</v>
      </c>
      <c r="AB130" s="134" t="s">
        <v>1190</v>
      </c>
      <c r="AC130" s="134"/>
      <c r="AD130" s="134">
        <v>44496</v>
      </c>
      <c r="AE130" s="134"/>
      <c r="AF130" s="134">
        <f t="shared" ca="1" si="7"/>
        <v>44963</v>
      </c>
      <c r="AG130" s="126">
        <f t="shared" ca="1" si="8"/>
        <v>467</v>
      </c>
      <c r="AH130" s="126" t="str">
        <f t="shared" si="9"/>
        <v/>
      </c>
      <c r="AI130" s="134"/>
      <c r="AJ130" s="143" t="s">
        <v>2896</v>
      </c>
      <c r="AK130" s="129">
        <v>11.994999999999999</v>
      </c>
      <c r="AL130" s="129">
        <v>12.005000000000001</v>
      </c>
      <c r="AM130" s="129">
        <v>12.03</v>
      </c>
      <c r="AN130" s="129">
        <v>12.035</v>
      </c>
      <c r="AO130" s="126">
        <f t="shared" ca="1" si="10"/>
        <v>348</v>
      </c>
      <c r="AR130" s="99" t="s">
        <v>136</v>
      </c>
      <c r="AS130" s="281" t="str">
        <f>LEFT(RIGHT(C130,LEN(C130)-MIN(SEARCH({0,1,2,3,4,5,6,7,8,9},C130&amp;"0123456789"))+1),2)</f>
        <v>23</v>
      </c>
      <c r="AT130" s="99">
        <v>1</v>
      </c>
      <c r="AU130" s="99" t="str">
        <f>LEFT(RIGHT(C130,LEN(C130)-MIN(SEARCH({0,1,2,3,4,5,6,7,8,9},C130&amp;"0123456789"))+1),5)</f>
        <v>23.02</v>
      </c>
      <c r="AV130" s="99" t="str">
        <f t="shared" si="11"/>
        <v>MI</v>
      </c>
    </row>
    <row r="131" spans="1:59" s="99" customFormat="1" ht="21" customHeight="1" x14ac:dyDescent="0.35">
      <c r="A131" s="99">
        <v>421</v>
      </c>
      <c r="B131" s="126" t="str">
        <f t="shared" si="6"/>
        <v>0-304L/FH-001X770</v>
      </c>
      <c r="C131" s="126" t="s">
        <v>3009</v>
      </c>
      <c r="D131" s="126" t="s">
        <v>13</v>
      </c>
      <c r="E131" s="143" t="s">
        <v>1269</v>
      </c>
      <c r="F131" s="143" t="s">
        <v>2850</v>
      </c>
      <c r="G131" s="126" t="s">
        <v>230</v>
      </c>
      <c r="H131" s="126" t="s">
        <v>65</v>
      </c>
      <c r="I131" s="127">
        <v>1.2</v>
      </c>
      <c r="J131" s="127">
        <v>0.6</v>
      </c>
      <c r="K131" s="127"/>
      <c r="L131" s="127"/>
      <c r="M131" s="144">
        <v>770</v>
      </c>
      <c r="N131" s="129">
        <v>10.46</v>
      </c>
      <c r="O131" s="129">
        <v>10.46</v>
      </c>
      <c r="P131" s="129" t="s">
        <v>116</v>
      </c>
      <c r="Q131" s="130" t="s">
        <v>1206</v>
      </c>
      <c r="R131" s="130" t="s">
        <v>1207</v>
      </c>
      <c r="S131" s="130" t="s">
        <v>2851</v>
      </c>
      <c r="T131" s="132" t="s">
        <v>1272</v>
      </c>
      <c r="U131" s="132" t="s">
        <v>1273</v>
      </c>
      <c r="V131" s="132">
        <v>44550</v>
      </c>
      <c r="W131" s="132"/>
      <c r="X131" s="132"/>
      <c r="Y131" s="133"/>
      <c r="Z131" s="126" t="s">
        <v>64</v>
      </c>
      <c r="AA131" s="134" t="s">
        <v>154</v>
      </c>
      <c r="AB131" s="134" t="s">
        <v>1267</v>
      </c>
      <c r="AC131" s="134"/>
      <c r="AD131" s="134">
        <v>44496</v>
      </c>
      <c r="AE131" s="134"/>
      <c r="AF131" s="134">
        <f t="shared" ca="1" si="7"/>
        <v>44963</v>
      </c>
      <c r="AG131" s="126">
        <f t="shared" ca="1" si="8"/>
        <v>467</v>
      </c>
      <c r="AH131" s="126">
        <f t="shared" ca="1" si="9"/>
        <v>413</v>
      </c>
      <c r="AI131" s="134"/>
      <c r="AJ131" s="143" t="s">
        <v>1275</v>
      </c>
      <c r="AK131" s="129">
        <v>10.52</v>
      </c>
      <c r="AL131" s="129">
        <v>10.53</v>
      </c>
      <c r="AM131" s="129">
        <v>10.554999999999998</v>
      </c>
      <c r="AN131" s="129">
        <v>10.559999999999999</v>
      </c>
      <c r="AO131" s="126" t="e">
        <f t="shared" ca="1" si="10"/>
        <v>#VALUE!</v>
      </c>
      <c r="AR131" s="99" t="s">
        <v>136</v>
      </c>
      <c r="AS131" s="281" t="str">
        <f>LEFT(RIGHT(C131,LEN(C131)-MIN(SEARCH({0,1,2,3,4,5,6,7,8,9},C131&amp;"0123456789"))+1),2)</f>
        <v>23</v>
      </c>
      <c r="AT131" s="99">
        <v>2</v>
      </c>
      <c r="AU131" s="99" t="str">
        <f>LEFT(RIGHT(C131,LEN(C131)-MIN(SEARCH({0,1,2,3,4,5,6,7,8,9},C131&amp;"0123456789"))+1),5)</f>
        <v>23.02</v>
      </c>
      <c r="AV131" s="99" t="str">
        <f t="shared" si="11"/>
        <v>RR</v>
      </c>
      <c r="BG131" s="135" t="s">
        <v>699</v>
      </c>
    </row>
    <row r="132" spans="1:59" s="99" customFormat="1" ht="21" customHeight="1" x14ac:dyDescent="0.35">
      <c r="A132" s="99">
        <v>422</v>
      </c>
      <c r="B132" s="126" t="str">
        <f t="shared" ref="B132:B178" si="12">IF(C132="HOLD RM","HOLD RM",IF(C132="BAL","WIP",IF(C132="HOLD SLT","HOLD SLT",IF(C132="MILL","RM",IF(C132="RE SLT","WIP",IF(C132="RM","RM",IF(C132="RM BAL","RM",IF(C132="RM SLT","RM",IF(C132="RR","WIP",IF(C132="SKP","WIP",IF(C132="SLT","WIP",IF(C132="CTL","WIP",IF(C132="RM SLT RUST","RM SLT RUST",0)))))))))))))&amp;"-"&amp;G132&amp;"/"&amp;IF(H132="2B","2B",IF(H132="NO.1","1D",IF(H132="FH","FH",0)))&amp;"-"&amp;IF(J132="",(TEXT(I132,"0.00")),TEXT(J132,"0.00"))&amp;"X"&amp;M132</f>
        <v>0-304L/FH-001X762</v>
      </c>
      <c r="C132" s="126" t="s">
        <v>3009</v>
      </c>
      <c r="D132" s="126" t="s">
        <v>13</v>
      </c>
      <c r="E132" s="143" t="s">
        <v>2856</v>
      </c>
      <c r="F132" s="143" t="s">
        <v>2857</v>
      </c>
      <c r="G132" s="126" t="s">
        <v>230</v>
      </c>
      <c r="H132" s="126" t="s">
        <v>65</v>
      </c>
      <c r="I132" s="127">
        <v>0.95</v>
      </c>
      <c r="J132" s="127">
        <v>0.5</v>
      </c>
      <c r="K132" s="127"/>
      <c r="L132" s="127"/>
      <c r="M132" s="144">
        <v>762</v>
      </c>
      <c r="N132" s="129">
        <v>10.119999999999999</v>
      </c>
      <c r="O132" s="129">
        <v>10.119999999999999</v>
      </c>
      <c r="P132" s="129" t="s">
        <v>116</v>
      </c>
      <c r="Q132" s="130" t="s">
        <v>1206</v>
      </c>
      <c r="R132" s="131"/>
      <c r="S132" s="131" t="s">
        <v>305</v>
      </c>
      <c r="T132" s="132" t="s">
        <v>2908</v>
      </c>
      <c r="U132" s="132" t="s">
        <v>2908</v>
      </c>
      <c r="V132" s="132">
        <v>44613</v>
      </c>
      <c r="W132" s="132">
        <v>44615</v>
      </c>
      <c r="X132" s="132"/>
      <c r="Y132" s="133"/>
      <c r="Z132" s="126" t="s">
        <v>64</v>
      </c>
      <c r="AA132" s="134" t="s">
        <v>154</v>
      </c>
      <c r="AB132" s="134" t="s">
        <v>1330</v>
      </c>
      <c r="AC132" s="134"/>
      <c r="AD132" s="134">
        <v>44516</v>
      </c>
      <c r="AE132" s="134"/>
      <c r="AF132" s="134">
        <f t="shared" ref="AF132:AF178" ca="1" si="13">TODAY()</f>
        <v>44963</v>
      </c>
      <c r="AG132" s="126">
        <f t="shared" ref="AG132:AG178" ca="1" si="14">IF(AD132&lt;&gt;0,AF132-AD132,0)</f>
        <v>447</v>
      </c>
      <c r="AH132" s="126">
        <f t="shared" ref="AH132:AH178" ca="1" si="15">IF(ISNUMBER(V132)=TRUE,AF132-V132,IF(V132="","",(AF132)-(MID(RIGHT(V132,10),4,2)&amp;"/"&amp;LEFT((RIGHT(V132,10)),2)&amp;"/"&amp;RIGHT(V132,4))))</f>
        <v>350</v>
      </c>
      <c r="AI132" s="134"/>
      <c r="AJ132" s="143" t="s">
        <v>2858</v>
      </c>
      <c r="AK132" s="129">
        <v>10.210000000000001</v>
      </c>
      <c r="AL132" s="129">
        <v>10.220000000000001</v>
      </c>
      <c r="AM132" s="129">
        <v>10.244999999999999</v>
      </c>
      <c r="AN132" s="129">
        <v>10.25</v>
      </c>
      <c r="AO132" s="126" t="e">
        <f t="shared" ref="AO132:AO178" ca="1" si="16">IF(ISNUMBER(U132)=TRUE,AF132-U132,IF(U132="","",(AF132)-(MID(RIGHT(U132,10),4,2)&amp;"/"&amp;LEFT((RIGHT(U132,10)),2)&amp;"/"&amp;RIGHT(U132,4))))</f>
        <v>#VALUE!</v>
      </c>
      <c r="AR132" s="99" t="s">
        <v>136</v>
      </c>
      <c r="AS132" s="281" t="str">
        <f>LEFT(RIGHT(C132,LEN(C132)-MIN(SEARCH({0,1,2,3,4,5,6,7,8,9},C132&amp;"0123456789"))+1),2)</f>
        <v>23</v>
      </c>
      <c r="AT132" s="99">
        <v>2</v>
      </c>
      <c r="AU132" s="99" t="str">
        <f>LEFT(RIGHT(C132,LEN(C132)-MIN(SEARCH({0,1,2,3,4,5,6,7,8,9},C132&amp;"0123456789"))+1),5)</f>
        <v>23.02</v>
      </c>
      <c r="AV132" s="99" t="str">
        <f t="shared" ref="AV132:AV178" si="17">LEFT(C132,2)</f>
        <v>RR</v>
      </c>
    </row>
    <row r="133" spans="1:59" s="99" customFormat="1" ht="21" customHeight="1" x14ac:dyDescent="0.35">
      <c r="A133" s="99">
        <v>421</v>
      </c>
      <c r="B133" s="126" t="str">
        <f t="shared" si="12"/>
        <v>0-304L/FH-001X770</v>
      </c>
      <c r="C133" s="126" t="s">
        <v>3008</v>
      </c>
      <c r="D133" s="126" t="s">
        <v>13</v>
      </c>
      <c r="E133" s="143" t="s">
        <v>2904</v>
      </c>
      <c r="F133" s="143" t="s">
        <v>2905</v>
      </c>
      <c r="G133" s="126" t="s">
        <v>230</v>
      </c>
      <c r="H133" s="126" t="s">
        <v>65</v>
      </c>
      <c r="I133" s="127">
        <v>3.5</v>
      </c>
      <c r="J133" s="127">
        <v>1.2</v>
      </c>
      <c r="K133" s="127"/>
      <c r="L133" s="127"/>
      <c r="M133" s="144">
        <v>770</v>
      </c>
      <c r="N133" s="129">
        <v>10.39</v>
      </c>
      <c r="O133" s="129">
        <v>10.39</v>
      </c>
      <c r="P133" s="129" t="s">
        <v>116</v>
      </c>
      <c r="Q133" s="130" t="s">
        <v>1206</v>
      </c>
      <c r="R133" s="131"/>
      <c r="S133" s="131"/>
      <c r="T133" s="132">
        <v>44615</v>
      </c>
      <c r="U133" s="132">
        <v>44615</v>
      </c>
      <c r="V133" s="132"/>
      <c r="W133" s="132"/>
      <c r="X133" s="132"/>
      <c r="Y133" s="133"/>
      <c r="Z133" s="126" t="s">
        <v>64</v>
      </c>
      <c r="AA133" s="134" t="s">
        <v>154</v>
      </c>
      <c r="AB133" s="134" t="s">
        <v>1190</v>
      </c>
      <c r="AC133" s="134"/>
      <c r="AD133" s="134">
        <v>44496</v>
      </c>
      <c r="AE133" s="134"/>
      <c r="AF133" s="134">
        <f t="shared" ca="1" si="13"/>
        <v>44963</v>
      </c>
      <c r="AG133" s="126">
        <f t="shared" ca="1" si="14"/>
        <v>467</v>
      </c>
      <c r="AH133" s="126" t="str">
        <f t="shared" si="15"/>
        <v/>
      </c>
      <c r="AI133" s="134"/>
      <c r="AJ133" s="143" t="s">
        <v>2906</v>
      </c>
      <c r="AK133" s="129">
        <v>10.39</v>
      </c>
      <c r="AL133" s="129">
        <v>10.4</v>
      </c>
      <c r="AM133" s="129">
        <v>10.424999999999999</v>
      </c>
      <c r="AN133" s="129">
        <v>10.43</v>
      </c>
      <c r="AO133" s="126">
        <f t="shared" ca="1" si="16"/>
        <v>348</v>
      </c>
      <c r="AR133" s="99" t="s">
        <v>136</v>
      </c>
      <c r="AS133" s="281" t="str">
        <f>LEFT(RIGHT(C133,LEN(C133)-MIN(SEARCH({0,1,2,3,4,5,6,7,8,9},C133&amp;"0123456789"))+1),2)</f>
        <v>23</v>
      </c>
      <c r="AT133" s="99">
        <v>2</v>
      </c>
      <c r="AU133" s="99" t="str">
        <f>LEFT(RIGHT(C133,LEN(C133)-MIN(SEARCH({0,1,2,3,4,5,6,7,8,9},C133&amp;"0123456789"))+1),5)</f>
        <v>23.02</v>
      </c>
      <c r="AV133" s="99" t="str">
        <f t="shared" si="17"/>
        <v>MI</v>
      </c>
    </row>
    <row r="134" spans="1:59" s="99" customFormat="1" ht="21" customHeight="1" x14ac:dyDescent="0.35">
      <c r="A134" s="99">
        <v>421</v>
      </c>
      <c r="B134" s="126" t="str">
        <f t="shared" si="12"/>
        <v>0-304L/FH-002X770</v>
      </c>
      <c r="C134" s="126" t="s">
        <v>3008</v>
      </c>
      <c r="D134" s="126" t="s">
        <v>13</v>
      </c>
      <c r="E134" s="143" t="s">
        <v>2910</v>
      </c>
      <c r="F134" s="143" t="s">
        <v>2911</v>
      </c>
      <c r="G134" s="126" t="s">
        <v>230</v>
      </c>
      <c r="H134" s="126" t="s">
        <v>65</v>
      </c>
      <c r="I134" s="127">
        <v>3.8</v>
      </c>
      <c r="J134" s="127">
        <v>2</v>
      </c>
      <c r="K134" s="127"/>
      <c r="L134" s="127"/>
      <c r="M134" s="144">
        <v>770</v>
      </c>
      <c r="N134" s="129">
        <v>9.4949999999999992</v>
      </c>
      <c r="O134" s="129">
        <v>9.4949999999999992</v>
      </c>
      <c r="P134" s="129" t="s">
        <v>116</v>
      </c>
      <c r="Q134" s="130" t="s">
        <v>1206</v>
      </c>
      <c r="R134" s="131"/>
      <c r="S134" s="131"/>
      <c r="T134" s="132">
        <v>44615</v>
      </c>
      <c r="U134" s="132">
        <v>44615</v>
      </c>
      <c r="V134" s="132"/>
      <c r="W134" s="132"/>
      <c r="X134" s="132"/>
      <c r="Y134" s="133"/>
      <c r="Z134" s="126" t="s">
        <v>64</v>
      </c>
      <c r="AA134" s="134" t="s">
        <v>154</v>
      </c>
      <c r="AB134" s="134" t="s">
        <v>1256</v>
      </c>
      <c r="AC134" s="134"/>
      <c r="AD134" s="134">
        <v>44496</v>
      </c>
      <c r="AE134" s="134"/>
      <c r="AF134" s="134">
        <f t="shared" ca="1" si="13"/>
        <v>44963</v>
      </c>
      <c r="AG134" s="126">
        <f t="shared" ca="1" si="14"/>
        <v>467</v>
      </c>
      <c r="AH134" s="126" t="str">
        <f t="shared" si="15"/>
        <v/>
      </c>
      <c r="AI134" s="134"/>
      <c r="AJ134" s="143" t="s">
        <v>2912</v>
      </c>
      <c r="AK134" s="129">
        <v>9.4949999999999992</v>
      </c>
      <c r="AL134" s="129">
        <v>9.5050000000000008</v>
      </c>
      <c r="AM134" s="129">
        <v>9.5299999999999994</v>
      </c>
      <c r="AN134" s="129">
        <v>9.5350000000000001</v>
      </c>
      <c r="AO134" s="126">
        <f t="shared" ca="1" si="16"/>
        <v>348</v>
      </c>
      <c r="AR134" s="99" t="s">
        <v>136</v>
      </c>
      <c r="AS134" s="281" t="str">
        <f>LEFT(RIGHT(C134,LEN(C134)-MIN(SEARCH({0,1,2,3,4,5,6,7,8,9},C134&amp;"0123456789"))+1),2)</f>
        <v>23</v>
      </c>
      <c r="AT134" s="99">
        <v>3</v>
      </c>
      <c r="AU134" s="99" t="str">
        <f>LEFT(RIGHT(C134,LEN(C134)-MIN(SEARCH({0,1,2,3,4,5,6,7,8,9},C134&amp;"0123456789"))+1),5)</f>
        <v>23.02</v>
      </c>
      <c r="AV134" s="99" t="str">
        <f t="shared" si="17"/>
        <v>MI</v>
      </c>
    </row>
    <row r="135" spans="1:59" s="99" customFormat="1" ht="21" customHeight="1" x14ac:dyDescent="0.35">
      <c r="A135" s="99">
        <v>421</v>
      </c>
      <c r="B135" s="126" t="str">
        <f t="shared" si="12"/>
        <v>0-304L/FH-001X770</v>
      </c>
      <c r="C135" s="126" t="s">
        <v>3008</v>
      </c>
      <c r="D135" s="126" t="s">
        <v>13</v>
      </c>
      <c r="E135" s="143" t="s">
        <v>1235</v>
      </c>
      <c r="F135" s="143" t="s">
        <v>2902</v>
      </c>
      <c r="G135" s="126" t="s">
        <v>230</v>
      </c>
      <c r="H135" s="126" t="s">
        <v>65</v>
      </c>
      <c r="I135" s="127">
        <v>2.79</v>
      </c>
      <c r="J135" s="127">
        <v>0.95</v>
      </c>
      <c r="K135" s="127"/>
      <c r="L135" s="127"/>
      <c r="M135" s="144">
        <v>770</v>
      </c>
      <c r="N135" s="129">
        <v>10.484999999999999</v>
      </c>
      <c r="O135" s="129">
        <v>10.484999999999999</v>
      </c>
      <c r="P135" s="129" t="s">
        <v>116</v>
      </c>
      <c r="Q135" s="130" t="s">
        <v>1206</v>
      </c>
      <c r="R135" s="131"/>
      <c r="S135" s="131"/>
      <c r="T135" s="132">
        <v>44615</v>
      </c>
      <c r="U135" s="132">
        <v>44615</v>
      </c>
      <c r="V135" s="132"/>
      <c r="W135" s="132"/>
      <c r="X135" s="132"/>
      <c r="Y135" s="133"/>
      <c r="Z135" s="126" t="s">
        <v>64</v>
      </c>
      <c r="AA135" s="134" t="s">
        <v>154</v>
      </c>
      <c r="AB135" s="134" t="s">
        <v>1239</v>
      </c>
      <c r="AC135" s="134"/>
      <c r="AD135" s="134">
        <v>44496</v>
      </c>
      <c r="AE135" s="134"/>
      <c r="AF135" s="134">
        <f t="shared" ca="1" si="13"/>
        <v>44963</v>
      </c>
      <c r="AG135" s="126">
        <f t="shared" ca="1" si="14"/>
        <v>467</v>
      </c>
      <c r="AH135" s="126" t="str">
        <f t="shared" si="15"/>
        <v/>
      </c>
      <c r="AI135" s="134"/>
      <c r="AJ135" s="143" t="s">
        <v>1240</v>
      </c>
      <c r="AK135" s="129">
        <v>10.484999999999999</v>
      </c>
      <c r="AL135" s="129">
        <v>10.494999999999999</v>
      </c>
      <c r="AM135" s="129">
        <v>10.519999999999998</v>
      </c>
      <c r="AN135" s="129">
        <v>10.524999999999999</v>
      </c>
      <c r="AO135" s="126">
        <f t="shared" ca="1" si="16"/>
        <v>348</v>
      </c>
      <c r="AR135" s="99" t="s">
        <v>136</v>
      </c>
      <c r="AS135" s="281" t="str">
        <f>LEFT(RIGHT(C135,LEN(C135)-MIN(SEARCH({0,1,2,3,4,5,6,7,8,9},C135&amp;"0123456789"))+1),2)</f>
        <v>23</v>
      </c>
      <c r="AT135" s="99">
        <v>3</v>
      </c>
      <c r="AU135" s="99" t="str">
        <f>LEFT(RIGHT(C135,LEN(C135)-MIN(SEARCH({0,1,2,3,4,5,6,7,8,9},C135&amp;"0123456789"))+1),5)</f>
        <v>23.02</v>
      </c>
      <c r="AV135" s="99" t="str">
        <f t="shared" si="17"/>
        <v>MI</v>
      </c>
    </row>
    <row r="136" spans="1:59" s="99" customFormat="1" ht="21" customHeight="1" x14ac:dyDescent="0.35">
      <c r="A136" s="99">
        <v>422</v>
      </c>
      <c r="B136" s="126" t="str">
        <f t="shared" si="12"/>
        <v>0-304L/FH-001X770</v>
      </c>
      <c r="C136" s="126" t="s">
        <v>3008</v>
      </c>
      <c r="D136" s="126" t="s">
        <v>13</v>
      </c>
      <c r="E136" s="143" t="s">
        <v>2916</v>
      </c>
      <c r="F136" s="143" t="s">
        <v>2917</v>
      </c>
      <c r="G136" s="126" t="s">
        <v>230</v>
      </c>
      <c r="H136" s="126" t="s">
        <v>65</v>
      </c>
      <c r="I136" s="127">
        <v>2.91</v>
      </c>
      <c r="J136" s="127">
        <v>1</v>
      </c>
      <c r="K136" s="127"/>
      <c r="L136" s="127"/>
      <c r="M136" s="144">
        <v>770</v>
      </c>
      <c r="N136" s="129">
        <v>8.5350000000000001</v>
      </c>
      <c r="O136" s="129">
        <v>8.5350000000000001</v>
      </c>
      <c r="P136" s="129" t="s">
        <v>116</v>
      </c>
      <c r="Q136" s="130" t="s">
        <v>1206</v>
      </c>
      <c r="R136" s="131"/>
      <c r="S136" s="131"/>
      <c r="T136" s="132">
        <v>44615</v>
      </c>
      <c r="U136" s="132">
        <v>44615</v>
      </c>
      <c r="V136" s="132"/>
      <c r="W136" s="132"/>
      <c r="X136" s="132"/>
      <c r="Y136" s="133"/>
      <c r="Z136" s="126" t="s">
        <v>64</v>
      </c>
      <c r="AA136" s="134" t="s">
        <v>154</v>
      </c>
      <c r="AB136" s="134" t="s">
        <v>1296</v>
      </c>
      <c r="AC136" s="134"/>
      <c r="AD136" s="134">
        <v>44516</v>
      </c>
      <c r="AE136" s="134"/>
      <c r="AF136" s="134">
        <f t="shared" ca="1" si="13"/>
        <v>44963</v>
      </c>
      <c r="AG136" s="126">
        <f t="shared" ca="1" si="14"/>
        <v>447</v>
      </c>
      <c r="AH136" s="126" t="str">
        <f t="shared" si="15"/>
        <v/>
      </c>
      <c r="AI136" s="134"/>
      <c r="AJ136" s="143" t="s">
        <v>2667</v>
      </c>
      <c r="AK136" s="129">
        <v>8.5350000000000001</v>
      </c>
      <c r="AL136" s="129">
        <v>8.5449999999999999</v>
      </c>
      <c r="AM136" s="129">
        <v>8.5699999999999985</v>
      </c>
      <c r="AN136" s="129">
        <v>8.5749999999999993</v>
      </c>
      <c r="AO136" s="126">
        <f t="shared" ca="1" si="16"/>
        <v>348</v>
      </c>
      <c r="AR136" s="99" t="s">
        <v>136</v>
      </c>
      <c r="AS136" s="281" t="str">
        <f>LEFT(RIGHT(C136,LEN(C136)-MIN(SEARCH({0,1,2,3,4,5,6,7,8,9},C136&amp;"0123456789"))+1),2)</f>
        <v>23</v>
      </c>
      <c r="AT136" s="99">
        <v>3</v>
      </c>
      <c r="AU136" s="99" t="str">
        <f>LEFT(RIGHT(C136,LEN(C136)-MIN(SEARCH({0,1,2,3,4,5,6,7,8,9},C136&amp;"0123456789"))+1),5)</f>
        <v>23.02</v>
      </c>
      <c r="AV136" s="99" t="str">
        <f t="shared" si="17"/>
        <v>MI</v>
      </c>
    </row>
    <row r="137" spans="1:59" s="99" customFormat="1" ht="21" customHeight="1" x14ac:dyDescent="0.35">
      <c r="A137" s="99">
        <v>421</v>
      </c>
      <c r="B137" s="126" t="str">
        <f t="shared" si="12"/>
        <v>0-304L/FH-001X770</v>
      </c>
      <c r="C137" s="126" t="s">
        <v>3010</v>
      </c>
      <c r="D137" s="126" t="s">
        <v>13</v>
      </c>
      <c r="E137" s="143" t="s">
        <v>2913</v>
      </c>
      <c r="F137" s="143" t="s">
        <v>2914</v>
      </c>
      <c r="G137" s="126" t="s">
        <v>230</v>
      </c>
      <c r="H137" s="126" t="s">
        <v>65</v>
      </c>
      <c r="I137" s="127">
        <v>2.76</v>
      </c>
      <c r="J137" s="127">
        <v>0.6</v>
      </c>
      <c r="K137" s="127"/>
      <c r="L137" s="127"/>
      <c r="M137" s="144">
        <v>770</v>
      </c>
      <c r="N137" s="129">
        <v>10.54</v>
      </c>
      <c r="O137" s="129">
        <v>10.54</v>
      </c>
      <c r="P137" s="129" t="s">
        <v>116</v>
      </c>
      <c r="Q137" s="130" t="s">
        <v>1143</v>
      </c>
      <c r="R137" s="131"/>
      <c r="S137" s="131"/>
      <c r="T137" s="132">
        <v>44615</v>
      </c>
      <c r="U137" s="132">
        <v>44616</v>
      </c>
      <c r="V137" s="132"/>
      <c r="W137" s="132"/>
      <c r="X137" s="132"/>
      <c r="Y137" s="133"/>
      <c r="Z137" s="126" t="s">
        <v>64</v>
      </c>
      <c r="AA137" s="134" t="s">
        <v>154</v>
      </c>
      <c r="AB137" s="134" t="s">
        <v>1190</v>
      </c>
      <c r="AC137" s="134"/>
      <c r="AD137" s="134">
        <v>44496</v>
      </c>
      <c r="AE137" s="134"/>
      <c r="AF137" s="134">
        <f t="shared" ca="1" si="13"/>
        <v>44963</v>
      </c>
      <c r="AG137" s="126">
        <f t="shared" ca="1" si="14"/>
        <v>467</v>
      </c>
      <c r="AH137" s="126" t="str">
        <f t="shared" si="15"/>
        <v/>
      </c>
      <c r="AI137" s="134"/>
      <c r="AJ137" s="143" t="s">
        <v>2915</v>
      </c>
      <c r="AK137" s="129">
        <v>10.54</v>
      </c>
      <c r="AL137" s="129">
        <v>10.55</v>
      </c>
      <c r="AM137" s="129">
        <v>10.574999999999999</v>
      </c>
      <c r="AN137" s="129">
        <v>10.58</v>
      </c>
      <c r="AO137" s="126">
        <f t="shared" ca="1" si="16"/>
        <v>347</v>
      </c>
      <c r="AR137" s="99" t="s">
        <v>136</v>
      </c>
      <c r="AS137" s="281" t="str">
        <f>LEFT(RIGHT(C137,LEN(C137)-MIN(SEARCH({0,1,2,3,4,5,6,7,8,9},C137&amp;"0123456789"))+1),2)</f>
        <v>24</v>
      </c>
      <c r="AT137" s="99">
        <v>1</v>
      </c>
      <c r="AU137" s="99" t="str">
        <f>LEFT(RIGHT(C137,LEN(C137)-MIN(SEARCH({0,1,2,3,4,5,6,7,8,9},C137&amp;"0123456789"))+1),5)</f>
        <v>24.02</v>
      </c>
      <c r="AV137" s="99" t="str">
        <f t="shared" si="17"/>
        <v>MI</v>
      </c>
    </row>
    <row r="138" spans="1:59" s="99" customFormat="1" ht="21" customHeight="1" x14ac:dyDescent="0.35">
      <c r="A138" s="99">
        <v>424</v>
      </c>
      <c r="B138" s="126" t="str">
        <f t="shared" si="12"/>
        <v>0-304/FH-001X770</v>
      </c>
      <c r="C138" s="126" t="s">
        <v>3010</v>
      </c>
      <c r="D138" s="126" t="s">
        <v>13</v>
      </c>
      <c r="E138" s="143" t="s">
        <v>2918</v>
      </c>
      <c r="F138" s="143" t="s">
        <v>2919</v>
      </c>
      <c r="G138" s="126">
        <v>304</v>
      </c>
      <c r="H138" s="126" t="s">
        <v>65</v>
      </c>
      <c r="I138" s="127">
        <v>3.25</v>
      </c>
      <c r="J138" s="127">
        <v>1.1599999999999999</v>
      </c>
      <c r="K138" s="127"/>
      <c r="L138" s="127"/>
      <c r="M138" s="144">
        <v>770</v>
      </c>
      <c r="N138" s="129">
        <v>10.565</v>
      </c>
      <c r="O138" s="129">
        <v>10.565</v>
      </c>
      <c r="P138" s="129" t="s">
        <v>116</v>
      </c>
      <c r="Q138" s="130" t="s">
        <v>284</v>
      </c>
      <c r="R138" s="131"/>
      <c r="S138" s="131"/>
      <c r="T138" s="132">
        <v>44615</v>
      </c>
      <c r="U138" s="132">
        <v>44616</v>
      </c>
      <c r="V138" s="132"/>
      <c r="W138" s="132"/>
      <c r="X138" s="132"/>
      <c r="Y138" s="133" t="s">
        <v>1395</v>
      </c>
      <c r="Z138" s="126" t="s">
        <v>64</v>
      </c>
      <c r="AA138" s="134" t="s">
        <v>154</v>
      </c>
      <c r="AB138" s="134" t="s">
        <v>1330</v>
      </c>
      <c r="AC138" s="134"/>
      <c r="AD138" s="134">
        <v>44554</v>
      </c>
      <c r="AE138" s="134"/>
      <c r="AF138" s="134">
        <f t="shared" ca="1" si="13"/>
        <v>44963</v>
      </c>
      <c r="AG138" s="126">
        <f t="shared" ca="1" si="14"/>
        <v>409</v>
      </c>
      <c r="AH138" s="126" t="str">
        <f t="shared" si="15"/>
        <v/>
      </c>
      <c r="AI138" s="134"/>
      <c r="AJ138" s="143" t="s">
        <v>1424</v>
      </c>
      <c r="AK138" s="129">
        <v>10.565</v>
      </c>
      <c r="AL138" s="129">
        <v>10.574999999999999</v>
      </c>
      <c r="AM138" s="129">
        <v>10.599999999999998</v>
      </c>
      <c r="AN138" s="129">
        <v>10.604999999999999</v>
      </c>
      <c r="AO138" s="126">
        <f t="shared" ca="1" si="16"/>
        <v>347</v>
      </c>
      <c r="AR138" s="99" t="s">
        <v>136</v>
      </c>
      <c r="AS138" s="281" t="str">
        <f>LEFT(RIGHT(C138,LEN(C138)-MIN(SEARCH({0,1,2,3,4,5,6,7,8,9},C138&amp;"0123456789"))+1),2)</f>
        <v>24</v>
      </c>
      <c r="AT138" s="99">
        <v>1</v>
      </c>
      <c r="AU138" s="99" t="str">
        <f>LEFT(RIGHT(C138,LEN(C138)-MIN(SEARCH({0,1,2,3,4,5,6,7,8,9},C138&amp;"0123456789"))+1),5)</f>
        <v>24.02</v>
      </c>
      <c r="AV138" s="99" t="str">
        <f t="shared" si="17"/>
        <v>MI</v>
      </c>
    </row>
    <row r="139" spans="1:59" s="99" customFormat="1" ht="21" customHeight="1" x14ac:dyDescent="0.35">
      <c r="A139" s="99">
        <v>422</v>
      </c>
      <c r="B139" s="126" t="str">
        <f t="shared" si="12"/>
        <v>0-304L/FH-001X767</v>
      </c>
      <c r="C139" s="126" t="s">
        <v>3010</v>
      </c>
      <c r="D139" s="126" t="s">
        <v>13</v>
      </c>
      <c r="E139" s="143" t="s">
        <v>2921</v>
      </c>
      <c r="F139" s="143" t="s">
        <v>2922</v>
      </c>
      <c r="G139" s="126" t="s">
        <v>230</v>
      </c>
      <c r="H139" s="126" t="s">
        <v>65</v>
      </c>
      <c r="I139" s="127">
        <v>2.92</v>
      </c>
      <c r="J139" s="127">
        <v>0.9</v>
      </c>
      <c r="K139" s="127"/>
      <c r="L139" s="127"/>
      <c r="M139" s="144">
        <v>767</v>
      </c>
      <c r="N139" s="129">
        <v>10.46</v>
      </c>
      <c r="O139" s="129">
        <v>10.46</v>
      </c>
      <c r="P139" s="129" t="s">
        <v>116</v>
      </c>
      <c r="Q139" s="130" t="s">
        <v>1206</v>
      </c>
      <c r="R139" s="131"/>
      <c r="S139" s="131"/>
      <c r="T139" s="132">
        <v>44616</v>
      </c>
      <c r="U139" s="132">
        <v>44616</v>
      </c>
      <c r="V139" s="132"/>
      <c r="W139" s="132"/>
      <c r="X139" s="132"/>
      <c r="Y139" s="133"/>
      <c r="Z139" s="126" t="s">
        <v>64</v>
      </c>
      <c r="AA139" s="134" t="s">
        <v>154</v>
      </c>
      <c r="AB139" s="134" t="s">
        <v>1296</v>
      </c>
      <c r="AC139" s="134"/>
      <c r="AD139" s="134">
        <v>44516</v>
      </c>
      <c r="AE139" s="134"/>
      <c r="AF139" s="134">
        <f t="shared" ca="1" si="13"/>
        <v>44963</v>
      </c>
      <c r="AG139" s="126">
        <f t="shared" ca="1" si="14"/>
        <v>447</v>
      </c>
      <c r="AH139" s="126" t="str">
        <f t="shared" si="15"/>
        <v/>
      </c>
      <c r="AI139" s="134"/>
      <c r="AJ139" s="143" t="s">
        <v>2602</v>
      </c>
      <c r="AK139" s="129">
        <v>10.46</v>
      </c>
      <c r="AL139" s="129">
        <v>10.47</v>
      </c>
      <c r="AM139" s="129">
        <v>10.494999999999999</v>
      </c>
      <c r="AN139" s="129">
        <v>10.5</v>
      </c>
      <c r="AO139" s="126">
        <f t="shared" ca="1" si="16"/>
        <v>347</v>
      </c>
      <c r="AR139" s="99" t="s">
        <v>136</v>
      </c>
      <c r="AS139" s="281" t="str">
        <f>LEFT(RIGHT(C139,LEN(C139)-MIN(SEARCH({0,1,2,3,4,5,6,7,8,9},C139&amp;"0123456789"))+1),2)</f>
        <v>24</v>
      </c>
      <c r="AT139" s="99">
        <v>1</v>
      </c>
      <c r="AU139" s="99" t="str">
        <f>LEFT(RIGHT(C139,LEN(C139)-MIN(SEARCH({0,1,2,3,4,5,6,7,8,9},C139&amp;"0123456789"))+1),5)</f>
        <v>24.02</v>
      </c>
      <c r="AV139" s="99" t="str">
        <f t="shared" si="17"/>
        <v>MI</v>
      </c>
    </row>
    <row r="140" spans="1:59" s="99" customFormat="1" ht="21" customHeight="1" x14ac:dyDescent="0.35">
      <c r="A140" s="99">
        <v>421</v>
      </c>
      <c r="B140" s="126" t="str">
        <f t="shared" si="12"/>
        <v>0-304L/FH-001X770</v>
      </c>
      <c r="C140" s="126" t="s">
        <v>3010</v>
      </c>
      <c r="D140" s="126" t="s">
        <v>13</v>
      </c>
      <c r="E140" s="143" t="s">
        <v>2924</v>
      </c>
      <c r="F140" s="143" t="s">
        <v>2925</v>
      </c>
      <c r="G140" s="126" t="s">
        <v>230</v>
      </c>
      <c r="H140" s="126" t="s">
        <v>65</v>
      </c>
      <c r="I140" s="127">
        <v>3.5</v>
      </c>
      <c r="J140" s="127">
        <v>1.2</v>
      </c>
      <c r="K140" s="127"/>
      <c r="L140" s="127"/>
      <c r="M140" s="144">
        <v>770</v>
      </c>
      <c r="N140" s="129">
        <v>10.39</v>
      </c>
      <c r="O140" s="129">
        <v>10.39</v>
      </c>
      <c r="P140" s="129" t="s">
        <v>116</v>
      </c>
      <c r="Q140" s="130" t="s">
        <v>1206</v>
      </c>
      <c r="R140" s="131"/>
      <c r="S140" s="131"/>
      <c r="T140" s="132">
        <v>44616</v>
      </c>
      <c r="U140" s="132">
        <v>44616</v>
      </c>
      <c r="V140" s="132"/>
      <c r="W140" s="132"/>
      <c r="X140" s="132"/>
      <c r="Y140" s="133"/>
      <c r="Z140" s="126" t="s">
        <v>64</v>
      </c>
      <c r="AA140" s="134" t="s">
        <v>154</v>
      </c>
      <c r="AB140" s="134" t="s">
        <v>1239</v>
      </c>
      <c r="AC140" s="134"/>
      <c r="AD140" s="134">
        <v>44496</v>
      </c>
      <c r="AE140" s="134"/>
      <c r="AF140" s="134">
        <f t="shared" ca="1" si="13"/>
        <v>44963</v>
      </c>
      <c r="AG140" s="126">
        <f t="shared" ca="1" si="14"/>
        <v>467</v>
      </c>
      <c r="AH140" s="126" t="str">
        <f t="shared" si="15"/>
        <v/>
      </c>
      <c r="AI140" s="134"/>
      <c r="AJ140" s="143" t="s">
        <v>2926</v>
      </c>
      <c r="AK140" s="129">
        <v>10.39</v>
      </c>
      <c r="AL140" s="129">
        <v>10.4</v>
      </c>
      <c r="AM140" s="129">
        <v>10.424999999999999</v>
      </c>
      <c r="AN140" s="129">
        <v>10.43</v>
      </c>
      <c r="AO140" s="126">
        <f t="shared" ca="1" si="16"/>
        <v>347</v>
      </c>
      <c r="AR140" s="99" t="s">
        <v>136</v>
      </c>
      <c r="AS140" s="281" t="str">
        <f>LEFT(RIGHT(C140,LEN(C140)-MIN(SEARCH({0,1,2,3,4,5,6,7,8,9},C140&amp;"0123456789"))+1),2)</f>
        <v>24</v>
      </c>
      <c r="AT140" s="99">
        <v>2</v>
      </c>
      <c r="AU140" s="99" t="str">
        <f>LEFT(RIGHT(C140,LEN(C140)-MIN(SEARCH({0,1,2,3,4,5,6,7,8,9},C140&amp;"0123456789"))+1),5)</f>
        <v>24.02</v>
      </c>
      <c r="AV140" s="99" t="str">
        <f t="shared" si="17"/>
        <v>MI</v>
      </c>
    </row>
    <row r="141" spans="1:59" s="99" customFormat="1" ht="21" customHeight="1" x14ac:dyDescent="0.35">
      <c r="A141" s="99">
        <v>421</v>
      </c>
      <c r="B141" s="126" t="str">
        <f t="shared" si="12"/>
        <v>0-304L/FH-000X761</v>
      </c>
      <c r="C141" s="126" t="s">
        <v>3011</v>
      </c>
      <c r="D141" s="126" t="s">
        <v>13</v>
      </c>
      <c r="E141" s="143" t="s">
        <v>2929</v>
      </c>
      <c r="F141" s="143" t="s">
        <v>2930</v>
      </c>
      <c r="G141" s="126" t="s">
        <v>230</v>
      </c>
      <c r="H141" s="126" t="s">
        <v>65</v>
      </c>
      <c r="I141" s="127">
        <v>0.6</v>
      </c>
      <c r="J141" s="127">
        <v>0.3</v>
      </c>
      <c r="K141" s="127"/>
      <c r="L141" s="127"/>
      <c r="M141" s="144">
        <v>761</v>
      </c>
      <c r="N141" s="129">
        <v>4.665</v>
      </c>
      <c r="O141" s="129">
        <v>4.665</v>
      </c>
      <c r="P141" s="129" t="s">
        <v>116</v>
      </c>
      <c r="Q141" s="130" t="s">
        <v>1206</v>
      </c>
      <c r="R141" s="130" t="s">
        <v>1228</v>
      </c>
      <c r="S141" s="131" t="s">
        <v>2931</v>
      </c>
      <c r="T141" s="132" t="s">
        <v>2932</v>
      </c>
      <c r="U141" s="132" t="s">
        <v>2932</v>
      </c>
      <c r="V141" s="132">
        <v>44610</v>
      </c>
      <c r="W141" s="132"/>
      <c r="X141" s="132"/>
      <c r="Y141" s="133"/>
      <c r="Z141" s="126" t="s">
        <v>64</v>
      </c>
      <c r="AA141" s="134" t="s">
        <v>154</v>
      </c>
      <c r="AB141" s="134" t="s">
        <v>1190</v>
      </c>
      <c r="AC141" s="134"/>
      <c r="AD141" s="134">
        <v>44496</v>
      </c>
      <c r="AE141" s="134"/>
      <c r="AF141" s="134">
        <f t="shared" ca="1" si="13"/>
        <v>44963</v>
      </c>
      <c r="AG141" s="126">
        <f t="shared" ca="1" si="14"/>
        <v>467</v>
      </c>
      <c r="AH141" s="126">
        <f t="shared" ca="1" si="15"/>
        <v>353</v>
      </c>
      <c r="AI141" s="134"/>
      <c r="AJ141" s="143" t="s">
        <v>2933</v>
      </c>
      <c r="AK141" s="129">
        <v>10.52</v>
      </c>
      <c r="AL141" s="129">
        <v>10.53</v>
      </c>
      <c r="AM141" s="129">
        <v>10.554999999999998</v>
      </c>
      <c r="AN141" s="129">
        <v>10.559999999999999</v>
      </c>
      <c r="AO141" s="126" t="e">
        <f t="shared" ca="1" si="16"/>
        <v>#VALUE!</v>
      </c>
      <c r="AR141" s="99" t="s">
        <v>136</v>
      </c>
      <c r="AS141" s="281" t="str">
        <f>LEFT(RIGHT(C141,LEN(C141)-MIN(SEARCH({0,1,2,3,4,5,6,7,8,9},C141&amp;"0123456789"))+1),2)</f>
        <v>24</v>
      </c>
      <c r="AT141" s="99">
        <v>2</v>
      </c>
      <c r="AU141" s="99" t="str">
        <f>LEFT(RIGHT(C141,LEN(C141)-MIN(SEARCH({0,1,2,3,4,5,6,7,8,9},C141&amp;"0123456789"))+1),5)</f>
        <v>24.02</v>
      </c>
      <c r="AV141" s="99" t="str">
        <f t="shared" si="17"/>
        <v>RR</v>
      </c>
    </row>
    <row r="142" spans="1:59" s="99" customFormat="1" ht="21" customHeight="1" x14ac:dyDescent="0.35">
      <c r="A142" s="99">
        <v>422</v>
      </c>
      <c r="B142" s="126" t="str">
        <f t="shared" si="12"/>
        <v>0-304L/FH-000X763</v>
      </c>
      <c r="C142" s="126" t="s">
        <v>3011</v>
      </c>
      <c r="D142" s="126" t="s">
        <v>13</v>
      </c>
      <c r="E142" s="143" t="s">
        <v>2823</v>
      </c>
      <c r="F142" s="143" t="s">
        <v>2824</v>
      </c>
      <c r="G142" s="126" t="s">
        <v>230</v>
      </c>
      <c r="H142" s="126" t="s">
        <v>65</v>
      </c>
      <c r="I142" s="127">
        <v>0.8</v>
      </c>
      <c r="J142" s="127">
        <v>0.4</v>
      </c>
      <c r="K142" s="127"/>
      <c r="L142" s="127"/>
      <c r="M142" s="144">
        <v>763</v>
      </c>
      <c r="N142" s="129">
        <v>8.1999999999999993</v>
      </c>
      <c r="O142" s="129">
        <v>8.1999999999999993</v>
      </c>
      <c r="P142" s="129" t="s">
        <v>116</v>
      </c>
      <c r="Q142" s="130" t="s">
        <v>1206</v>
      </c>
      <c r="R142" s="131"/>
      <c r="S142" s="131" t="s">
        <v>305</v>
      </c>
      <c r="T142" s="132" t="s">
        <v>2928</v>
      </c>
      <c r="U142" s="132" t="s">
        <v>2928</v>
      </c>
      <c r="V142" s="132">
        <v>44612</v>
      </c>
      <c r="W142" s="132">
        <v>44615</v>
      </c>
      <c r="X142" s="132"/>
      <c r="Y142" s="133"/>
      <c r="Z142" s="126" t="s">
        <v>64</v>
      </c>
      <c r="AA142" s="134" t="s">
        <v>154</v>
      </c>
      <c r="AB142" s="134" t="s">
        <v>1330</v>
      </c>
      <c r="AC142" s="134"/>
      <c r="AD142" s="134">
        <v>44516</v>
      </c>
      <c r="AE142" s="134"/>
      <c r="AF142" s="134">
        <f t="shared" ca="1" si="13"/>
        <v>44963</v>
      </c>
      <c r="AG142" s="126">
        <f t="shared" ca="1" si="14"/>
        <v>447</v>
      </c>
      <c r="AH142" s="126">
        <f t="shared" ca="1" si="15"/>
        <v>351</v>
      </c>
      <c r="AI142" s="134"/>
      <c r="AJ142" s="143" t="s">
        <v>2688</v>
      </c>
      <c r="AK142" s="129">
        <v>8.2850000000000001</v>
      </c>
      <c r="AL142" s="129">
        <v>8.2949999999999999</v>
      </c>
      <c r="AM142" s="129">
        <v>8.3199999999999985</v>
      </c>
      <c r="AN142" s="129">
        <v>8.3249999999999993</v>
      </c>
      <c r="AO142" s="126" t="e">
        <f t="shared" ca="1" si="16"/>
        <v>#VALUE!</v>
      </c>
      <c r="AR142" s="99" t="s">
        <v>136</v>
      </c>
      <c r="AS142" s="281" t="str">
        <f>LEFT(RIGHT(C142,LEN(C142)-MIN(SEARCH({0,1,2,3,4,5,6,7,8,9},C142&amp;"0123456789"))+1),2)</f>
        <v>24</v>
      </c>
      <c r="AT142" s="99">
        <v>2</v>
      </c>
      <c r="AU142" s="99" t="str">
        <f>LEFT(RIGHT(C142,LEN(C142)-MIN(SEARCH({0,1,2,3,4,5,6,7,8,9},C142&amp;"0123456789"))+1),5)</f>
        <v>24.02</v>
      </c>
      <c r="AV142" s="99" t="str">
        <f t="shared" si="17"/>
        <v>RR</v>
      </c>
    </row>
    <row r="143" spans="1:59" s="99" customFormat="1" ht="21" customHeight="1" x14ac:dyDescent="0.35">
      <c r="A143" s="99">
        <v>421</v>
      </c>
      <c r="B143" s="126" t="str">
        <f t="shared" si="12"/>
        <v>0-304L/FH-000X765</v>
      </c>
      <c r="C143" s="126" t="s">
        <v>3011</v>
      </c>
      <c r="D143" s="126" t="s">
        <v>13</v>
      </c>
      <c r="E143" s="143" t="s">
        <v>2940</v>
      </c>
      <c r="F143" s="143" t="s">
        <v>2941</v>
      </c>
      <c r="G143" s="126" t="s">
        <v>230</v>
      </c>
      <c r="H143" s="126" t="s">
        <v>65</v>
      </c>
      <c r="I143" s="127">
        <v>0.6</v>
      </c>
      <c r="J143" s="127">
        <v>0.3</v>
      </c>
      <c r="K143" s="127"/>
      <c r="L143" s="127"/>
      <c r="M143" s="144">
        <v>765</v>
      </c>
      <c r="N143" s="129">
        <v>4.625</v>
      </c>
      <c r="O143" s="129">
        <v>4.625</v>
      </c>
      <c r="P143" s="129" t="s">
        <v>116</v>
      </c>
      <c r="Q143" s="130" t="s">
        <v>1206</v>
      </c>
      <c r="R143" s="130" t="s">
        <v>1143</v>
      </c>
      <c r="S143" s="131"/>
      <c r="T143" s="132" t="s">
        <v>2942</v>
      </c>
      <c r="U143" s="132" t="s">
        <v>3012</v>
      </c>
      <c r="V143" s="132">
        <v>44603</v>
      </c>
      <c r="W143" s="132">
        <v>44615</v>
      </c>
      <c r="X143" s="132"/>
      <c r="Y143" s="133"/>
      <c r="Z143" s="126" t="s">
        <v>64</v>
      </c>
      <c r="AA143" s="134" t="s">
        <v>154</v>
      </c>
      <c r="AB143" s="134" t="s">
        <v>1190</v>
      </c>
      <c r="AC143" s="134"/>
      <c r="AD143" s="134">
        <v>44496</v>
      </c>
      <c r="AE143" s="134"/>
      <c r="AF143" s="134">
        <f t="shared" ca="1" si="13"/>
        <v>44963</v>
      </c>
      <c r="AG143" s="126">
        <f t="shared" ca="1" si="14"/>
        <v>467</v>
      </c>
      <c r="AH143" s="126">
        <f t="shared" ca="1" si="15"/>
        <v>360</v>
      </c>
      <c r="AI143" s="134"/>
      <c r="AJ143" s="143" t="s">
        <v>2915</v>
      </c>
      <c r="AK143" s="129">
        <v>10.555</v>
      </c>
      <c r="AL143" s="129">
        <v>10.565</v>
      </c>
      <c r="AM143" s="129">
        <v>10.589999999999998</v>
      </c>
      <c r="AN143" s="129">
        <v>10.594999999999999</v>
      </c>
      <c r="AO143" s="126" t="e">
        <f t="shared" ca="1" si="16"/>
        <v>#VALUE!</v>
      </c>
      <c r="AR143" s="99" t="s">
        <v>136</v>
      </c>
      <c r="AS143" s="281" t="str">
        <f>LEFT(RIGHT(C143,LEN(C143)-MIN(SEARCH({0,1,2,3,4,5,6,7,8,9},C143&amp;"0123456789"))+1),2)</f>
        <v>24</v>
      </c>
      <c r="AT143" s="99">
        <v>2</v>
      </c>
      <c r="AU143" s="99" t="str">
        <f>LEFT(RIGHT(C143,LEN(C143)-MIN(SEARCH({0,1,2,3,4,5,6,7,8,9},C143&amp;"0123456789"))+1),5)</f>
        <v>24.02</v>
      </c>
      <c r="AV143" s="99" t="str">
        <f t="shared" si="17"/>
        <v>RR</v>
      </c>
    </row>
    <row r="144" spans="1:59" s="99" customFormat="1" ht="21" customHeight="1" x14ac:dyDescent="0.35">
      <c r="A144" s="99">
        <v>424</v>
      </c>
      <c r="B144" s="126" t="str">
        <f t="shared" si="12"/>
        <v>0-304/FH-002X772</v>
      </c>
      <c r="C144" s="126" t="s">
        <v>3010</v>
      </c>
      <c r="D144" s="126" t="s">
        <v>13</v>
      </c>
      <c r="E144" s="143" t="s">
        <v>1425</v>
      </c>
      <c r="F144" s="143" t="s">
        <v>2903</v>
      </c>
      <c r="G144" s="126">
        <v>304</v>
      </c>
      <c r="H144" s="126" t="s">
        <v>65</v>
      </c>
      <c r="I144" s="127">
        <v>3.74</v>
      </c>
      <c r="J144" s="127">
        <v>1.5</v>
      </c>
      <c r="K144" s="127"/>
      <c r="L144" s="127"/>
      <c r="M144" s="144">
        <v>772</v>
      </c>
      <c r="N144" s="129">
        <v>10.42</v>
      </c>
      <c r="O144" s="129">
        <v>10.42</v>
      </c>
      <c r="P144" s="129" t="s">
        <v>116</v>
      </c>
      <c r="Q144" s="130" t="s">
        <v>1206</v>
      </c>
      <c r="R144" s="131"/>
      <c r="S144" s="131"/>
      <c r="T144" s="132">
        <v>44615</v>
      </c>
      <c r="U144" s="132">
        <v>44616</v>
      </c>
      <c r="V144" s="132"/>
      <c r="W144" s="132"/>
      <c r="X144" s="132"/>
      <c r="Y144" s="133" t="s">
        <v>1395</v>
      </c>
      <c r="Z144" s="126" t="s">
        <v>64</v>
      </c>
      <c r="AA144" s="134" t="s">
        <v>154</v>
      </c>
      <c r="AB144" s="134" t="s">
        <v>1330</v>
      </c>
      <c r="AC144" s="134"/>
      <c r="AD144" s="134">
        <v>44554</v>
      </c>
      <c r="AE144" s="134"/>
      <c r="AF144" s="134">
        <f t="shared" ca="1" si="13"/>
        <v>44963</v>
      </c>
      <c r="AG144" s="126">
        <f t="shared" ca="1" si="14"/>
        <v>409</v>
      </c>
      <c r="AH144" s="126" t="str">
        <f t="shared" si="15"/>
        <v/>
      </c>
      <c r="AI144" s="134"/>
      <c r="AJ144" s="143" t="s">
        <v>1427</v>
      </c>
      <c r="AK144" s="129">
        <v>10.42</v>
      </c>
      <c r="AL144" s="129">
        <v>10.43</v>
      </c>
      <c r="AM144" s="129">
        <v>10.454999999999998</v>
      </c>
      <c r="AN144" s="129">
        <v>10.459999999999999</v>
      </c>
      <c r="AO144" s="126">
        <f t="shared" ca="1" si="16"/>
        <v>347</v>
      </c>
      <c r="AR144" s="99" t="s">
        <v>136</v>
      </c>
      <c r="AS144" s="281" t="str">
        <f>LEFT(RIGHT(C144,LEN(C144)-MIN(SEARCH({0,1,2,3,4,5,6,7,8,9},C144&amp;"0123456789"))+1),2)</f>
        <v>24</v>
      </c>
      <c r="AT144" s="99">
        <v>3</v>
      </c>
      <c r="AU144" s="99" t="str">
        <f>LEFT(RIGHT(C144,LEN(C144)-MIN(SEARCH({0,1,2,3,4,5,6,7,8,9},C144&amp;"0123456789"))+1),5)</f>
        <v>24.02</v>
      </c>
      <c r="AV144" s="99" t="str">
        <f t="shared" si="17"/>
        <v>MI</v>
      </c>
    </row>
    <row r="145" spans="1:59" s="99" customFormat="1" ht="21" customHeight="1" x14ac:dyDescent="0.35">
      <c r="A145" s="99">
        <v>421</v>
      </c>
      <c r="B145" s="126" t="str">
        <f t="shared" si="12"/>
        <v>0-304L/FH-001X770</v>
      </c>
      <c r="C145" s="126" t="s">
        <v>3010</v>
      </c>
      <c r="D145" s="126" t="s">
        <v>13</v>
      </c>
      <c r="E145" s="143" t="s">
        <v>2934</v>
      </c>
      <c r="F145" s="143" t="s">
        <v>2935</v>
      </c>
      <c r="G145" s="126" t="s">
        <v>230</v>
      </c>
      <c r="H145" s="126" t="s">
        <v>65</v>
      </c>
      <c r="I145" s="127">
        <v>3.32</v>
      </c>
      <c r="J145" s="127">
        <v>1.1499999999999999</v>
      </c>
      <c r="K145" s="127"/>
      <c r="L145" s="127"/>
      <c r="M145" s="144">
        <v>770</v>
      </c>
      <c r="N145" s="129">
        <v>10.555</v>
      </c>
      <c r="O145" s="129">
        <v>10.555</v>
      </c>
      <c r="P145" s="129" t="s">
        <v>116</v>
      </c>
      <c r="Q145" s="130" t="s">
        <v>1326</v>
      </c>
      <c r="R145" s="131"/>
      <c r="S145" s="131"/>
      <c r="T145" s="132">
        <v>44616</v>
      </c>
      <c r="U145" s="132">
        <v>44616</v>
      </c>
      <c r="V145" s="132"/>
      <c r="W145" s="132"/>
      <c r="X145" s="132"/>
      <c r="Y145" s="133"/>
      <c r="Z145" s="126" t="s">
        <v>64</v>
      </c>
      <c r="AA145" s="134" t="s">
        <v>154</v>
      </c>
      <c r="AB145" s="134" t="s">
        <v>1246</v>
      </c>
      <c r="AC145" s="134"/>
      <c r="AD145" s="134">
        <v>44496</v>
      </c>
      <c r="AE145" s="134"/>
      <c r="AF145" s="134">
        <f t="shared" ca="1" si="13"/>
        <v>44963</v>
      </c>
      <c r="AG145" s="126">
        <f t="shared" ca="1" si="14"/>
        <v>467</v>
      </c>
      <c r="AH145" s="126" t="str">
        <f t="shared" si="15"/>
        <v/>
      </c>
      <c r="AI145" s="134"/>
      <c r="AJ145" s="143" t="s">
        <v>2936</v>
      </c>
      <c r="AK145" s="129">
        <v>10.555</v>
      </c>
      <c r="AL145" s="129">
        <v>10.565</v>
      </c>
      <c r="AM145" s="129">
        <v>10.589999999999998</v>
      </c>
      <c r="AN145" s="129">
        <v>10.594999999999999</v>
      </c>
      <c r="AO145" s="126">
        <f t="shared" ca="1" si="16"/>
        <v>347</v>
      </c>
      <c r="AR145" s="99" t="s">
        <v>136</v>
      </c>
      <c r="AS145" s="281" t="str">
        <f>LEFT(RIGHT(C145,LEN(C145)-MIN(SEARCH({0,1,2,3,4,5,6,7,8,9},C145&amp;"0123456789"))+1),2)</f>
        <v>24</v>
      </c>
      <c r="AT145" s="99">
        <v>3</v>
      </c>
      <c r="AU145" s="99" t="str">
        <f>LEFT(RIGHT(C145,LEN(C145)-MIN(SEARCH({0,1,2,3,4,5,6,7,8,9},C145&amp;"0123456789"))+1),5)</f>
        <v>24.02</v>
      </c>
      <c r="AV145" s="99" t="str">
        <f t="shared" si="17"/>
        <v>MI</v>
      </c>
    </row>
    <row r="146" spans="1:59" s="99" customFormat="1" ht="21" customHeight="1" x14ac:dyDescent="0.35">
      <c r="A146" s="99">
        <v>422</v>
      </c>
      <c r="B146" s="126" t="str">
        <f t="shared" si="12"/>
        <v>0-304L/FH-002X777</v>
      </c>
      <c r="C146" s="126" t="s">
        <v>3010</v>
      </c>
      <c r="D146" s="126" t="s">
        <v>13</v>
      </c>
      <c r="E146" s="143" t="s">
        <v>2944</v>
      </c>
      <c r="F146" s="143" t="s">
        <v>2945</v>
      </c>
      <c r="G146" s="126" t="s">
        <v>230</v>
      </c>
      <c r="H146" s="126" t="s">
        <v>65</v>
      </c>
      <c r="I146" s="127">
        <v>3.8</v>
      </c>
      <c r="J146" s="127">
        <v>2</v>
      </c>
      <c r="K146" s="127"/>
      <c r="L146" s="127"/>
      <c r="M146" s="144">
        <v>777</v>
      </c>
      <c r="N146" s="129">
        <v>10.475</v>
      </c>
      <c r="O146" s="129">
        <v>10.475</v>
      </c>
      <c r="P146" s="129" t="s">
        <v>116</v>
      </c>
      <c r="Q146" s="130" t="s">
        <v>1206</v>
      </c>
      <c r="R146" s="131"/>
      <c r="S146" s="131"/>
      <c r="T146" s="132">
        <v>44616</v>
      </c>
      <c r="U146" s="132">
        <v>44616</v>
      </c>
      <c r="V146" s="132"/>
      <c r="W146" s="132"/>
      <c r="X146" s="132"/>
      <c r="Y146" s="133"/>
      <c r="Z146" s="126" t="s">
        <v>64</v>
      </c>
      <c r="AA146" s="134" t="s">
        <v>154</v>
      </c>
      <c r="AB146" s="134" t="s">
        <v>1330</v>
      </c>
      <c r="AC146" s="134"/>
      <c r="AD146" s="134">
        <v>44516</v>
      </c>
      <c r="AE146" s="134"/>
      <c r="AF146" s="134">
        <f t="shared" ca="1" si="13"/>
        <v>44963</v>
      </c>
      <c r="AG146" s="126">
        <f t="shared" ca="1" si="14"/>
        <v>447</v>
      </c>
      <c r="AH146" s="126" t="str">
        <f t="shared" si="15"/>
        <v/>
      </c>
      <c r="AI146" s="134"/>
      <c r="AJ146" s="143" t="s">
        <v>2946</v>
      </c>
      <c r="AK146" s="129">
        <v>10.475</v>
      </c>
      <c r="AL146" s="129">
        <v>10.484999999999999</v>
      </c>
      <c r="AM146" s="129">
        <v>10.509999999999998</v>
      </c>
      <c r="AN146" s="129">
        <v>10.514999999999999</v>
      </c>
      <c r="AO146" s="126">
        <f t="shared" ca="1" si="16"/>
        <v>347</v>
      </c>
      <c r="AR146" s="99" t="s">
        <v>136</v>
      </c>
      <c r="AS146" s="281" t="str">
        <f>LEFT(RIGHT(C146,LEN(C146)-MIN(SEARCH({0,1,2,3,4,5,6,7,8,9},C146&amp;"0123456789"))+1),2)</f>
        <v>24</v>
      </c>
      <c r="AT146" s="99">
        <v>3</v>
      </c>
      <c r="AU146" s="99" t="str">
        <f>LEFT(RIGHT(C146,LEN(C146)-MIN(SEARCH({0,1,2,3,4,5,6,7,8,9},C146&amp;"0123456789"))+1),5)</f>
        <v>24.02</v>
      </c>
      <c r="AV146" s="99" t="str">
        <f t="shared" si="17"/>
        <v>MI</v>
      </c>
    </row>
    <row r="147" spans="1:59" s="99" customFormat="1" ht="21" customHeight="1" x14ac:dyDescent="0.35">
      <c r="A147" s="99">
        <v>421</v>
      </c>
      <c r="B147" s="126" t="str">
        <f t="shared" si="12"/>
        <v>0-304L/FH-000X765</v>
      </c>
      <c r="C147" s="126" t="s">
        <v>3013</v>
      </c>
      <c r="D147" s="126" t="s">
        <v>13</v>
      </c>
      <c r="E147" s="143" t="s">
        <v>2884</v>
      </c>
      <c r="F147" s="143" t="s">
        <v>2885</v>
      </c>
      <c r="G147" s="126" t="s">
        <v>230</v>
      </c>
      <c r="H147" s="126" t="s">
        <v>65</v>
      </c>
      <c r="I147" s="127">
        <v>0.8</v>
      </c>
      <c r="J147" s="127">
        <v>0.4</v>
      </c>
      <c r="K147" s="127"/>
      <c r="L147" s="127"/>
      <c r="M147" s="144">
        <v>765</v>
      </c>
      <c r="N147" s="129">
        <v>11.88</v>
      </c>
      <c r="O147" s="129">
        <v>11.88</v>
      </c>
      <c r="P147" s="129" t="s">
        <v>116</v>
      </c>
      <c r="Q147" s="130" t="s">
        <v>1206</v>
      </c>
      <c r="R147" s="131"/>
      <c r="S147" s="131"/>
      <c r="T147" s="132" t="s">
        <v>2943</v>
      </c>
      <c r="U147" s="132">
        <v>44614</v>
      </c>
      <c r="V147" s="132">
        <v>44615</v>
      </c>
      <c r="W147" s="132">
        <v>44616</v>
      </c>
      <c r="X147" s="132"/>
      <c r="Y147" s="133"/>
      <c r="Z147" s="126" t="s">
        <v>64</v>
      </c>
      <c r="AA147" s="134" t="s">
        <v>154</v>
      </c>
      <c r="AB147" s="134" t="s">
        <v>1190</v>
      </c>
      <c r="AC147" s="134"/>
      <c r="AD147" s="134">
        <v>44496</v>
      </c>
      <c r="AE147" s="134"/>
      <c r="AF147" s="134">
        <f t="shared" ca="1" si="13"/>
        <v>44963</v>
      </c>
      <c r="AG147" s="126">
        <f t="shared" ca="1" si="14"/>
        <v>467</v>
      </c>
      <c r="AH147" s="126">
        <f t="shared" ca="1" si="15"/>
        <v>348</v>
      </c>
      <c r="AI147" s="134"/>
      <c r="AJ147" s="143" t="s">
        <v>2751</v>
      </c>
      <c r="AK147" s="129">
        <v>12.08</v>
      </c>
      <c r="AL147" s="129">
        <v>12.09</v>
      </c>
      <c r="AM147" s="129">
        <v>12.114999999999998</v>
      </c>
      <c r="AN147" s="129">
        <v>12.12</v>
      </c>
      <c r="AO147" s="126">
        <f t="shared" ca="1" si="16"/>
        <v>349</v>
      </c>
      <c r="AR147" s="99" t="s">
        <v>136</v>
      </c>
      <c r="AS147" s="281" t="str">
        <f>LEFT(RIGHT(C147,LEN(C147)-MIN(SEARCH({0,1,2,3,4,5,6,7,8,9},C147&amp;"0123456789"))+1),2)</f>
        <v>25</v>
      </c>
      <c r="AT147" s="99">
        <v>1</v>
      </c>
      <c r="AU147" s="99" t="str">
        <f>LEFT(RIGHT(C147,LEN(C147)-MIN(SEARCH({0,1,2,3,4,5,6,7,8,9},C147&amp;"0123456789"))+1),5)</f>
        <v>25.02</v>
      </c>
      <c r="AV147" s="99" t="str">
        <f t="shared" si="17"/>
        <v>RR</v>
      </c>
    </row>
    <row r="148" spans="1:59" s="99" customFormat="1" ht="21" customHeight="1" x14ac:dyDescent="0.35">
      <c r="A148" s="99">
        <v>421</v>
      </c>
      <c r="B148" s="126" t="str">
        <f t="shared" si="12"/>
        <v>0-304L/FH-001X762</v>
      </c>
      <c r="C148" s="126" t="s">
        <v>3013</v>
      </c>
      <c r="D148" s="126" t="s">
        <v>13</v>
      </c>
      <c r="E148" s="143" t="s">
        <v>1235</v>
      </c>
      <c r="F148" s="143" t="s">
        <v>2902</v>
      </c>
      <c r="G148" s="126" t="s">
        <v>230</v>
      </c>
      <c r="H148" s="126" t="s">
        <v>65</v>
      </c>
      <c r="I148" s="127">
        <v>0.95</v>
      </c>
      <c r="J148" s="127">
        <v>0.5</v>
      </c>
      <c r="K148" s="127"/>
      <c r="L148" s="127"/>
      <c r="M148" s="144">
        <v>762</v>
      </c>
      <c r="N148" s="129">
        <v>10.48</v>
      </c>
      <c r="O148" s="129">
        <v>10.48</v>
      </c>
      <c r="P148" s="129" t="s">
        <v>116</v>
      </c>
      <c r="Q148" s="130" t="s">
        <v>1206</v>
      </c>
      <c r="R148" s="131"/>
      <c r="S148" s="131" t="s">
        <v>305</v>
      </c>
      <c r="T148" s="132" t="s">
        <v>1237</v>
      </c>
      <c r="U148" s="132" t="s">
        <v>1237</v>
      </c>
      <c r="V148" s="132">
        <v>44616</v>
      </c>
      <c r="W148" s="132">
        <v>44616</v>
      </c>
      <c r="X148" s="132"/>
      <c r="Y148" s="133"/>
      <c r="Z148" s="126" t="s">
        <v>64</v>
      </c>
      <c r="AA148" s="134" t="s">
        <v>154</v>
      </c>
      <c r="AB148" s="134" t="s">
        <v>1239</v>
      </c>
      <c r="AC148" s="134"/>
      <c r="AD148" s="134">
        <v>44496</v>
      </c>
      <c r="AE148" s="134"/>
      <c r="AF148" s="134">
        <f t="shared" ca="1" si="13"/>
        <v>44963</v>
      </c>
      <c r="AG148" s="126">
        <f t="shared" ca="1" si="14"/>
        <v>467</v>
      </c>
      <c r="AH148" s="126">
        <f t="shared" ca="1" si="15"/>
        <v>347</v>
      </c>
      <c r="AI148" s="134"/>
      <c r="AJ148" s="143" t="s">
        <v>1240</v>
      </c>
      <c r="AK148" s="129">
        <v>10.484999999999999</v>
      </c>
      <c r="AL148" s="129">
        <v>10.494999999999999</v>
      </c>
      <c r="AM148" s="129">
        <v>10.519999999999998</v>
      </c>
      <c r="AN148" s="129">
        <v>10.524999999999999</v>
      </c>
      <c r="AO148" s="126" t="e">
        <f t="shared" ca="1" si="16"/>
        <v>#VALUE!</v>
      </c>
      <c r="AR148" s="99" t="s">
        <v>136</v>
      </c>
      <c r="AS148" s="281" t="str">
        <f>LEFT(RIGHT(C148,LEN(C148)-MIN(SEARCH({0,1,2,3,4,5,6,7,8,9},C148&amp;"0123456789"))+1),2)</f>
        <v>25</v>
      </c>
      <c r="AT148" s="99">
        <v>2</v>
      </c>
      <c r="AU148" s="99" t="str">
        <f>LEFT(RIGHT(C148,LEN(C148)-MIN(SEARCH({0,1,2,3,4,5,6,7,8,9},C148&amp;"0123456789"))+1),5)</f>
        <v>25.02</v>
      </c>
      <c r="AV148" s="99" t="str">
        <f t="shared" si="17"/>
        <v>RR</v>
      </c>
    </row>
    <row r="149" spans="1:59" s="99" customFormat="1" ht="21" customHeight="1" x14ac:dyDescent="0.35">
      <c r="A149" s="99">
        <v>419</v>
      </c>
      <c r="B149" s="126" t="str">
        <f t="shared" si="12"/>
        <v>0-304/FH-000X761</v>
      </c>
      <c r="C149" s="126" t="s">
        <v>3013</v>
      </c>
      <c r="D149" s="126" t="s">
        <v>13</v>
      </c>
      <c r="E149" s="143" t="s">
        <v>2955</v>
      </c>
      <c r="F149" s="143" t="s">
        <v>2956</v>
      </c>
      <c r="G149" s="126">
        <v>304</v>
      </c>
      <c r="H149" s="126" t="s">
        <v>65</v>
      </c>
      <c r="I149" s="127">
        <v>0.6</v>
      </c>
      <c r="J149" s="127">
        <v>0.3</v>
      </c>
      <c r="K149" s="127"/>
      <c r="L149" s="127"/>
      <c r="M149" s="144">
        <v>761</v>
      </c>
      <c r="N149" s="129">
        <v>6.1</v>
      </c>
      <c r="O149" s="129">
        <v>6.1</v>
      </c>
      <c r="P149" s="129" t="s">
        <v>116</v>
      </c>
      <c r="Q149" s="130" t="s">
        <v>1206</v>
      </c>
      <c r="R149" s="130" t="s">
        <v>1134</v>
      </c>
      <c r="S149" s="130" t="s">
        <v>2957</v>
      </c>
      <c r="T149" s="132" t="s">
        <v>2958</v>
      </c>
      <c r="U149" s="132" t="s">
        <v>2958</v>
      </c>
      <c r="V149" s="132">
        <v>44466</v>
      </c>
      <c r="W149" s="132" t="s">
        <v>2959</v>
      </c>
      <c r="X149" s="132"/>
      <c r="Y149" s="133"/>
      <c r="Z149" s="126" t="s">
        <v>64</v>
      </c>
      <c r="AA149" s="134" t="s">
        <v>154</v>
      </c>
      <c r="AB149" s="134" t="s">
        <v>793</v>
      </c>
      <c r="AC149" s="134"/>
      <c r="AD149" s="134">
        <v>44444</v>
      </c>
      <c r="AE149" s="134"/>
      <c r="AF149" s="134">
        <f t="shared" ca="1" si="13"/>
        <v>44963</v>
      </c>
      <c r="AG149" s="126">
        <f t="shared" ca="1" si="14"/>
        <v>519</v>
      </c>
      <c r="AH149" s="126">
        <f t="shared" ca="1" si="15"/>
        <v>497</v>
      </c>
      <c r="AI149" s="134"/>
      <c r="AJ149" s="143" t="s">
        <v>2960</v>
      </c>
      <c r="AK149" s="129">
        <v>12.145</v>
      </c>
      <c r="AL149" s="129">
        <v>12.154999999999999</v>
      </c>
      <c r="AM149" s="129">
        <v>12.179999999999998</v>
      </c>
      <c r="AN149" s="129">
        <v>12.184999999999999</v>
      </c>
      <c r="AO149" s="126" t="e">
        <f t="shared" ca="1" si="16"/>
        <v>#VALUE!</v>
      </c>
      <c r="AR149" s="99" t="s">
        <v>136</v>
      </c>
      <c r="AS149" s="281" t="str">
        <f>LEFT(RIGHT(C149,LEN(C149)-MIN(SEARCH({0,1,2,3,4,5,6,7,8,9},C149&amp;"0123456789"))+1),2)</f>
        <v>25</v>
      </c>
      <c r="AT149" s="99">
        <v>2</v>
      </c>
      <c r="AU149" s="99" t="str">
        <f>LEFT(RIGHT(C149,LEN(C149)-MIN(SEARCH({0,1,2,3,4,5,6,7,8,9},C149&amp;"0123456789"))+1),5)</f>
        <v>25.02</v>
      </c>
      <c r="AV149" s="99" t="str">
        <f t="shared" si="17"/>
        <v>RR</v>
      </c>
      <c r="BG149" s="135" t="s">
        <v>281</v>
      </c>
    </row>
    <row r="150" spans="1:59" s="99" customFormat="1" ht="21" customHeight="1" x14ac:dyDescent="0.35">
      <c r="A150" s="99">
        <v>424</v>
      </c>
      <c r="B150" s="126" t="str">
        <f t="shared" si="12"/>
        <v>0-304/FH-001X770</v>
      </c>
      <c r="C150" s="126" t="s">
        <v>3014</v>
      </c>
      <c r="D150" s="126" t="s">
        <v>13</v>
      </c>
      <c r="E150" s="143" t="s">
        <v>2951</v>
      </c>
      <c r="F150" s="143" t="s">
        <v>2952</v>
      </c>
      <c r="G150" s="126">
        <v>304</v>
      </c>
      <c r="H150" s="126" t="s">
        <v>65</v>
      </c>
      <c r="I150" s="127">
        <v>3.78</v>
      </c>
      <c r="J150" s="127">
        <v>1.31</v>
      </c>
      <c r="K150" s="127"/>
      <c r="L150" s="127"/>
      <c r="M150" s="144">
        <v>770</v>
      </c>
      <c r="N150" s="129">
        <v>11.82</v>
      </c>
      <c r="O150" s="129">
        <v>11.82</v>
      </c>
      <c r="P150" s="129" t="s">
        <v>116</v>
      </c>
      <c r="Q150" s="130" t="s">
        <v>1326</v>
      </c>
      <c r="R150" s="131"/>
      <c r="S150" s="131"/>
      <c r="T150" s="132">
        <v>44617</v>
      </c>
      <c r="U150" s="132">
        <v>44617</v>
      </c>
      <c r="V150" s="132"/>
      <c r="W150" s="132"/>
      <c r="X150" s="132"/>
      <c r="Y150" s="133" t="s">
        <v>1395</v>
      </c>
      <c r="Z150" s="126" t="s">
        <v>64</v>
      </c>
      <c r="AA150" s="134" t="s">
        <v>154</v>
      </c>
      <c r="AB150" s="134" t="s">
        <v>1516</v>
      </c>
      <c r="AC150" s="134"/>
      <c r="AD150" s="134">
        <v>44554</v>
      </c>
      <c r="AE150" s="134"/>
      <c r="AF150" s="134">
        <f t="shared" ca="1" si="13"/>
        <v>44963</v>
      </c>
      <c r="AG150" s="126">
        <f t="shared" ca="1" si="14"/>
        <v>409</v>
      </c>
      <c r="AH150" s="126" t="str">
        <f t="shared" si="15"/>
        <v/>
      </c>
      <c r="AI150" s="134"/>
      <c r="AJ150" s="143" t="s">
        <v>1718</v>
      </c>
      <c r="AK150" s="129">
        <v>11.82</v>
      </c>
      <c r="AL150" s="129">
        <v>11.83</v>
      </c>
      <c r="AM150" s="129">
        <v>11.854999999999999</v>
      </c>
      <c r="AN150" s="129">
        <v>11.86</v>
      </c>
      <c r="AO150" s="126">
        <f t="shared" ca="1" si="16"/>
        <v>346</v>
      </c>
      <c r="AR150" s="99" t="s">
        <v>136</v>
      </c>
      <c r="AS150" s="281" t="str">
        <f>LEFT(RIGHT(C150,LEN(C150)-MIN(SEARCH({0,1,2,3,4,5,6,7,8,9},C150&amp;"0123456789"))+1),2)</f>
        <v>25</v>
      </c>
      <c r="AT150" s="99">
        <v>2</v>
      </c>
      <c r="AU150" s="99" t="str">
        <f>LEFT(RIGHT(C150,LEN(C150)-MIN(SEARCH({0,1,2,3,4,5,6,7,8,9},C150&amp;"0123456789"))+1),5)</f>
        <v>25.02</v>
      </c>
      <c r="AV150" s="99" t="str">
        <f t="shared" si="17"/>
        <v>MI</v>
      </c>
    </row>
    <row r="151" spans="1:59" s="99" customFormat="1" ht="21" customHeight="1" x14ac:dyDescent="0.35">
      <c r="A151" s="99">
        <v>421</v>
      </c>
      <c r="B151" s="126" t="str">
        <f t="shared" si="12"/>
        <v>0-304L/FH-001X770</v>
      </c>
      <c r="C151" s="126" t="s">
        <v>3014</v>
      </c>
      <c r="D151" s="126" t="s">
        <v>13</v>
      </c>
      <c r="E151" s="143" t="s">
        <v>2947</v>
      </c>
      <c r="F151" s="143" t="s">
        <v>2948</v>
      </c>
      <c r="G151" s="126" t="s">
        <v>230</v>
      </c>
      <c r="H151" s="126" t="s">
        <v>65</v>
      </c>
      <c r="I151" s="127">
        <v>3.78</v>
      </c>
      <c r="J151" s="127">
        <v>1.31</v>
      </c>
      <c r="K151" s="127"/>
      <c r="L151" s="127"/>
      <c r="M151" s="144">
        <v>770</v>
      </c>
      <c r="N151" s="129">
        <v>12.04</v>
      </c>
      <c r="O151" s="129">
        <v>12.04</v>
      </c>
      <c r="P151" s="129" t="s">
        <v>116</v>
      </c>
      <c r="Q151" s="130" t="s">
        <v>3015</v>
      </c>
      <c r="R151" s="131"/>
      <c r="S151" s="131"/>
      <c r="T151" s="132">
        <v>44616</v>
      </c>
      <c r="U151" s="132">
        <v>44617</v>
      </c>
      <c r="V151" s="132"/>
      <c r="W151" s="132"/>
      <c r="X151" s="132"/>
      <c r="Y151" s="133"/>
      <c r="Z151" s="126" t="s">
        <v>64</v>
      </c>
      <c r="AA151" s="134" t="s">
        <v>154</v>
      </c>
      <c r="AB151" s="134" t="s">
        <v>1256</v>
      </c>
      <c r="AC151" s="134"/>
      <c r="AD151" s="134">
        <v>44496</v>
      </c>
      <c r="AE151" s="134"/>
      <c r="AF151" s="134">
        <f t="shared" ca="1" si="13"/>
        <v>44963</v>
      </c>
      <c r="AG151" s="126">
        <f t="shared" ca="1" si="14"/>
        <v>467</v>
      </c>
      <c r="AH151" s="126" t="str">
        <f t="shared" si="15"/>
        <v/>
      </c>
      <c r="AI151" s="134"/>
      <c r="AJ151" s="143" t="s">
        <v>2949</v>
      </c>
      <c r="AK151" s="129">
        <v>12.04</v>
      </c>
      <c r="AL151" s="129">
        <v>12.05</v>
      </c>
      <c r="AM151" s="129">
        <v>12.074999999999999</v>
      </c>
      <c r="AN151" s="129">
        <v>12.08</v>
      </c>
      <c r="AO151" s="126">
        <f t="shared" ca="1" si="16"/>
        <v>346</v>
      </c>
      <c r="AR151" s="99" t="s">
        <v>136</v>
      </c>
      <c r="AS151" s="281" t="str">
        <f>LEFT(RIGHT(C151,LEN(C151)-MIN(SEARCH({0,1,2,3,4,5,6,7,8,9},C151&amp;"0123456789"))+1),2)</f>
        <v>25</v>
      </c>
      <c r="AT151" s="99">
        <v>3</v>
      </c>
      <c r="AU151" s="99" t="str">
        <f>LEFT(RIGHT(C151,LEN(C151)-MIN(SEARCH({0,1,2,3,4,5,6,7,8,9},C151&amp;"0123456789"))+1),5)</f>
        <v>25.02</v>
      </c>
      <c r="AV151" s="99" t="str">
        <f t="shared" si="17"/>
        <v>MI</v>
      </c>
    </row>
    <row r="152" spans="1:59" s="99" customFormat="1" ht="21" customHeight="1" x14ac:dyDescent="0.35">
      <c r="A152" s="99">
        <v>421</v>
      </c>
      <c r="B152" s="126" t="str">
        <f t="shared" si="12"/>
        <v>0-304L/FH-001X770</v>
      </c>
      <c r="C152" s="126" t="s">
        <v>3014</v>
      </c>
      <c r="D152" s="126" t="s">
        <v>13</v>
      </c>
      <c r="E152" s="143" t="s">
        <v>2963</v>
      </c>
      <c r="F152" s="143" t="s">
        <v>2964</v>
      </c>
      <c r="G152" s="126" t="s">
        <v>230</v>
      </c>
      <c r="H152" s="126" t="s">
        <v>65</v>
      </c>
      <c r="I152" s="127">
        <v>2.89</v>
      </c>
      <c r="J152" s="127">
        <v>0.9</v>
      </c>
      <c r="K152" s="127"/>
      <c r="L152" s="127"/>
      <c r="M152" s="144">
        <v>770</v>
      </c>
      <c r="N152" s="129">
        <v>8</v>
      </c>
      <c r="O152" s="129">
        <v>8</v>
      </c>
      <c r="P152" s="129" t="s">
        <v>116</v>
      </c>
      <c r="Q152" s="130" t="s">
        <v>3016</v>
      </c>
      <c r="R152" s="131"/>
      <c r="S152" s="131"/>
      <c r="T152" s="132">
        <v>44617</v>
      </c>
      <c r="U152" s="132">
        <v>44617</v>
      </c>
      <c r="V152" s="132"/>
      <c r="W152" s="132"/>
      <c r="X152" s="132"/>
      <c r="Y152" s="133"/>
      <c r="Z152" s="126" t="s">
        <v>64</v>
      </c>
      <c r="AA152" s="134" t="s">
        <v>154</v>
      </c>
      <c r="AB152" s="134" t="s">
        <v>1190</v>
      </c>
      <c r="AC152" s="134"/>
      <c r="AD152" s="134">
        <v>44496</v>
      </c>
      <c r="AE152" s="134"/>
      <c r="AF152" s="134">
        <f t="shared" ca="1" si="13"/>
        <v>44963</v>
      </c>
      <c r="AG152" s="126">
        <f t="shared" ca="1" si="14"/>
        <v>467</v>
      </c>
      <c r="AH152" s="126" t="str">
        <f t="shared" si="15"/>
        <v/>
      </c>
      <c r="AI152" s="134"/>
      <c r="AJ152" s="143" t="s">
        <v>2965</v>
      </c>
      <c r="AK152" s="129">
        <v>8</v>
      </c>
      <c r="AL152" s="129">
        <v>8.01</v>
      </c>
      <c r="AM152" s="129">
        <v>8.0349999999999984</v>
      </c>
      <c r="AN152" s="129">
        <v>8.0399999999999991</v>
      </c>
      <c r="AO152" s="126">
        <f t="shared" ca="1" si="16"/>
        <v>346</v>
      </c>
      <c r="AR152" s="99" t="s">
        <v>136</v>
      </c>
      <c r="AS152" s="281" t="str">
        <f>LEFT(RIGHT(C152,LEN(C152)-MIN(SEARCH({0,1,2,3,4,5,6,7,8,9},C152&amp;"0123456789"))+1),2)</f>
        <v>25</v>
      </c>
      <c r="AT152" s="99">
        <v>3</v>
      </c>
      <c r="AU152" s="99" t="str">
        <f>LEFT(RIGHT(C152,LEN(C152)-MIN(SEARCH({0,1,2,3,4,5,6,7,8,9},C152&amp;"0123456789"))+1),5)</f>
        <v>25.02</v>
      </c>
      <c r="AV152" s="99" t="str">
        <f t="shared" si="17"/>
        <v>MI</v>
      </c>
    </row>
    <row r="153" spans="1:59" s="99" customFormat="1" ht="21" customHeight="1" x14ac:dyDescent="0.35">
      <c r="A153" s="99">
        <v>422</v>
      </c>
      <c r="B153" s="126" t="str">
        <f t="shared" si="12"/>
        <v>0-304L/FH-001X768</v>
      </c>
      <c r="C153" s="126" t="s">
        <v>3014</v>
      </c>
      <c r="D153" s="126" t="s">
        <v>13</v>
      </c>
      <c r="E153" s="143" t="s">
        <v>2938</v>
      </c>
      <c r="F153" s="143" t="s">
        <v>2939</v>
      </c>
      <c r="G153" s="126" t="s">
        <v>230</v>
      </c>
      <c r="H153" s="126" t="s">
        <v>65</v>
      </c>
      <c r="I153" s="127">
        <v>3</v>
      </c>
      <c r="J153" s="127">
        <v>0.8</v>
      </c>
      <c r="K153" s="127"/>
      <c r="L153" s="127"/>
      <c r="M153" s="144">
        <v>768</v>
      </c>
      <c r="N153" s="129">
        <v>10.205</v>
      </c>
      <c r="O153" s="129">
        <v>10.205</v>
      </c>
      <c r="P153" s="129" t="s">
        <v>116</v>
      </c>
      <c r="Q153" s="130" t="s">
        <v>2987</v>
      </c>
      <c r="R153" s="131"/>
      <c r="S153" s="131"/>
      <c r="T153" s="132">
        <v>44616</v>
      </c>
      <c r="U153" s="132">
        <v>44617</v>
      </c>
      <c r="V153" s="132"/>
      <c r="W153" s="132"/>
      <c r="X153" s="132"/>
      <c r="Y153" s="133"/>
      <c r="Z153" s="126" t="s">
        <v>64</v>
      </c>
      <c r="AA153" s="134" t="s">
        <v>154</v>
      </c>
      <c r="AB153" s="134" t="s">
        <v>1330</v>
      </c>
      <c r="AC153" s="134"/>
      <c r="AD153" s="134">
        <v>44516</v>
      </c>
      <c r="AE153" s="134"/>
      <c r="AF153" s="134">
        <f t="shared" ca="1" si="13"/>
        <v>44963</v>
      </c>
      <c r="AG153" s="126">
        <f t="shared" ca="1" si="14"/>
        <v>447</v>
      </c>
      <c r="AH153" s="126" t="str">
        <f t="shared" si="15"/>
        <v/>
      </c>
      <c r="AI153" s="134"/>
      <c r="AJ153" s="143" t="s">
        <v>2858</v>
      </c>
      <c r="AK153" s="129">
        <v>10.205</v>
      </c>
      <c r="AL153" s="129">
        <v>10.215</v>
      </c>
      <c r="AM153" s="129">
        <v>10.239999999999998</v>
      </c>
      <c r="AN153" s="129">
        <v>10.244999999999999</v>
      </c>
      <c r="AO153" s="126">
        <f t="shared" ca="1" si="16"/>
        <v>346</v>
      </c>
      <c r="AR153" s="99" t="s">
        <v>136</v>
      </c>
      <c r="AS153" s="281" t="str">
        <f>LEFT(RIGHT(C153,LEN(C153)-MIN(SEARCH({0,1,2,3,4,5,6,7,8,9},C153&amp;"0123456789"))+1),2)</f>
        <v>25</v>
      </c>
      <c r="AT153" s="99">
        <v>3</v>
      </c>
      <c r="AU153" s="99" t="str">
        <f>LEFT(RIGHT(C153,LEN(C153)-MIN(SEARCH({0,1,2,3,4,5,6,7,8,9},C153&amp;"0123456789"))+1),5)</f>
        <v>25.02</v>
      </c>
      <c r="AV153" s="99" t="str">
        <f t="shared" si="17"/>
        <v>MI</v>
      </c>
    </row>
    <row r="154" spans="1:59" s="99" customFormat="1" ht="21" customHeight="1" x14ac:dyDescent="0.35">
      <c r="A154" s="99">
        <v>421</v>
      </c>
      <c r="B154" s="126" t="str">
        <f t="shared" si="12"/>
        <v>0-304L/FH-000X762</v>
      </c>
      <c r="C154" s="126" t="s">
        <v>3017</v>
      </c>
      <c r="D154" s="126" t="s">
        <v>13</v>
      </c>
      <c r="E154" s="143" t="s">
        <v>2913</v>
      </c>
      <c r="F154" s="143" t="s">
        <v>2962</v>
      </c>
      <c r="G154" s="126" t="s">
        <v>230</v>
      </c>
      <c r="H154" s="126" t="s">
        <v>65</v>
      </c>
      <c r="I154" s="127">
        <v>0.6</v>
      </c>
      <c r="J154" s="127">
        <v>0.3</v>
      </c>
      <c r="K154" s="127"/>
      <c r="L154" s="127"/>
      <c r="M154" s="144">
        <v>762</v>
      </c>
      <c r="N154" s="129">
        <v>5.01</v>
      </c>
      <c r="O154" s="129">
        <v>5.01</v>
      </c>
      <c r="P154" s="129" t="s">
        <v>116</v>
      </c>
      <c r="Q154" s="130" t="s">
        <v>1206</v>
      </c>
      <c r="R154" s="131"/>
      <c r="S154" s="131"/>
      <c r="T154" s="132" t="s">
        <v>1237</v>
      </c>
      <c r="U154" s="132" t="s">
        <v>3018</v>
      </c>
      <c r="V154" s="132">
        <v>44617</v>
      </c>
      <c r="W154" s="132">
        <v>44617</v>
      </c>
      <c r="X154" s="132"/>
      <c r="Y154" s="133"/>
      <c r="Z154" s="126" t="s">
        <v>64</v>
      </c>
      <c r="AA154" s="134" t="s">
        <v>154</v>
      </c>
      <c r="AB154" s="134" t="s">
        <v>1190</v>
      </c>
      <c r="AC154" s="134"/>
      <c r="AD154" s="134">
        <v>44496</v>
      </c>
      <c r="AE154" s="134"/>
      <c r="AF154" s="134">
        <f t="shared" ca="1" si="13"/>
        <v>44963</v>
      </c>
      <c r="AG154" s="126">
        <f t="shared" ca="1" si="14"/>
        <v>467</v>
      </c>
      <c r="AH154" s="126">
        <f t="shared" ca="1" si="15"/>
        <v>346</v>
      </c>
      <c r="AI154" s="134"/>
      <c r="AJ154" s="143" t="s">
        <v>2915</v>
      </c>
      <c r="AK154" s="129">
        <v>10.54</v>
      </c>
      <c r="AL154" s="129">
        <v>10.55</v>
      </c>
      <c r="AM154" s="129">
        <v>10.574999999999999</v>
      </c>
      <c r="AN154" s="129">
        <v>10.58</v>
      </c>
      <c r="AO154" s="126" t="e">
        <f t="shared" ca="1" si="16"/>
        <v>#VALUE!</v>
      </c>
      <c r="AR154" s="99" t="s">
        <v>136</v>
      </c>
      <c r="AS154" s="281" t="str">
        <f>LEFT(RIGHT(C154,LEN(C154)-MIN(SEARCH({0,1,2,3,4,5,6,7,8,9},C154&amp;"0123456789"))+1),2)</f>
        <v>26</v>
      </c>
      <c r="AT154" s="99">
        <v>1</v>
      </c>
      <c r="AU154" s="99" t="str">
        <f>LEFT(RIGHT(C154,LEN(C154)-MIN(SEARCH({0,1,2,3,4,5,6,7,8,9},C154&amp;"0123456789"))+1),5)</f>
        <v>26.02</v>
      </c>
      <c r="AV154" s="99" t="str">
        <f t="shared" si="17"/>
        <v>RR</v>
      </c>
    </row>
    <row r="155" spans="1:59" s="99" customFormat="1" ht="21" customHeight="1" x14ac:dyDescent="0.35">
      <c r="A155" s="99">
        <v>357</v>
      </c>
      <c r="B155" s="126" t="str">
        <f t="shared" si="12"/>
        <v>0-304/FH-001X690</v>
      </c>
      <c r="C155" s="126" t="s">
        <v>3017</v>
      </c>
      <c r="D155" s="126" t="s">
        <v>13</v>
      </c>
      <c r="E155" s="143" t="s">
        <v>359</v>
      </c>
      <c r="F155" s="143" t="s">
        <v>360</v>
      </c>
      <c r="G155" s="126">
        <v>304</v>
      </c>
      <c r="H155" s="126" t="s">
        <v>65</v>
      </c>
      <c r="I155" s="127">
        <v>1</v>
      </c>
      <c r="J155" s="127">
        <v>0.5</v>
      </c>
      <c r="K155" s="127"/>
      <c r="L155" s="127"/>
      <c r="M155" s="144">
        <v>690</v>
      </c>
      <c r="N155" s="129">
        <v>8.3350000000000009</v>
      </c>
      <c r="O155" s="129">
        <v>8.3350000000000009</v>
      </c>
      <c r="P155" s="129" t="s">
        <v>116</v>
      </c>
      <c r="Q155" s="130" t="s">
        <v>232</v>
      </c>
      <c r="R155" s="130" t="s">
        <v>361</v>
      </c>
      <c r="S155" s="131" t="s">
        <v>362</v>
      </c>
      <c r="T155" s="132">
        <v>44617</v>
      </c>
      <c r="U155" s="132">
        <v>44618</v>
      </c>
      <c r="V155" s="132">
        <v>44365</v>
      </c>
      <c r="W155" s="132" t="s">
        <v>364</v>
      </c>
      <c r="X155" s="132"/>
      <c r="Y155" s="133"/>
      <c r="Z155" s="126" t="s">
        <v>65</v>
      </c>
      <c r="AA155" s="134" t="s">
        <v>132</v>
      </c>
      <c r="AB155" s="134" t="s">
        <v>365</v>
      </c>
      <c r="AC155" s="134">
        <v>44228</v>
      </c>
      <c r="AD155" s="134">
        <v>44245</v>
      </c>
      <c r="AE155" s="134"/>
      <c r="AF155" s="134">
        <f t="shared" ca="1" si="13"/>
        <v>44963</v>
      </c>
      <c r="AG155" s="126">
        <f t="shared" ca="1" si="14"/>
        <v>718</v>
      </c>
      <c r="AH155" s="126">
        <f t="shared" ca="1" si="15"/>
        <v>598</v>
      </c>
      <c r="AI155" s="134" t="s">
        <v>366</v>
      </c>
      <c r="AJ155" s="143" t="s">
        <v>367</v>
      </c>
      <c r="AK155" s="129">
        <v>8.4459999999999997</v>
      </c>
      <c r="AL155" s="129">
        <v>8.4809999999999999</v>
      </c>
      <c r="AM155" s="129">
        <v>8.5059999999999985</v>
      </c>
      <c r="AN155" s="129">
        <v>8.5109999999999992</v>
      </c>
      <c r="AO155" s="126">
        <f t="shared" ca="1" si="16"/>
        <v>345</v>
      </c>
      <c r="AR155" s="99" t="s">
        <v>136</v>
      </c>
      <c r="AS155" s="281" t="str">
        <f>LEFT(RIGHT(C155,LEN(C155)-MIN(SEARCH({0,1,2,3,4,5,6,7,8,9},C155&amp;"0123456789"))+1),2)</f>
        <v>26</v>
      </c>
      <c r="AT155" s="99">
        <v>2</v>
      </c>
      <c r="AU155" s="99" t="str">
        <f>LEFT(RIGHT(C155,LEN(C155)-MIN(SEARCH({0,1,2,3,4,5,6,7,8,9},C155&amp;"0123456789"))+1),5)</f>
        <v>26.02</v>
      </c>
      <c r="AV155" s="99" t="str">
        <f t="shared" si="17"/>
        <v>RR</v>
      </c>
      <c r="BG155" s="135" t="s">
        <v>137</v>
      </c>
    </row>
    <row r="156" spans="1:59" s="99" customFormat="1" ht="21" customHeight="1" x14ac:dyDescent="0.35">
      <c r="A156" s="99">
        <v>421</v>
      </c>
      <c r="B156" s="126" t="str">
        <f t="shared" si="12"/>
        <v>0-304L/FH-000X763</v>
      </c>
      <c r="C156" s="126" t="s">
        <v>3017</v>
      </c>
      <c r="D156" s="126" t="s">
        <v>13</v>
      </c>
      <c r="E156" s="143" t="s">
        <v>1218</v>
      </c>
      <c r="F156" s="143" t="s">
        <v>1219</v>
      </c>
      <c r="G156" s="126" t="s">
        <v>230</v>
      </c>
      <c r="H156" s="126" t="s">
        <v>65</v>
      </c>
      <c r="I156" s="127">
        <v>0.74</v>
      </c>
      <c r="J156" s="127">
        <v>0.4</v>
      </c>
      <c r="K156" s="149"/>
      <c r="L156" s="149"/>
      <c r="M156" s="144">
        <v>763</v>
      </c>
      <c r="N156" s="129">
        <v>4.76</v>
      </c>
      <c r="O156" s="129">
        <v>4.76</v>
      </c>
      <c r="P156" s="129" t="s">
        <v>116</v>
      </c>
      <c r="Q156" s="130" t="s">
        <v>1220</v>
      </c>
      <c r="R156" s="131" t="s">
        <v>1143</v>
      </c>
      <c r="S156" s="131"/>
      <c r="T156" s="132" t="s">
        <v>1221</v>
      </c>
      <c r="U156" s="132" t="s">
        <v>1221</v>
      </c>
      <c r="V156" s="132">
        <v>44603</v>
      </c>
      <c r="W156" s="132">
        <v>44617</v>
      </c>
      <c r="X156" s="132"/>
      <c r="Y156" s="133"/>
      <c r="Z156" s="126" t="s">
        <v>64</v>
      </c>
      <c r="AA156" s="134" t="s">
        <v>154</v>
      </c>
      <c r="AB156" s="134" t="s">
        <v>1190</v>
      </c>
      <c r="AC156" s="134"/>
      <c r="AD156" s="134">
        <v>44496</v>
      </c>
      <c r="AE156" s="134"/>
      <c r="AF156" s="134">
        <f t="shared" ca="1" si="13"/>
        <v>44963</v>
      </c>
      <c r="AG156" s="126">
        <f t="shared" ca="1" si="14"/>
        <v>467</v>
      </c>
      <c r="AH156" s="126">
        <f t="shared" ca="1" si="15"/>
        <v>360</v>
      </c>
      <c r="AI156" s="134"/>
      <c r="AJ156" s="143" t="s">
        <v>1222</v>
      </c>
      <c r="AK156" s="129">
        <v>12.03</v>
      </c>
      <c r="AL156" s="129">
        <v>12.04</v>
      </c>
      <c r="AM156" s="129">
        <v>12.064999999999998</v>
      </c>
      <c r="AN156" s="129">
        <v>12.069999999999999</v>
      </c>
      <c r="AO156" s="126" t="e">
        <f t="shared" ca="1" si="16"/>
        <v>#VALUE!</v>
      </c>
      <c r="AR156" s="99" t="s">
        <v>136</v>
      </c>
      <c r="AS156" s="281" t="str">
        <f>LEFT(RIGHT(C156,LEN(C156)-MIN(SEARCH({0,1,2,3,4,5,6,7,8,9},C156&amp;"0123456789"))+1),2)</f>
        <v>26</v>
      </c>
      <c r="AT156" s="99">
        <v>2</v>
      </c>
      <c r="AU156" s="99" t="str">
        <f>LEFT(RIGHT(C156,LEN(C156)-MIN(SEARCH({0,1,2,3,4,5,6,7,8,9},C156&amp;"0123456789"))+1),5)</f>
        <v>26.02</v>
      </c>
      <c r="AV156" s="99" t="str">
        <f t="shared" si="17"/>
        <v>RR</v>
      </c>
    </row>
    <row r="157" spans="1:59" s="99" customFormat="1" ht="21" customHeight="1" x14ac:dyDescent="0.35">
      <c r="A157" s="99">
        <v>421</v>
      </c>
      <c r="B157" s="126" t="str">
        <f t="shared" si="12"/>
        <v>0-304/FH-001X770</v>
      </c>
      <c r="C157" s="126" t="s">
        <v>3019</v>
      </c>
      <c r="D157" s="126" t="s">
        <v>13</v>
      </c>
      <c r="E157" s="143" t="s">
        <v>1241</v>
      </c>
      <c r="F157" s="143" t="s">
        <v>1242</v>
      </c>
      <c r="G157" s="126">
        <v>304</v>
      </c>
      <c r="H157" s="126" t="s">
        <v>65</v>
      </c>
      <c r="I157" s="127">
        <v>3</v>
      </c>
      <c r="J157" s="127">
        <v>0.92</v>
      </c>
      <c r="K157" s="127"/>
      <c r="L157" s="127"/>
      <c r="M157" s="144">
        <v>770</v>
      </c>
      <c r="N157" s="129">
        <v>10.425000000000001</v>
      </c>
      <c r="O157" s="129">
        <v>10.425000000000001</v>
      </c>
      <c r="P157" s="129" t="s">
        <v>116</v>
      </c>
      <c r="Q157" s="130" t="s">
        <v>284</v>
      </c>
      <c r="R157" s="131"/>
      <c r="S157" s="131"/>
      <c r="T157" s="132">
        <v>44617</v>
      </c>
      <c r="U157" s="132">
        <v>44618</v>
      </c>
      <c r="V157" s="132"/>
      <c r="W157" s="132"/>
      <c r="X157" s="132"/>
      <c r="Y157" s="133"/>
      <c r="Z157" s="126" t="s">
        <v>64</v>
      </c>
      <c r="AA157" s="134" t="s">
        <v>154</v>
      </c>
      <c r="AB157" s="134" t="s">
        <v>1239</v>
      </c>
      <c r="AC157" s="134"/>
      <c r="AD157" s="134">
        <v>44496</v>
      </c>
      <c r="AE157" s="134"/>
      <c r="AF157" s="134">
        <f t="shared" ca="1" si="13"/>
        <v>44963</v>
      </c>
      <c r="AG157" s="126">
        <f t="shared" ca="1" si="14"/>
        <v>467</v>
      </c>
      <c r="AH157" s="126" t="str">
        <f t="shared" si="15"/>
        <v/>
      </c>
      <c r="AI157" s="134"/>
      <c r="AJ157" s="143" t="s">
        <v>1243</v>
      </c>
      <c r="AK157" s="129">
        <v>10.425000000000001</v>
      </c>
      <c r="AL157" s="129">
        <v>10.435</v>
      </c>
      <c r="AM157" s="129">
        <v>10.459999999999999</v>
      </c>
      <c r="AN157" s="129">
        <v>10.465</v>
      </c>
      <c r="AO157" s="126">
        <f t="shared" ca="1" si="16"/>
        <v>345</v>
      </c>
      <c r="AR157" s="99" t="s">
        <v>136</v>
      </c>
      <c r="AS157" s="281" t="str">
        <f>LEFT(RIGHT(C157,LEN(C157)-MIN(SEARCH({0,1,2,3,4,5,6,7,8,9},C157&amp;"0123456789"))+1),2)</f>
        <v>26</v>
      </c>
      <c r="AT157" s="99">
        <v>3</v>
      </c>
      <c r="AU157" s="99" t="str">
        <f>LEFT(RIGHT(C157,LEN(C157)-MIN(SEARCH({0,1,2,3,4,5,6,7,8,9},C157&amp;"0123456789"))+1),5)</f>
        <v>26.02</v>
      </c>
      <c r="AV157" s="99" t="str">
        <f t="shared" si="17"/>
        <v>MI</v>
      </c>
    </row>
    <row r="158" spans="1:59" s="99" customFormat="1" ht="21" customHeight="1" x14ac:dyDescent="0.35">
      <c r="A158" s="99">
        <v>421</v>
      </c>
      <c r="B158" s="126" t="str">
        <f t="shared" si="12"/>
        <v>0-304L/FH-001X770</v>
      </c>
      <c r="C158" s="126" t="s">
        <v>3019</v>
      </c>
      <c r="D158" s="126" t="s">
        <v>13</v>
      </c>
      <c r="E158" s="143" t="s">
        <v>1248</v>
      </c>
      <c r="F158" s="143" t="s">
        <v>1249</v>
      </c>
      <c r="G158" s="126" t="s">
        <v>230</v>
      </c>
      <c r="H158" s="126" t="s">
        <v>65</v>
      </c>
      <c r="I158" s="127">
        <v>3.46</v>
      </c>
      <c r="J158" s="127">
        <v>1.1000000000000001</v>
      </c>
      <c r="K158" s="127"/>
      <c r="L158" s="127"/>
      <c r="M158" s="144">
        <v>770</v>
      </c>
      <c r="N158" s="129">
        <v>12.16</v>
      </c>
      <c r="O158" s="129">
        <v>12.16</v>
      </c>
      <c r="P158" s="129" t="s">
        <v>116</v>
      </c>
      <c r="Q158" s="130" t="s">
        <v>1165</v>
      </c>
      <c r="R158" s="131"/>
      <c r="S158" s="131"/>
      <c r="T158" s="132">
        <v>44616</v>
      </c>
      <c r="U158" s="132">
        <v>44618</v>
      </c>
      <c r="V158" s="132"/>
      <c r="W158" s="132"/>
      <c r="X158" s="132"/>
      <c r="Y158" s="133"/>
      <c r="Z158" s="126" t="s">
        <v>64</v>
      </c>
      <c r="AA158" s="134" t="s">
        <v>154</v>
      </c>
      <c r="AB158" s="134" t="s">
        <v>1246</v>
      </c>
      <c r="AC158" s="134"/>
      <c r="AD158" s="134">
        <v>44496</v>
      </c>
      <c r="AE158" s="134"/>
      <c r="AF158" s="134">
        <f t="shared" ca="1" si="13"/>
        <v>44963</v>
      </c>
      <c r="AG158" s="126">
        <f t="shared" ca="1" si="14"/>
        <v>467</v>
      </c>
      <c r="AH158" s="126" t="str">
        <f t="shared" si="15"/>
        <v/>
      </c>
      <c r="AI158" s="134"/>
      <c r="AJ158" s="143" t="s">
        <v>1250</v>
      </c>
      <c r="AK158" s="129">
        <v>12.16</v>
      </c>
      <c r="AL158" s="129">
        <v>12.17</v>
      </c>
      <c r="AM158" s="129">
        <v>12.194999999999999</v>
      </c>
      <c r="AN158" s="129">
        <v>12.2</v>
      </c>
      <c r="AO158" s="126">
        <f t="shared" ca="1" si="16"/>
        <v>345</v>
      </c>
      <c r="AR158" s="99" t="s">
        <v>136</v>
      </c>
      <c r="AS158" s="281" t="str">
        <f>LEFT(RIGHT(C158,LEN(C158)-MIN(SEARCH({0,1,2,3,4,5,6,7,8,9},C158&amp;"0123456789"))+1),2)</f>
        <v>26</v>
      </c>
      <c r="AT158" s="99">
        <v>3</v>
      </c>
      <c r="AU158" s="99" t="str">
        <f>LEFT(RIGHT(C158,LEN(C158)-MIN(SEARCH({0,1,2,3,4,5,6,7,8,9},C158&amp;"0123456789"))+1),5)</f>
        <v>26.02</v>
      </c>
      <c r="AV158" s="99" t="str">
        <f t="shared" si="17"/>
        <v>MI</v>
      </c>
    </row>
    <row r="159" spans="1:59" s="99" customFormat="1" ht="21" customHeight="1" x14ac:dyDescent="0.35">
      <c r="A159" s="99">
        <v>424</v>
      </c>
      <c r="B159" s="126" t="str">
        <f t="shared" si="12"/>
        <v>0-304L/FH-001X768</v>
      </c>
      <c r="C159" s="126" t="s">
        <v>3019</v>
      </c>
      <c r="D159" s="126" t="s">
        <v>13</v>
      </c>
      <c r="E159" s="143" t="s">
        <v>1511</v>
      </c>
      <c r="F159" s="143" t="s">
        <v>1512</v>
      </c>
      <c r="G159" s="126" t="s">
        <v>230</v>
      </c>
      <c r="H159" s="126" t="s">
        <v>65</v>
      </c>
      <c r="I159" s="127">
        <v>3.77</v>
      </c>
      <c r="J159" s="127">
        <v>1.1000000000000001</v>
      </c>
      <c r="K159" s="127"/>
      <c r="L159" s="127"/>
      <c r="M159" s="144">
        <v>768</v>
      </c>
      <c r="N159" s="129">
        <v>11.955</v>
      </c>
      <c r="O159" s="129">
        <v>11.955</v>
      </c>
      <c r="P159" s="129" t="s">
        <v>116</v>
      </c>
      <c r="Q159" s="130" t="s">
        <v>1165</v>
      </c>
      <c r="R159" s="131"/>
      <c r="S159" s="131"/>
      <c r="T159" s="132">
        <v>44618</v>
      </c>
      <c r="U159" s="132">
        <v>44618</v>
      </c>
      <c r="V159" s="132"/>
      <c r="W159" s="132"/>
      <c r="X159" s="132"/>
      <c r="Y159" s="133" t="s">
        <v>1395</v>
      </c>
      <c r="Z159" s="126" t="s">
        <v>64</v>
      </c>
      <c r="AA159" s="134" t="s">
        <v>154</v>
      </c>
      <c r="AB159" s="134" t="s">
        <v>1330</v>
      </c>
      <c r="AC159" s="134"/>
      <c r="AD159" s="134">
        <v>44554</v>
      </c>
      <c r="AE159" s="134"/>
      <c r="AF159" s="134">
        <f t="shared" ca="1" si="13"/>
        <v>44963</v>
      </c>
      <c r="AG159" s="126">
        <f t="shared" ca="1" si="14"/>
        <v>409</v>
      </c>
      <c r="AH159" s="126" t="str">
        <f t="shared" si="15"/>
        <v/>
      </c>
      <c r="AI159" s="134"/>
      <c r="AJ159" s="143" t="s">
        <v>1513</v>
      </c>
      <c r="AK159" s="129">
        <v>11.955</v>
      </c>
      <c r="AL159" s="129">
        <v>11.965</v>
      </c>
      <c r="AM159" s="129">
        <v>11.989999999999998</v>
      </c>
      <c r="AN159" s="129">
        <v>11.994999999999999</v>
      </c>
      <c r="AO159" s="126">
        <f t="shared" ca="1" si="16"/>
        <v>345</v>
      </c>
      <c r="AR159" s="99" t="s">
        <v>136</v>
      </c>
      <c r="AS159" s="281" t="str">
        <f>LEFT(RIGHT(C159,LEN(C159)-MIN(SEARCH({0,1,2,3,4,5,6,7,8,9},C159&amp;"0123456789"))+1),2)</f>
        <v>26</v>
      </c>
      <c r="AT159" s="99">
        <v>3</v>
      </c>
      <c r="AU159" s="99" t="str">
        <f>LEFT(RIGHT(C159,LEN(C159)-MIN(SEARCH({0,1,2,3,4,5,6,7,8,9},C159&amp;"0123456789"))+1),5)</f>
        <v>26.02</v>
      </c>
      <c r="AV159" s="99" t="str">
        <f t="shared" si="17"/>
        <v>MI</v>
      </c>
    </row>
    <row r="160" spans="1:59" s="99" customFormat="1" ht="21" customHeight="1" x14ac:dyDescent="0.35">
      <c r="A160" s="99">
        <v>421</v>
      </c>
      <c r="B160" s="126" t="str">
        <f t="shared" si="12"/>
        <v>0-304L/FH-002X770</v>
      </c>
      <c r="C160" s="126" t="s">
        <v>3019</v>
      </c>
      <c r="D160" s="126" t="s">
        <v>13</v>
      </c>
      <c r="E160" s="143" t="s">
        <v>1214</v>
      </c>
      <c r="F160" s="143" t="s">
        <v>1215</v>
      </c>
      <c r="G160" s="126" t="s">
        <v>230</v>
      </c>
      <c r="H160" s="126" t="s">
        <v>65</v>
      </c>
      <c r="I160" s="127">
        <v>3.88</v>
      </c>
      <c r="J160" s="127">
        <v>1.9</v>
      </c>
      <c r="K160" s="127"/>
      <c r="L160" s="127"/>
      <c r="M160" s="144">
        <v>770</v>
      </c>
      <c r="N160" s="129">
        <v>12.145</v>
      </c>
      <c r="O160" s="129">
        <v>12.145</v>
      </c>
      <c r="P160" s="129" t="s">
        <v>116</v>
      </c>
      <c r="Q160" s="130" t="s">
        <v>1165</v>
      </c>
      <c r="R160" s="131"/>
      <c r="S160" s="131"/>
      <c r="T160" s="132">
        <v>44618</v>
      </c>
      <c r="U160" s="132">
        <v>44618</v>
      </c>
      <c r="V160" s="132"/>
      <c r="W160" s="132"/>
      <c r="X160" s="132"/>
      <c r="Y160" s="133"/>
      <c r="Z160" s="126" t="s">
        <v>64</v>
      </c>
      <c r="AA160" s="134" t="s">
        <v>154</v>
      </c>
      <c r="AB160" s="134" t="s">
        <v>1190</v>
      </c>
      <c r="AC160" s="134"/>
      <c r="AD160" s="134">
        <v>44496</v>
      </c>
      <c r="AE160" s="134"/>
      <c r="AF160" s="134">
        <f t="shared" ca="1" si="13"/>
        <v>44963</v>
      </c>
      <c r="AG160" s="126">
        <f t="shared" ca="1" si="14"/>
        <v>467</v>
      </c>
      <c r="AH160" s="126" t="str">
        <f t="shared" si="15"/>
        <v/>
      </c>
      <c r="AI160" s="134"/>
      <c r="AJ160" s="143" t="s">
        <v>1217</v>
      </c>
      <c r="AK160" s="129">
        <v>12.145</v>
      </c>
      <c r="AL160" s="129">
        <v>12.154999999999999</v>
      </c>
      <c r="AM160" s="129">
        <v>12.179999999999998</v>
      </c>
      <c r="AN160" s="129">
        <v>12.184999999999999</v>
      </c>
      <c r="AO160" s="126">
        <f t="shared" ca="1" si="16"/>
        <v>345</v>
      </c>
      <c r="AR160" s="99" t="s">
        <v>136</v>
      </c>
      <c r="AS160" s="281" t="str">
        <f>LEFT(RIGHT(C160,LEN(C160)-MIN(SEARCH({0,1,2,3,4,5,6,7,8,9},C160&amp;"0123456789"))+1),2)</f>
        <v>26</v>
      </c>
      <c r="AT160" s="99">
        <v>3</v>
      </c>
      <c r="AU160" s="99" t="str">
        <f>LEFT(RIGHT(C160,LEN(C160)-MIN(SEARCH({0,1,2,3,4,5,6,7,8,9},C160&amp;"0123456789"))+1),5)</f>
        <v>26.02</v>
      </c>
      <c r="AV160" s="99" t="str">
        <f t="shared" si="17"/>
        <v>MI</v>
      </c>
    </row>
    <row r="161" spans="1:59" s="99" customFormat="1" ht="21" customHeight="1" x14ac:dyDescent="0.35">
      <c r="A161" s="99">
        <v>422</v>
      </c>
      <c r="B161" s="126" t="str">
        <f t="shared" si="12"/>
        <v>0-304L/FH-001X768</v>
      </c>
      <c r="C161" s="126" t="s">
        <v>3020</v>
      </c>
      <c r="D161" s="126" t="s">
        <v>13</v>
      </c>
      <c r="E161" s="143" t="s">
        <v>1308</v>
      </c>
      <c r="F161" s="143" t="s">
        <v>1309</v>
      </c>
      <c r="G161" s="126" t="s">
        <v>230</v>
      </c>
      <c r="H161" s="126" t="s">
        <v>65</v>
      </c>
      <c r="I161" s="127">
        <v>2.9</v>
      </c>
      <c r="J161" s="127">
        <v>0.9</v>
      </c>
      <c r="K161" s="127"/>
      <c r="L161" s="127"/>
      <c r="M161" s="144">
        <v>768</v>
      </c>
      <c r="N161" s="129">
        <v>6.89</v>
      </c>
      <c r="O161" s="129">
        <v>6.89</v>
      </c>
      <c r="P161" s="129" t="s">
        <v>116</v>
      </c>
      <c r="Q161" s="130" t="s">
        <v>1165</v>
      </c>
      <c r="R161" s="131"/>
      <c r="S161" s="131"/>
      <c r="T161" s="132">
        <v>44617</v>
      </c>
      <c r="U161" s="132">
        <v>44619</v>
      </c>
      <c r="V161" s="132"/>
      <c r="W161" s="132"/>
      <c r="X161" s="132"/>
      <c r="Y161" s="133"/>
      <c r="Z161" s="126" t="s">
        <v>64</v>
      </c>
      <c r="AA161" s="134" t="s">
        <v>154</v>
      </c>
      <c r="AB161" s="134" t="s">
        <v>1296</v>
      </c>
      <c r="AC161" s="134"/>
      <c r="AD161" s="134">
        <v>44516</v>
      </c>
      <c r="AE161" s="134"/>
      <c r="AF161" s="134">
        <f t="shared" ca="1" si="13"/>
        <v>44963</v>
      </c>
      <c r="AG161" s="126">
        <f t="shared" ca="1" si="14"/>
        <v>447</v>
      </c>
      <c r="AH161" s="126" t="str">
        <f t="shared" si="15"/>
        <v/>
      </c>
      <c r="AI161" s="134"/>
      <c r="AJ161" s="143" t="s">
        <v>1310</v>
      </c>
      <c r="AK161" s="129">
        <v>6.89</v>
      </c>
      <c r="AL161" s="129">
        <v>6.9</v>
      </c>
      <c r="AM161" s="129">
        <v>6.9250000000000007</v>
      </c>
      <c r="AN161" s="129">
        <v>6.9300000000000006</v>
      </c>
      <c r="AO161" s="126">
        <f t="shared" ca="1" si="16"/>
        <v>344</v>
      </c>
      <c r="AR161" s="99" t="s">
        <v>136</v>
      </c>
      <c r="AS161" s="281" t="str">
        <f>LEFT(RIGHT(C161,LEN(C161)-MIN(SEARCH({0,1,2,3,4,5,6,7,8,9},C161&amp;"0123456789"))+1),2)</f>
        <v>27</v>
      </c>
      <c r="AT161" s="99">
        <v>1</v>
      </c>
      <c r="AU161" s="99" t="str">
        <f>LEFT(RIGHT(C161,LEN(C161)-MIN(SEARCH({0,1,2,3,4,5,6,7,8,9},C161&amp;"0123456789"))+1),5)</f>
        <v>27.02</v>
      </c>
      <c r="AV161" s="99" t="str">
        <f t="shared" si="17"/>
        <v>MI</v>
      </c>
    </row>
    <row r="162" spans="1:59" s="99" customFormat="1" ht="21" customHeight="1" x14ac:dyDescent="0.35">
      <c r="A162" s="99">
        <v>421</v>
      </c>
      <c r="B162" s="126" t="str">
        <f t="shared" si="12"/>
        <v>0-304L/FH-001X770</v>
      </c>
      <c r="C162" s="126" t="s">
        <v>3020</v>
      </c>
      <c r="D162" s="126" t="s">
        <v>13</v>
      </c>
      <c r="E162" s="143" t="s">
        <v>1188</v>
      </c>
      <c r="F162" s="143" t="s">
        <v>1189</v>
      </c>
      <c r="G162" s="126" t="s">
        <v>230</v>
      </c>
      <c r="H162" s="126" t="s">
        <v>65</v>
      </c>
      <c r="I162" s="127">
        <v>2.81</v>
      </c>
      <c r="J162" s="127">
        <v>0.95</v>
      </c>
      <c r="K162" s="127"/>
      <c r="L162" s="127"/>
      <c r="M162" s="144">
        <v>770</v>
      </c>
      <c r="N162" s="129">
        <v>12.17</v>
      </c>
      <c r="O162" s="129">
        <v>12.17</v>
      </c>
      <c r="P162" s="129" t="s">
        <v>116</v>
      </c>
      <c r="Q162" s="130" t="s">
        <v>412</v>
      </c>
      <c r="R162" s="131"/>
      <c r="S162" s="131"/>
      <c r="T162" s="132">
        <v>44618</v>
      </c>
      <c r="U162" s="132">
        <v>44619</v>
      </c>
      <c r="V162" s="132"/>
      <c r="W162" s="132"/>
      <c r="X162" s="132"/>
      <c r="Y162" s="133"/>
      <c r="Z162" s="126" t="s">
        <v>64</v>
      </c>
      <c r="AA162" s="134" t="s">
        <v>154</v>
      </c>
      <c r="AB162" s="134" t="s">
        <v>1190</v>
      </c>
      <c r="AC162" s="134"/>
      <c r="AD162" s="134">
        <v>44496</v>
      </c>
      <c r="AE162" s="134"/>
      <c r="AF162" s="134">
        <f t="shared" ca="1" si="13"/>
        <v>44963</v>
      </c>
      <c r="AG162" s="126">
        <f t="shared" ca="1" si="14"/>
        <v>467</v>
      </c>
      <c r="AH162" s="126" t="str">
        <f t="shared" si="15"/>
        <v/>
      </c>
      <c r="AI162" s="134"/>
      <c r="AJ162" s="143" t="s">
        <v>1191</v>
      </c>
      <c r="AK162" s="129">
        <v>12.17</v>
      </c>
      <c r="AL162" s="129">
        <v>12.18</v>
      </c>
      <c r="AM162" s="129">
        <v>12.204999999999998</v>
      </c>
      <c r="AN162" s="129">
        <v>12.209999999999999</v>
      </c>
      <c r="AO162" s="126">
        <f t="shared" ca="1" si="16"/>
        <v>344</v>
      </c>
      <c r="AR162" s="99" t="s">
        <v>136</v>
      </c>
      <c r="AS162" s="281" t="str">
        <f>LEFT(RIGHT(C162,LEN(C162)-MIN(SEARCH({0,1,2,3,4,5,6,7,8,9},C162&amp;"0123456789"))+1),2)</f>
        <v>27</v>
      </c>
      <c r="AT162" s="99">
        <v>1</v>
      </c>
      <c r="AU162" s="99" t="str">
        <f>LEFT(RIGHT(C162,LEN(C162)-MIN(SEARCH({0,1,2,3,4,5,6,7,8,9},C162&amp;"0123456789"))+1),5)</f>
        <v>27.02</v>
      </c>
      <c r="AV162" s="99" t="str">
        <f t="shared" si="17"/>
        <v>MI</v>
      </c>
    </row>
    <row r="163" spans="1:59" s="99" customFormat="1" ht="21" customHeight="1" x14ac:dyDescent="0.35">
      <c r="A163" s="99">
        <v>421</v>
      </c>
      <c r="B163" s="126" t="str">
        <f t="shared" si="12"/>
        <v>0-304L/FH-001X770</v>
      </c>
      <c r="C163" s="126" t="s">
        <v>3020</v>
      </c>
      <c r="D163" s="126" t="s">
        <v>13</v>
      </c>
      <c r="E163" s="143" t="s">
        <v>1265</v>
      </c>
      <c r="F163" s="143" t="s">
        <v>1266</v>
      </c>
      <c r="G163" s="126" t="s">
        <v>230</v>
      </c>
      <c r="H163" s="126" t="s">
        <v>65</v>
      </c>
      <c r="I163" s="127">
        <v>3.7</v>
      </c>
      <c r="J163" s="127">
        <v>1.1000000000000001</v>
      </c>
      <c r="K163" s="127"/>
      <c r="L163" s="127"/>
      <c r="M163" s="144">
        <v>770</v>
      </c>
      <c r="N163" s="129">
        <v>10.484999999999999</v>
      </c>
      <c r="O163" s="129">
        <v>10.484999999999999</v>
      </c>
      <c r="P163" s="129" t="s">
        <v>116</v>
      </c>
      <c r="Q163" s="130" t="s">
        <v>412</v>
      </c>
      <c r="R163" s="131"/>
      <c r="S163" s="131"/>
      <c r="T163" s="132">
        <v>44619</v>
      </c>
      <c r="U163" s="132">
        <v>44619</v>
      </c>
      <c r="V163" s="132"/>
      <c r="W163" s="132"/>
      <c r="X163" s="132"/>
      <c r="Y163" s="133"/>
      <c r="Z163" s="126" t="s">
        <v>64</v>
      </c>
      <c r="AA163" s="134" t="s">
        <v>154</v>
      </c>
      <c r="AB163" s="134" t="s">
        <v>1267</v>
      </c>
      <c r="AC163" s="134"/>
      <c r="AD163" s="134">
        <v>44496</v>
      </c>
      <c r="AE163" s="134"/>
      <c r="AF163" s="134">
        <f t="shared" ca="1" si="13"/>
        <v>44963</v>
      </c>
      <c r="AG163" s="126">
        <f t="shared" ca="1" si="14"/>
        <v>467</v>
      </c>
      <c r="AH163" s="126" t="str">
        <f t="shared" si="15"/>
        <v/>
      </c>
      <c r="AI163" s="134"/>
      <c r="AJ163" s="143" t="s">
        <v>1268</v>
      </c>
      <c r="AK163" s="129">
        <v>10.484999999999999</v>
      </c>
      <c r="AL163" s="129">
        <v>10.494999999999999</v>
      </c>
      <c r="AM163" s="129">
        <v>10.519999999999998</v>
      </c>
      <c r="AN163" s="129">
        <v>10.524999999999999</v>
      </c>
      <c r="AO163" s="126">
        <f t="shared" ca="1" si="16"/>
        <v>344</v>
      </c>
      <c r="AR163" s="99" t="s">
        <v>136</v>
      </c>
      <c r="AS163" s="281" t="str">
        <f>LEFT(RIGHT(C163,LEN(C163)-MIN(SEARCH({0,1,2,3,4,5,6,7,8,9},C163&amp;"0123456789"))+1),2)</f>
        <v>27</v>
      </c>
      <c r="AT163" s="99">
        <v>1</v>
      </c>
      <c r="AU163" s="99" t="str">
        <f>LEFT(RIGHT(C163,LEN(C163)-MIN(SEARCH({0,1,2,3,4,5,6,7,8,9},C163&amp;"0123456789"))+1),5)</f>
        <v>27.02</v>
      </c>
      <c r="AV163" s="99" t="str">
        <f t="shared" si="17"/>
        <v>MI</v>
      </c>
    </row>
    <row r="164" spans="1:59" s="99" customFormat="1" ht="21" customHeight="1" x14ac:dyDescent="0.35">
      <c r="A164" s="99">
        <v>421</v>
      </c>
      <c r="B164" s="126" t="str">
        <f t="shared" si="12"/>
        <v>0-304L/FH-001X770</v>
      </c>
      <c r="C164" s="126" t="s">
        <v>3020</v>
      </c>
      <c r="D164" s="126" t="s">
        <v>13</v>
      </c>
      <c r="E164" s="143" t="s">
        <v>1244</v>
      </c>
      <c r="F164" s="143" t="s">
        <v>1245</v>
      </c>
      <c r="G164" s="126" t="s">
        <v>230</v>
      </c>
      <c r="H164" s="126" t="s">
        <v>65</v>
      </c>
      <c r="I164" s="127">
        <v>3.78</v>
      </c>
      <c r="J164" s="127">
        <v>1.4</v>
      </c>
      <c r="K164" s="127"/>
      <c r="L164" s="127"/>
      <c r="M164" s="144">
        <v>770</v>
      </c>
      <c r="N164" s="129">
        <v>11.73</v>
      </c>
      <c r="O164" s="129">
        <v>11.73</v>
      </c>
      <c r="P164" s="129" t="s">
        <v>116</v>
      </c>
      <c r="Q164" s="130" t="s">
        <v>412</v>
      </c>
      <c r="R164" s="131"/>
      <c r="S164" s="131"/>
      <c r="T164" s="132">
        <v>44619</v>
      </c>
      <c r="U164" s="132">
        <v>44619</v>
      </c>
      <c r="V164" s="132"/>
      <c r="W164" s="132"/>
      <c r="X164" s="132"/>
      <c r="Y164" s="133"/>
      <c r="Z164" s="126" t="s">
        <v>64</v>
      </c>
      <c r="AA164" s="134" t="s">
        <v>154</v>
      </c>
      <c r="AB164" s="134" t="s">
        <v>1246</v>
      </c>
      <c r="AC164" s="134"/>
      <c r="AD164" s="134">
        <v>44496</v>
      </c>
      <c r="AE164" s="134"/>
      <c r="AF164" s="134">
        <f t="shared" ca="1" si="13"/>
        <v>44963</v>
      </c>
      <c r="AG164" s="126">
        <f t="shared" ca="1" si="14"/>
        <v>467</v>
      </c>
      <c r="AH164" s="126" t="str">
        <f t="shared" si="15"/>
        <v/>
      </c>
      <c r="AI164" s="134"/>
      <c r="AJ164" s="143" t="s">
        <v>1247</v>
      </c>
      <c r="AK164" s="129">
        <v>11.73</v>
      </c>
      <c r="AL164" s="129">
        <v>11.74</v>
      </c>
      <c r="AM164" s="129">
        <v>11.764999999999999</v>
      </c>
      <c r="AN164" s="129">
        <v>11.77</v>
      </c>
      <c r="AO164" s="126">
        <f t="shared" ca="1" si="16"/>
        <v>344</v>
      </c>
      <c r="AR164" s="99" t="s">
        <v>136</v>
      </c>
      <c r="AS164" s="281" t="str">
        <f>LEFT(RIGHT(C164,LEN(C164)-MIN(SEARCH({0,1,2,3,4,5,6,7,8,9},C164&amp;"0123456789"))+1),2)</f>
        <v>27</v>
      </c>
      <c r="AT164" s="99">
        <v>2</v>
      </c>
      <c r="AU164" s="99" t="str">
        <f>LEFT(RIGHT(C164,LEN(C164)-MIN(SEARCH({0,1,2,3,4,5,6,7,8,9},C164&amp;"0123456789"))+1),5)</f>
        <v>27.02</v>
      </c>
      <c r="AV164" s="99" t="str">
        <f t="shared" si="17"/>
        <v>MI</v>
      </c>
    </row>
    <row r="165" spans="1:59" s="99" customFormat="1" ht="21" customHeight="1" x14ac:dyDescent="0.35">
      <c r="A165" s="99">
        <v>424</v>
      </c>
      <c r="B165" s="126" t="str">
        <f t="shared" si="12"/>
        <v>0-304L/FH-001X764</v>
      </c>
      <c r="C165" s="126" t="s">
        <v>3020</v>
      </c>
      <c r="D165" s="126" t="s">
        <v>13</v>
      </c>
      <c r="E165" s="143" t="s">
        <v>1393</v>
      </c>
      <c r="F165" s="143" t="s">
        <v>1394</v>
      </c>
      <c r="G165" s="126" t="s">
        <v>230</v>
      </c>
      <c r="H165" s="126" t="s">
        <v>65</v>
      </c>
      <c r="I165" s="127">
        <v>3.78</v>
      </c>
      <c r="J165" s="127">
        <v>1.4</v>
      </c>
      <c r="K165" s="127"/>
      <c r="L165" s="127"/>
      <c r="M165" s="144">
        <v>764</v>
      </c>
      <c r="N165" s="129">
        <v>10.220000000000001</v>
      </c>
      <c r="O165" s="129">
        <v>10.220000000000001</v>
      </c>
      <c r="P165" s="129" t="s">
        <v>116</v>
      </c>
      <c r="Q165" s="130" t="s">
        <v>412</v>
      </c>
      <c r="R165" s="131"/>
      <c r="S165" s="131"/>
      <c r="T165" s="132">
        <v>44619</v>
      </c>
      <c r="U165" s="132">
        <v>44619</v>
      </c>
      <c r="V165" s="132"/>
      <c r="W165" s="132"/>
      <c r="X165" s="132"/>
      <c r="Y165" s="133" t="s">
        <v>1395</v>
      </c>
      <c r="Z165" s="126" t="s">
        <v>64</v>
      </c>
      <c r="AA165" s="134" t="s">
        <v>154</v>
      </c>
      <c r="AB165" s="134" t="s">
        <v>1330</v>
      </c>
      <c r="AC165" s="134"/>
      <c r="AD165" s="134">
        <v>44554</v>
      </c>
      <c r="AE165" s="134"/>
      <c r="AF165" s="134">
        <f t="shared" ca="1" si="13"/>
        <v>44963</v>
      </c>
      <c r="AG165" s="126">
        <f t="shared" ca="1" si="14"/>
        <v>409</v>
      </c>
      <c r="AH165" s="126" t="str">
        <f t="shared" si="15"/>
        <v/>
      </c>
      <c r="AI165" s="134"/>
      <c r="AJ165" s="143" t="s">
        <v>1396</v>
      </c>
      <c r="AK165" s="129">
        <v>10.220000000000001</v>
      </c>
      <c r="AL165" s="129">
        <v>10.23</v>
      </c>
      <c r="AM165" s="129">
        <v>10.254999999999999</v>
      </c>
      <c r="AN165" s="129">
        <v>10.26</v>
      </c>
      <c r="AO165" s="126">
        <f t="shared" ca="1" si="16"/>
        <v>344</v>
      </c>
      <c r="AR165" s="99" t="s">
        <v>136</v>
      </c>
      <c r="AS165" s="281" t="str">
        <f>LEFT(RIGHT(C165,LEN(C165)-MIN(SEARCH({0,1,2,3,4,5,6,7,8,9},C165&amp;"0123456789"))+1),2)</f>
        <v>27</v>
      </c>
      <c r="AT165" s="99">
        <v>2</v>
      </c>
      <c r="AU165" s="99" t="str">
        <f>LEFT(RIGHT(C165,LEN(C165)-MIN(SEARCH({0,1,2,3,4,5,6,7,8,9},C165&amp;"0123456789"))+1),5)</f>
        <v>27.02</v>
      </c>
      <c r="AV165" s="99" t="str">
        <f t="shared" si="17"/>
        <v>MI</v>
      </c>
    </row>
    <row r="166" spans="1:59" s="99" customFormat="1" ht="21" customHeight="1" x14ac:dyDescent="0.35">
      <c r="A166" s="99">
        <v>424</v>
      </c>
      <c r="B166" s="126" t="str">
        <f t="shared" si="12"/>
        <v>0-304/FH-001X771</v>
      </c>
      <c r="C166" s="126" t="s">
        <v>3020</v>
      </c>
      <c r="D166" s="126" t="s">
        <v>13</v>
      </c>
      <c r="E166" s="143" t="s">
        <v>1704</v>
      </c>
      <c r="F166" s="143" t="s">
        <v>1705</v>
      </c>
      <c r="G166" s="126">
        <v>304</v>
      </c>
      <c r="H166" s="126" t="s">
        <v>65</v>
      </c>
      <c r="I166" s="127">
        <v>3.78</v>
      </c>
      <c r="J166" s="127">
        <v>1.1000000000000001</v>
      </c>
      <c r="K166" s="127"/>
      <c r="L166" s="127"/>
      <c r="M166" s="144">
        <v>771</v>
      </c>
      <c r="N166" s="129">
        <v>11.92</v>
      </c>
      <c r="O166" s="129">
        <v>11.92</v>
      </c>
      <c r="P166" s="129" t="s">
        <v>116</v>
      </c>
      <c r="Q166" s="130" t="s">
        <v>412</v>
      </c>
      <c r="R166" s="131"/>
      <c r="S166" s="131"/>
      <c r="T166" s="132">
        <v>44619</v>
      </c>
      <c r="U166" s="132">
        <v>44619</v>
      </c>
      <c r="V166" s="132"/>
      <c r="W166" s="132"/>
      <c r="X166" s="132"/>
      <c r="Y166" s="133" t="s">
        <v>1395</v>
      </c>
      <c r="Z166" s="126" t="s">
        <v>64</v>
      </c>
      <c r="AA166" s="134" t="s">
        <v>154</v>
      </c>
      <c r="AB166" s="134" t="s">
        <v>1516</v>
      </c>
      <c r="AC166" s="134"/>
      <c r="AD166" s="134">
        <v>44554</v>
      </c>
      <c r="AE166" s="134"/>
      <c r="AF166" s="134">
        <f t="shared" ca="1" si="13"/>
        <v>44963</v>
      </c>
      <c r="AG166" s="126">
        <f t="shared" ca="1" si="14"/>
        <v>409</v>
      </c>
      <c r="AH166" s="126" t="str">
        <f t="shared" si="15"/>
        <v/>
      </c>
      <c r="AI166" s="134"/>
      <c r="AJ166" s="143" t="s">
        <v>1703</v>
      </c>
      <c r="AK166" s="129">
        <v>11.92</v>
      </c>
      <c r="AL166" s="129">
        <v>11.93</v>
      </c>
      <c r="AM166" s="129">
        <v>11.954999999999998</v>
      </c>
      <c r="AN166" s="129">
        <v>11.959999999999999</v>
      </c>
      <c r="AO166" s="126">
        <f t="shared" ca="1" si="16"/>
        <v>344</v>
      </c>
      <c r="AR166" s="99" t="s">
        <v>136</v>
      </c>
      <c r="AS166" s="281" t="str">
        <f>LEFT(RIGHT(C166,LEN(C166)-MIN(SEARCH({0,1,2,3,4,5,6,7,8,9},C166&amp;"0123456789"))+1),2)</f>
        <v>27</v>
      </c>
      <c r="AT166" s="99">
        <v>2</v>
      </c>
      <c r="AU166" s="99" t="str">
        <f>LEFT(RIGHT(C166,LEN(C166)-MIN(SEARCH({0,1,2,3,4,5,6,7,8,9},C166&amp;"0123456789"))+1),5)</f>
        <v>27.02</v>
      </c>
      <c r="AV166" s="99" t="str">
        <f t="shared" si="17"/>
        <v>MI</v>
      </c>
    </row>
    <row r="167" spans="1:59" s="99" customFormat="1" ht="21" customHeight="1" x14ac:dyDescent="0.35">
      <c r="A167" s="99">
        <v>424</v>
      </c>
      <c r="B167" s="126" t="str">
        <f t="shared" si="12"/>
        <v>0-304L/FH-001X767</v>
      </c>
      <c r="C167" s="126" t="s">
        <v>3020</v>
      </c>
      <c r="D167" s="126" t="s">
        <v>13</v>
      </c>
      <c r="E167" s="143" t="s">
        <v>1372</v>
      </c>
      <c r="F167" s="143" t="s">
        <v>1373</v>
      </c>
      <c r="G167" s="126" t="s">
        <v>230</v>
      </c>
      <c r="H167" s="126" t="s">
        <v>65</v>
      </c>
      <c r="I167" s="127">
        <v>2.99</v>
      </c>
      <c r="J167" s="127">
        <v>1</v>
      </c>
      <c r="K167" s="127"/>
      <c r="L167" s="127"/>
      <c r="M167" s="144">
        <v>767</v>
      </c>
      <c r="N167" s="129">
        <v>10.355</v>
      </c>
      <c r="O167" s="129">
        <v>10.355</v>
      </c>
      <c r="P167" s="129" t="s">
        <v>116</v>
      </c>
      <c r="Q167" s="130" t="s">
        <v>1370</v>
      </c>
      <c r="R167" s="131"/>
      <c r="S167" s="131"/>
      <c r="T167" s="132">
        <v>44619</v>
      </c>
      <c r="U167" s="132">
        <v>44619</v>
      </c>
      <c r="V167" s="132"/>
      <c r="W167" s="132"/>
      <c r="X167" s="132"/>
      <c r="Y167" s="133" t="s">
        <v>1366</v>
      </c>
      <c r="Z167" s="126" t="s">
        <v>64</v>
      </c>
      <c r="AA167" s="134" t="s">
        <v>154</v>
      </c>
      <c r="AB167" s="134" t="s">
        <v>1330</v>
      </c>
      <c r="AC167" s="134"/>
      <c r="AD167" s="134">
        <v>44554</v>
      </c>
      <c r="AE167" s="134"/>
      <c r="AF167" s="134">
        <f t="shared" ca="1" si="13"/>
        <v>44963</v>
      </c>
      <c r="AG167" s="126">
        <f t="shared" ca="1" si="14"/>
        <v>409</v>
      </c>
      <c r="AH167" s="126" t="str">
        <f t="shared" si="15"/>
        <v/>
      </c>
      <c r="AI167" s="134"/>
      <c r="AJ167" s="143" t="s">
        <v>1371</v>
      </c>
      <c r="AK167" s="129">
        <v>10.355</v>
      </c>
      <c r="AL167" s="129">
        <v>10.365</v>
      </c>
      <c r="AM167" s="129">
        <v>10.389999999999999</v>
      </c>
      <c r="AN167" s="129">
        <v>10.395</v>
      </c>
      <c r="AO167" s="126">
        <f t="shared" ca="1" si="16"/>
        <v>344</v>
      </c>
      <c r="AR167" s="99" t="s">
        <v>136</v>
      </c>
      <c r="AS167" s="281" t="str">
        <f>LEFT(RIGHT(C167,LEN(C167)-MIN(SEARCH({0,1,2,3,4,5,6,7,8,9},C167&amp;"0123456789"))+1),2)</f>
        <v>27</v>
      </c>
      <c r="AT167" s="99">
        <v>2</v>
      </c>
      <c r="AU167" s="99" t="str">
        <f>LEFT(RIGHT(C167,LEN(C167)-MIN(SEARCH({0,1,2,3,4,5,6,7,8,9},C167&amp;"0123456789"))+1),5)</f>
        <v>27.02</v>
      </c>
      <c r="AV167" s="99" t="str">
        <f t="shared" si="17"/>
        <v>MI</v>
      </c>
    </row>
    <row r="168" spans="1:59" s="99" customFormat="1" ht="21" customHeight="1" x14ac:dyDescent="0.35">
      <c r="A168" s="99">
        <v>424</v>
      </c>
      <c r="B168" s="126" t="str">
        <f t="shared" si="12"/>
        <v>0-304L/FH-001X767</v>
      </c>
      <c r="C168" s="126" t="s">
        <v>3020</v>
      </c>
      <c r="D168" s="126" t="s">
        <v>13</v>
      </c>
      <c r="E168" s="143" t="s">
        <v>1397</v>
      </c>
      <c r="F168" s="143" t="s">
        <v>1398</v>
      </c>
      <c r="G168" s="126" t="s">
        <v>230</v>
      </c>
      <c r="H168" s="126" t="s">
        <v>65</v>
      </c>
      <c r="I168" s="127">
        <v>3.43</v>
      </c>
      <c r="J168" s="127">
        <v>1</v>
      </c>
      <c r="K168" s="127"/>
      <c r="L168" s="127"/>
      <c r="M168" s="144">
        <v>767</v>
      </c>
      <c r="N168" s="129">
        <v>10.52</v>
      </c>
      <c r="O168" s="129">
        <v>10.52</v>
      </c>
      <c r="P168" s="129" t="s">
        <v>116</v>
      </c>
      <c r="Q168" s="130" t="s">
        <v>1370</v>
      </c>
      <c r="R168" s="131"/>
      <c r="S168" s="131"/>
      <c r="T168" s="132">
        <v>44619</v>
      </c>
      <c r="U168" s="132">
        <v>44619</v>
      </c>
      <c r="V168" s="132"/>
      <c r="W168" s="132"/>
      <c r="X168" s="132"/>
      <c r="Y168" s="133" t="s">
        <v>1366</v>
      </c>
      <c r="Z168" s="126" t="s">
        <v>64</v>
      </c>
      <c r="AA168" s="134" t="s">
        <v>154</v>
      </c>
      <c r="AB168" s="134" t="s">
        <v>1330</v>
      </c>
      <c r="AC168" s="134"/>
      <c r="AD168" s="134">
        <v>44554</v>
      </c>
      <c r="AE168" s="134"/>
      <c r="AF168" s="134">
        <f t="shared" ca="1" si="13"/>
        <v>44963</v>
      </c>
      <c r="AG168" s="126">
        <f t="shared" ca="1" si="14"/>
        <v>409</v>
      </c>
      <c r="AH168" s="126" t="str">
        <f t="shared" si="15"/>
        <v/>
      </c>
      <c r="AI168" s="134"/>
      <c r="AJ168" s="143" t="s">
        <v>1399</v>
      </c>
      <c r="AK168" s="129">
        <v>10.52</v>
      </c>
      <c r="AL168" s="129">
        <v>10.53</v>
      </c>
      <c r="AM168" s="129">
        <v>10.554999999999998</v>
      </c>
      <c r="AN168" s="129">
        <v>10.559999999999999</v>
      </c>
      <c r="AO168" s="126">
        <f t="shared" ca="1" si="16"/>
        <v>344</v>
      </c>
      <c r="AR168" s="99" t="s">
        <v>136</v>
      </c>
      <c r="AS168" s="281" t="str">
        <f>LEFT(RIGHT(C168,LEN(C168)-MIN(SEARCH({0,1,2,3,4,5,6,7,8,9},C168&amp;"0123456789"))+1),2)</f>
        <v>27</v>
      </c>
      <c r="AT168" s="99">
        <v>3</v>
      </c>
      <c r="AU168" s="99" t="str">
        <f>LEFT(RIGHT(C168,LEN(C168)-MIN(SEARCH({0,1,2,3,4,5,6,7,8,9},C168&amp;"0123456789"))+1),5)</f>
        <v>27.02</v>
      </c>
      <c r="AV168" s="99" t="str">
        <f t="shared" si="17"/>
        <v>MI</v>
      </c>
    </row>
    <row r="169" spans="1:59" s="99" customFormat="1" ht="21" customHeight="1" x14ac:dyDescent="0.35">
      <c r="A169" s="99">
        <v>424</v>
      </c>
      <c r="B169" s="126" t="str">
        <f t="shared" si="12"/>
        <v>0-304/FH-001X772</v>
      </c>
      <c r="C169" s="126" t="s">
        <v>3020</v>
      </c>
      <c r="D169" s="126" t="s">
        <v>13</v>
      </c>
      <c r="E169" s="143" t="s">
        <v>1471</v>
      </c>
      <c r="F169" s="143" t="s">
        <v>1472</v>
      </c>
      <c r="G169" s="126">
        <v>304</v>
      </c>
      <c r="H169" s="126" t="s">
        <v>65</v>
      </c>
      <c r="I169" s="127">
        <v>2.9</v>
      </c>
      <c r="J169" s="127">
        <v>1</v>
      </c>
      <c r="K169" s="127"/>
      <c r="L169" s="127"/>
      <c r="M169" s="144">
        <v>772</v>
      </c>
      <c r="N169" s="129">
        <v>10.535</v>
      </c>
      <c r="O169" s="129">
        <v>10.535</v>
      </c>
      <c r="P169" s="129" t="s">
        <v>116</v>
      </c>
      <c r="Q169" s="130" t="s">
        <v>1370</v>
      </c>
      <c r="R169" s="131"/>
      <c r="S169" s="131"/>
      <c r="T169" s="132">
        <v>44619</v>
      </c>
      <c r="U169" s="132">
        <v>44619</v>
      </c>
      <c r="V169" s="132"/>
      <c r="W169" s="132"/>
      <c r="X169" s="132"/>
      <c r="Y169" s="133" t="s">
        <v>1366</v>
      </c>
      <c r="Z169" s="126" t="s">
        <v>64</v>
      </c>
      <c r="AA169" s="134" t="s">
        <v>154</v>
      </c>
      <c r="AB169" s="134" t="s">
        <v>1330</v>
      </c>
      <c r="AC169" s="134"/>
      <c r="AD169" s="134">
        <v>44554</v>
      </c>
      <c r="AE169" s="134"/>
      <c r="AF169" s="134">
        <f t="shared" ca="1" si="13"/>
        <v>44963</v>
      </c>
      <c r="AG169" s="126">
        <f t="shared" ca="1" si="14"/>
        <v>409</v>
      </c>
      <c r="AH169" s="126" t="str">
        <f t="shared" si="15"/>
        <v/>
      </c>
      <c r="AI169" s="134"/>
      <c r="AJ169" s="143" t="s">
        <v>1470</v>
      </c>
      <c r="AK169" s="129">
        <v>10.535</v>
      </c>
      <c r="AL169" s="129">
        <v>10.545</v>
      </c>
      <c r="AM169" s="129">
        <v>10.569999999999999</v>
      </c>
      <c r="AN169" s="129">
        <v>10.574999999999999</v>
      </c>
      <c r="AO169" s="126">
        <f t="shared" ca="1" si="16"/>
        <v>344</v>
      </c>
      <c r="AR169" s="99" t="s">
        <v>136</v>
      </c>
      <c r="AS169" s="281" t="str">
        <f>LEFT(RIGHT(C169,LEN(C169)-MIN(SEARCH({0,1,2,3,4,5,6,7,8,9},C169&amp;"0123456789"))+1),2)</f>
        <v>27</v>
      </c>
      <c r="AT169" s="99">
        <v>3</v>
      </c>
      <c r="AU169" s="99" t="str">
        <f>LEFT(RIGHT(C169,LEN(C169)-MIN(SEARCH({0,1,2,3,4,5,6,7,8,9},C169&amp;"0123456789"))+1),5)</f>
        <v>27.02</v>
      </c>
      <c r="AV169" s="99" t="str">
        <f t="shared" si="17"/>
        <v>MI</v>
      </c>
    </row>
    <row r="170" spans="1:59" s="99" customFormat="1" ht="21" customHeight="1" x14ac:dyDescent="0.35">
      <c r="A170" s="99">
        <v>417</v>
      </c>
      <c r="B170" s="126" t="str">
        <f t="shared" si="12"/>
        <v>0-316L/FH-001X770</v>
      </c>
      <c r="C170" s="126" t="s">
        <v>3021</v>
      </c>
      <c r="D170" s="126" t="s">
        <v>13</v>
      </c>
      <c r="E170" s="143" t="s">
        <v>1163</v>
      </c>
      <c r="F170" s="143" t="s">
        <v>1164</v>
      </c>
      <c r="G170" s="126" t="s">
        <v>148</v>
      </c>
      <c r="H170" s="126" t="s">
        <v>65</v>
      </c>
      <c r="I170" s="127">
        <v>2</v>
      </c>
      <c r="J170" s="127">
        <v>1.17</v>
      </c>
      <c r="K170" s="127"/>
      <c r="L170" s="127"/>
      <c r="M170" s="144">
        <v>770</v>
      </c>
      <c r="N170" s="129">
        <v>5.375</v>
      </c>
      <c r="O170" s="129">
        <v>5.375</v>
      </c>
      <c r="P170" s="129" t="s">
        <v>116</v>
      </c>
      <c r="Q170" s="130" t="s">
        <v>1165</v>
      </c>
      <c r="R170" s="131" t="s">
        <v>390</v>
      </c>
      <c r="S170" s="131"/>
      <c r="T170" s="132" t="s">
        <v>1166</v>
      </c>
      <c r="U170" s="132" t="s">
        <v>1167</v>
      </c>
      <c r="V170" s="132">
        <v>44445</v>
      </c>
      <c r="W170" s="132"/>
      <c r="X170" s="132"/>
      <c r="Y170" s="133"/>
      <c r="Z170" s="126" t="s">
        <v>64</v>
      </c>
      <c r="AA170" s="134" t="s">
        <v>154</v>
      </c>
      <c r="AB170" s="134" t="s">
        <v>1169</v>
      </c>
      <c r="AC170" s="134"/>
      <c r="AD170" s="134">
        <v>44431</v>
      </c>
      <c r="AE170" s="134"/>
      <c r="AF170" s="134">
        <f t="shared" ca="1" si="13"/>
        <v>44963</v>
      </c>
      <c r="AG170" s="126">
        <f t="shared" ca="1" si="14"/>
        <v>532</v>
      </c>
      <c r="AH170" s="126">
        <f t="shared" ca="1" si="15"/>
        <v>518</v>
      </c>
      <c r="AI170" s="134"/>
      <c r="AJ170" s="143" t="s">
        <v>1170</v>
      </c>
      <c r="AK170" s="129">
        <v>10.585000000000001</v>
      </c>
      <c r="AL170" s="129">
        <v>10.595000000000001</v>
      </c>
      <c r="AM170" s="129">
        <v>10.62</v>
      </c>
      <c r="AN170" s="129">
        <v>10.625</v>
      </c>
      <c r="AO170" s="126" t="e">
        <f t="shared" ca="1" si="16"/>
        <v>#VALUE!</v>
      </c>
      <c r="AR170" s="99" t="s">
        <v>136</v>
      </c>
      <c r="AS170" s="281" t="str">
        <f>LEFT(RIGHT(C170,LEN(C170)-MIN(SEARCH({0,1,2,3,4,5,6,7,8,9},C170&amp;"0123456789"))+1),2)</f>
        <v>27</v>
      </c>
      <c r="AT170" s="99">
        <v>3</v>
      </c>
      <c r="AU170" s="99" t="str">
        <f>LEFT(RIGHT(C170,LEN(C170)-MIN(SEARCH({0,1,2,3,4,5,6,7,8,9},C170&amp;"0123456789"))+1),5)</f>
        <v>27.02</v>
      </c>
      <c r="AV170" s="99" t="str">
        <f t="shared" si="17"/>
        <v>RR</v>
      </c>
      <c r="BG170" s="135" t="s">
        <v>157</v>
      </c>
    </row>
    <row r="171" spans="1:59" s="99" customFormat="1" ht="21" customHeight="1" x14ac:dyDescent="0.35">
      <c r="A171" s="99">
        <v>424</v>
      </c>
      <c r="B171" s="126" t="str">
        <f t="shared" si="12"/>
        <v>0-304L/FH-001X767</v>
      </c>
      <c r="C171" s="126" t="s">
        <v>3020</v>
      </c>
      <c r="D171" s="126" t="s">
        <v>13</v>
      </c>
      <c r="E171" s="143" t="s">
        <v>1506</v>
      </c>
      <c r="F171" s="143" t="s">
        <v>1507</v>
      </c>
      <c r="G171" s="126" t="s">
        <v>230</v>
      </c>
      <c r="H171" s="126" t="s">
        <v>65</v>
      </c>
      <c r="I171" s="127">
        <v>3.43</v>
      </c>
      <c r="J171" s="127">
        <v>1</v>
      </c>
      <c r="K171" s="127"/>
      <c r="L171" s="127"/>
      <c r="M171" s="144">
        <v>767</v>
      </c>
      <c r="N171" s="129">
        <v>12.285</v>
      </c>
      <c r="O171" s="129">
        <v>12.285</v>
      </c>
      <c r="P171" s="129" t="s">
        <v>116</v>
      </c>
      <c r="Q171" s="130" t="s">
        <v>1370</v>
      </c>
      <c r="R171" s="131"/>
      <c r="S171" s="131"/>
      <c r="T171" s="132">
        <v>44619</v>
      </c>
      <c r="U171" s="132">
        <v>44619</v>
      </c>
      <c r="V171" s="132"/>
      <c r="W171" s="132"/>
      <c r="X171" s="132"/>
      <c r="Y171" s="133" t="s">
        <v>1366</v>
      </c>
      <c r="Z171" s="126" t="s">
        <v>64</v>
      </c>
      <c r="AA171" s="134" t="s">
        <v>154</v>
      </c>
      <c r="AB171" s="134" t="s">
        <v>1330</v>
      </c>
      <c r="AC171" s="134"/>
      <c r="AD171" s="134">
        <v>44554</v>
      </c>
      <c r="AE171" s="134"/>
      <c r="AF171" s="134">
        <f t="shared" ca="1" si="13"/>
        <v>44963</v>
      </c>
      <c r="AG171" s="126">
        <f t="shared" ca="1" si="14"/>
        <v>409</v>
      </c>
      <c r="AH171" s="126" t="str">
        <f t="shared" si="15"/>
        <v/>
      </c>
      <c r="AI171" s="134"/>
      <c r="AJ171" s="143" t="s">
        <v>1505</v>
      </c>
      <c r="AK171" s="129">
        <v>12.285</v>
      </c>
      <c r="AL171" s="129">
        <v>12.295</v>
      </c>
      <c r="AM171" s="129">
        <v>12.319999999999999</v>
      </c>
      <c r="AN171" s="129">
        <v>12.324999999999999</v>
      </c>
      <c r="AO171" s="126">
        <f t="shared" ca="1" si="16"/>
        <v>344</v>
      </c>
      <c r="AR171" s="99" t="s">
        <v>136</v>
      </c>
      <c r="AS171" s="281" t="str">
        <f>LEFT(RIGHT(C171,LEN(C171)-MIN(SEARCH({0,1,2,3,4,5,6,7,8,9},C171&amp;"0123456789"))+1),2)</f>
        <v>27</v>
      </c>
      <c r="AT171" s="99">
        <v>3</v>
      </c>
      <c r="AU171" s="99" t="str">
        <f>LEFT(RIGHT(C171,LEN(C171)-MIN(SEARCH({0,1,2,3,4,5,6,7,8,9},C171&amp;"0123456789"))+1),5)</f>
        <v>27.02</v>
      </c>
      <c r="AV171" s="99" t="str">
        <f t="shared" si="17"/>
        <v>MI</v>
      </c>
    </row>
    <row r="172" spans="1:59" s="99" customFormat="1" ht="21" customHeight="1" x14ac:dyDescent="0.35">
      <c r="A172" s="99">
        <v>424</v>
      </c>
      <c r="B172" s="126" t="str">
        <f t="shared" si="12"/>
        <v>0-304L/FH-001X773</v>
      </c>
      <c r="C172" s="126" t="s">
        <v>3022</v>
      </c>
      <c r="D172" s="126" t="s">
        <v>13</v>
      </c>
      <c r="E172" s="143" t="s">
        <v>1363</v>
      </c>
      <c r="F172" s="143" t="s">
        <v>1364</v>
      </c>
      <c r="G172" s="126" t="s">
        <v>230</v>
      </c>
      <c r="H172" s="126" t="s">
        <v>65</v>
      </c>
      <c r="I172" s="127">
        <v>3.49</v>
      </c>
      <c r="J172" s="127">
        <v>1.2</v>
      </c>
      <c r="K172" s="127"/>
      <c r="L172" s="127"/>
      <c r="M172" s="144">
        <v>773</v>
      </c>
      <c r="N172" s="129">
        <v>10</v>
      </c>
      <c r="O172" s="129">
        <v>10</v>
      </c>
      <c r="P172" s="129" t="s">
        <v>116</v>
      </c>
      <c r="Q172" s="130" t="s">
        <v>1365</v>
      </c>
      <c r="R172" s="131"/>
      <c r="S172" s="131"/>
      <c r="T172" s="132">
        <v>44619</v>
      </c>
      <c r="U172" s="132">
        <v>44620</v>
      </c>
      <c r="V172" s="132"/>
      <c r="W172" s="132"/>
      <c r="X172" s="132"/>
      <c r="Y172" s="133" t="s">
        <v>1366</v>
      </c>
      <c r="Z172" s="126" t="s">
        <v>64</v>
      </c>
      <c r="AA172" s="134" t="s">
        <v>154</v>
      </c>
      <c r="AB172" s="134" t="s">
        <v>1330</v>
      </c>
      <c r="AC172" s="134"/>
      <c r="AD172" s="134">
        <v>44554</v>
      </c>
      <c r="AE172" s="134"/>
      <c r="AF172" s="134">
        <f t="shared" ca="1" si="13"/>
        <v>44963</v>
      </c>
      <c r="AG172" s="126">
        <f t="shared" ca="1" si="14"/>
        <v>409</v>
      </c>
      <c r="AH172" s="126" t="str">
        <f t="shared" si="15"/>
        <v/>
      </c>
      <c r="AI172" s="134"/>
      <c r="AJ172" s="143" t="s">
        <v>1367</v>
      </c>
      <c r="AK172" s="129">
        <v>10</v>
      </c>
      <c r="AL172" s="129">
        <v>10.01</v>
      </c>
      <c r="AM172" s="129">
        <v>10.034999999999998</v>
      </c>
      <c r="AN172" s="129">
        <v>10.039999999999999</v>
      </c>
      <c r="AO172" s="126">
        <f t="shared" ca="1" si="16"/>
        <v>343</v>
      </c>
      <c r="AR172" s="99" t="s">
        <v>136</v>
      </c>
      <c r="AS172" s="281" t="str">
        <f>LEFT(RIGHT(C172,LEN(C172)-MIN(SEARCH({0,1,2,3,4,5,6,7,8,9},C172&amp;"0123456789"))+1),2)</f>
        <v>28</v>
      </c>
      <c r="AT172" s="99">
        <v>2</v>
      </c>
      <c r="AU172" s="99" t="str">
        <f>LEFT(RIGHT(C172,LEN(C172)-MIN(SEARCH({0,1,2,3,4,5,6,7,8,9},C172&amp;"0123456789"))+1),5)</f>
        <v>28.02</v>
      </c>
      <c r="AV172" s="99" t="str">
        <f t="shared" si="17"/>
        <v>MI</v>
      </c>
    </row>
    <row r="173" spans="1:59" s="99" customFormat="1" ht="21" customHeight="1" x14ac:dyDescent="0.35">
      <c r="A173" s="99">
        <v>424</v>
      </c>
      <c r="B173" s="126" t="str">
        <f t="shared" si="12"/>
        <v>0-304L/FH-001X768</v>
      </c>
      <c r="C173" s="126" t="s">
        <v>3022</v>
      </c>
      <c r="D173" s="126" t="s">
        <v>13</v>
      </c>
      <c r="E173" s="143" t="s">
        <v>1503</v>
      </c>
      <c r="F173" s="143" t="s">
        <v>1504</v>
      </c>
      <c r="G173" s="126" t="s">
        <v>230</v>
      </c>
      <c r="H173" s="126" t="s">
        <v>65</v>
      </c>
      <c r="I173" s="127">
        <v>3.42</v>
      </c>
      <c r="J173" s="127">
        <v>1</v>
      </c>
      <c r="K173" s="127"/>
      <c r="L173" s="127"/>
      <c r="M173" s="144">
        <v>768</v>
      </c>
      <c r="N173" s="129">
        <v>12.31</v>
      </c>
      <c r="O173" s="129">
        <v>12.31</v>
      </c>
      <c r="P173" s="129" t="s">
        <v>116</v>
      </c>
      <c r="Q173" s="130" t="s">
        <v>1370</v>
      </c>
      <c r="R173" s="131"/>
      <c r="S173" s="131"/>
      <c r="T173" s="132">
        <v>44620</v>
      </c>
      <c r="U173" s="132">
        <v>44620</v>
      </c>
      <c r="V173" s="132"/>
      <c r="W173" s="132"/>
      <c r="X173" s="132"/>
      <c r="Y173" s="133" t="s">
        <v>1366</v>
      </c>
      <c r="Z173" s="126" t="s">
        <v>64</v>
      </c>
      <c r="AA173" s="134" t="s">
        <v>154</v>
      </c>
      <c r="AB173" s="134" t="s">
        <v>1330</v>
      </c>
      <c r="AC173" s="134"/>
      <c r="AD173" s="134">
        <v>44554</v>
      </c>
      <c r="AE173" s="134"/>
      <c r="AF173" s="134">
        <f t="shared" ca="1" si="13"/>
        <v>44963</v>
      </c>
      <c r="AG173" s="126">
        <f t="shared" ca="1" si="14"/>
        <v>409</v>
      </c>
      <c r="AH173" s="126" t="str">
        <f t="shared" si="15"/>
        <v/>
      </c>
      <c r="AI173" s="134"/>
      <c r="AJ173" s="143" t="s">
        <v>1505</v>
      </c>
      <c r="AK173" s="129">
        <v>12.31</v>
      </c>
      <c r="AL173" s="129">
        <v>12.32</v>
      </c>
      <c r="AM173" s="129">
        <v>12.344999999999999</v>
      </c>
      <c r="AN173" s="129">
        <v>12.35</v>
      </c>
      <c r="AO173" s="126">
        <f t="shared" ca="1" si="16"/>
        <v>343</v>
      </c>
      <c r="AR173" s="99" t="s">
        <v>136</v>
      </c>
      <c r="AS173" s="281" t="str">
        <f>LEFT(RIGHT(C173,LEN(C173)-MIN(SEARCH({0,1,2,3,4,5,6,7,8,9},C173&amp;"0123456789"))+1),2)</f>
        <v>28</v>
      </c>
      <c r="AT173" s="99">
        <v>2</v>
      </c>
      <c r="AU173" s="99" t="str">
        <f>LEFT(RIGHT(C173,LEN(C173)-MIN(SEARCH({0,1,2,3,4,5,6,7,8,9},C173&amp;"0123456789"))+1),5)</f>
        <v>28.02</v>
      </c>
      <c r="AV173" s="99" t="str">
        <f t="shared" si="17"/>
        <v>MI</v>
      </c>
    </row>
    <row r="174" spans="1:59" s="99" customFormat="1" ht="21" customHeight="1" x14ac:dyDescent="0.35">
      <c r="A174" s="99">
        <v>424</v>
      </c>
      <c r="B174" s="126" t="str">
        <f t="shared" si="12"/>
        <v>0-304L/FH-001X768</v>
      </c>
      <c r="C174" s="126" t="s">
        <v>3022</v>
      </c>
      <c r="D174" s="126" t="s">
        <v>13</v>
      </c>
      <c r="E174" s="143" t="s">
        <v>1368</v>
      </c>
      <c r="F174" s="143" t="s">
        <v>1369</v>
      </c>
      <c r="G174" s="126" t="s">
        <v>230</v>
      </c>
      <c r="H174" s="126" t="s">
        <v>65</v>
      </c>
      <c r="I174" s="127">
        <v>2.99</v>
      </c>
      <c r="J174" s="127">
        <v>1</v>
      </c>
      <c r="K174" s="127"/>
      <c r="L174" s="127"/>
      <c r="M174" s="144">
        <v>768</v>
      </c>
      <c r="N174" s="129">
        <v>10.375</v>
      </c>
      <c r="O174" s="129">
        <v>10.375</v>
      </c>
      <c r="P174" s="129" t="s">
        <v>116</v>
      </c>
      <c r="Q174" s="130" t="s">
        <v>1370</v>
      </c>
      <c r="R174" s="131"/>
      <c r="S174" s="131"/>
      <c r="T174" s="132">
        <v>44620</v>
      </c>
      <c r="U174" s="132">
        <v>44620</v>
      </c>
      <c r="V174" s="132"/>
      <c r="W174" s="132"/>
      <c r="X174" s="132"/>
      <c r="Y174" s="133" t="s">
        <v>1366</v>
      </c>
      <c r="Z174" s="126" t="s">
        <v>64</v>
      </c>
      <c r="AA174" s="134" t="s">
        <v>154</v>
      </c>
      <c r="AB174" s="134" t="s">
        <v>1330</v>
      </c>
      <c r="AC174" s="134"/>
      <c r="AD174" s="134">
        <v>44554</v>
      </c>
      <c r="AE174" s="134"/>
      <c r="AF174" s="134">
        <f t="shared" ca="1" si="13"/>
        <v>44963</v>
      </c>
      <c r="AG174" s="126">
        <f t="shared" ca="1" si="14"/>
        <v>409</v>
      </c>
      <c r="AH174" s="126" t="str">
        <f t="shared" si="15"/>
        <v/>
      </c>
      <c r="AI174" s="134"/>
      <c r="AJ174" s="143" t="s">
        <v>1371</v>
      </c>
      <c r="AK174" s="129">
        <v>10.375</v>
      </c>
      <c r="AL174" s="129">
        <v>10.385</v>
      </c>
      <c r="AM174" s="129">
        <v>10.409999999999998</v>
      </c>
      <c r="AN174" s="129">
        <v>10.414999999999999</v>
      </c>
      <c r="AO174" s="126">
        <f t="shared" ca="1" si="16"/>
        <v>343</v>
      </c>
      <c r="AR174" s="99" t="s">
        <v>136</v>
      </c>
      <c r="AS174" s="281" t="str">
        <f>LEFT(RIGHT(C174,LEN(C174)-MIN(SEARCH({0,1,2,3,4,5,6,7,8,9},C174&amp;"0123456789"))+1),2)</f>
        <v>28</v>
      </c>
      <c r="AT174" s="99">
        <v>2</v>
      </c>
      <c r="AU174" s="99" t="str">
        <f>LEFT(RIGHT(C174,LEN(C174)-MIN(SEARCH({0,1,2,3,4,5,6,7,8,9},C174&amp;"0123456789"))+1),5)</f>
        <v>28.02</v>
      </c>
      <c r="AV174" s="99" t="str">
        <f t="shared" si="17"/>
        <v>MI</v>
      </c>
    </row>
    <row r="175" spans="1:59" s="99" customFormat="1" ht="21" customHeight="1" x14ac:dyDescent="0.35">
      <c r="A175" s="99">
        <v>424</v>
      </c>
      <c r="B175" s="126" t="str">
        <f t="shared" si="12"/>
        <v>0-304L/FH-001X770</v>
      </c>
      <c r="C175" s="126" t="s">
        <v>3022</v>
      </c>
      <c r="D175" s="126" t="s">
        <v>13</v>
      </c>
      <c r="E175" s="143" t="s">
        <v>1428</v>
      </c>
      <c r="F175" s="143" t="s">
        <v>1429</v>
      </c>
      <c r="G175" s="126" t="s">
        <v>230</v>
      </c>
      <c r="H175" s="126" t="s">
        <v>65</v>
      </c>
      <c r="I175" s="127">
        <v>2.98</v>
      </c>
      <c r="J175" s="127">
        <v>1</v>
      </c>
      <c r="K175" s="127"/>
      <c r="L175" s="127"/>
      <c r="M175" s="144">
        <v>770</v>
      </c>
      <c r="N175" s="129">
        <v>10.404999999999999</v>
      </c>
      <c r="O175" s="129">
        <v>10.404999999999999</v>
      </c>
      <c r="P175" s="129" t="s">
        <v>116</v>
      </c>
      <c r="Q175" s="130" t="s">
        <v>1370</v>
      </c>
      <c r="R175" s="131"/>
      <c r="S175" s="131"/>
      <c r="T175" s="132">
        <v>44620</v>
      </c>
      <c r="U175" s="132">
        <v>44620</v>
      </c>
      <c r="V175" s="132"/>
      <c r="W175" s="132"/>
      <c r="X175" s="132"/>
      <c r="Y175" s="133" t="s">
        <v>1366</v>
      </c>
      <c r="Z175" s="126" t="s">
        <v>64</v>
      </c>
      <c r="AA175" s="134" t="s">
        <v>154</v>
      </c>
      <c r="AB175" s="134" t="s">
        <v>1330</v>
      </c>
      <c r="AC175" s="134"/>
      <c r="AD175" s="134">
        <v>44554</v>
      </c>
      <c r="AE175" s="134"/>
      <c r="AF175" s="134">
        <f t="shared" ca="1" si="13"/>
        <v>44963</v>
      </c>
      <c r="AG175" s="126">
        <f t="shared" ca="1" si="14"/>
        <v>409</v>
      </c>
      <c r="AH175" s="126" t="str">
        <f t="shared" si="15"/>
        <v/>
      </c>
      <c r="AI175" s="134"/>
      <c r="AJ175" s="143" t="s">
        <v>1430</v>
      </c>
      <c r="AK175" s="129">
        <v>10.404999999999999</v>
      </c>
      <c r="AL175" s="129">
        <v>10.414999999999999</v>
      </c>
      <c r="AM175" s="129">
        <v>10.439999999999998</v>
      </c>
      <c r="AN175" s="129">
        <v>10.444999999999999</v>
      </c>
      <c r="AO175" s="126">
        <f t="shared" ca="1" si="16"/>
        <v>343</v>
      </c>
      <c r="AR175" s="99" t="s">
        <v>136</v>
      </c>
      <c r="AS175" s="281" t="str">
        <f>LEFT(RIGHT(C175,LEN(C175)-MIN(SEARCH({0,1,2,3,4,5,6,7,8,9},C175&amp;"0123456789"))+1),2)</f>
        <v>28</v>
      </c>
      <c r="AT175" s="99">
        <v>3</v>
      </c>
      <c r="AU175" s="99" t="str">
        <f>LEFT(RIGHT(C175,LEN(C175)-MIN(SEARCH({0,1,2,3,4,5,6,7,8,9},C175&amp;"0123456789"))+1),5)</f>
        <v>28.02</v>
      </c>
      <c r="AV175" s="99" t="str">
        <f t="shared" si="17"/>
        <v>MI</v>
      </c>
    </row>
    <row r="176" spans="1:59" s="99" customFormat="1" ht="21" customHeight="1" x14ac:dyDescent="0.35">
      <c r="A176" s="99">
        <v>424</v>
      </c>
      <c r="B176" s="126" t="str">
        <f t="shared" si="12"/>
        <v>0-304L/FH-001X770</v>
      </c>
      <c r="C176" s="126" t="s">
        <v>3022</v>
      </c>
      <c r="D176" s="126" t="s">
        <v>13</v>
      </c>
      <c r="E176" s="143" t="s">
        <v>1431</v>
      </c>
      <c r="F176" s="143" t="s">
        <v>1432</v>
      </c>
      <c r="G176" s="126" t="s">
        <v>230</v>
      </c>
      <c r="H176" s="126" t="s">
        <v>65</v>
      </c>
      <c r="I176" s="127">
        <v>2.98</v>
      </c>
      <c r="J176" s="127">
        <v>1</v>
      </c>
      <c r="K176" s="127"/>
      <c r="L176" s="127"/>
      <c r="M176" s="144">
        <v>770</v>
      </c>
      <c r="N176" s="129">
        <v>10.41</v>
      </c>
      <c r="O176" s="129">
        <v>10.41</v>
      </c>
      <c r="P176" s="129" t="s">
        <v>116</v>
      </c>
      <c r="Q176" s="130" t="s">
        <v>1370</v>
      </c>
      <c r="R176" s="131"/>
      <c r="S176" s="131"/>
      <c r="T176" s="132">
        <v>44620</v>
      </c>
      <c r="U176" s="132">
        <v>44620</v>
      </c>
      <c r="V176" s="132"/>
      <c r="W176" s="132"/>
      <c r="X176" s="132"/>
      <c r="Y176" s="133" t="s">
        <v>1366</v>
      </c>
      <c r="Z176" s="126" t="s">
        <v>64</v>
      </c>
      <c r="AA176" s="134" t="s">
        <v>154</v>
      </c>
      <c r="AB176" s="134" t="s">
        <v>1330</v>
      </c>
      <c r="AC176" s="134"/>
      <c r="AD176" s="134">
        <v>44554</v>
      </c>
      <c r="AE176" s="134"/>
      <c r="AF176" s="134">
        <f t="shared" ca="1" si="13"/>
        <v>44963</v>
      </c>
      <c r="AG176" s="126">
        <f t="shared" ca="1" si="14"/>
        <v>409</v>
      </c>
      <c r="AH176" s="126" t="str">
        <f t="shared" si="15"/>
        <v/>
      </c>
      <c r="AI176" s="134"/>
      <c r="AJ176" s="143" t="s">
        <v>1430</v>
      </c>
      <c r="AK176" s="129">
        <v>10.41</v>
      </c>
      <c r="AL176" s="129">
        <v>10.42</v>
      </c>
      <c r="AM176" s="129">
        <v>10.444999999999999</v>
      </c>
      <c r="AN176" s="129">
        <v>10.45</v>
      </c>
      <c r="AO176" s="126">
        <f t="shared" ca="1" si="16"/>
        <v>343</v>
      </c>
      <c r="AR176" s="99" t="s">
        <v>136</v>
      </c>
      <c r="AS176" s="281" t="str">
        <f>LEFT(RIGHT(C176,LEN(C176)-MIN(SEARCH({0,1,2,3,4,5,6,7,8,9},C176&amp;"0123456789"))+1),2)</f>
        <v>28</v>
      </c>
      <c r="AT176" s="99">
        <v>3</v>
      </c>
      <c r="AU176" s="99" t="str">
        <f>LEFT(RIGHT(C176,LEN(C176)-MIN(SEARCH({0,1,2,3,4,5,6,7,8,9},C176&amp;"0123456789"))+1),5)</f>
        <v>28.02</v>
      </c>
      <c r="AV176" s="99" t="str">
        <f t="shared" si="17"/>
        <v>MI</v>
      </c>
    </row>
    <row r="177" spans="1:48" s="99" customFormat="1" ht="21" customHeight="1" x14ac:dyDescent="0.35">
      <c r="A177" s="99">
        <v>424</v>
      </c>
      <c r="B177" s="126" t="str">
        <f t="shared" si="12"/>
        <v>0-304L/FH-002X773</v>
      </c>
      <c r="C177" s="126" t="s">
        <v>3022</v>
      </c>
      <c r="D177" s="126" t="s">
        <v>13</v>
      </c>
      <c r="E177" s="143" t="s">
        <v>1551</v>
      </c>
      <c r="F177" s="143" t="s">
        <v>1552</v>
      </c>
      <c r="G177" s="126" t="s">
        <v>230</v>
      </c>
      <c r="H177" s="126" t="s">
        <v>65</v>
      </c>
      <c r="I177" s="127">
        <v>3.8</v>
      </c>
      <c r="J177" s="127">
        <v>2</v>
      </c>
      <c r="K177" s="127"/>
      <c r="L177" s="127"/>
      <c r="M177" s="144">
        <v>773</v>
      </c>
      <c r="N177" s="129">
        <v>10.234999999999999</v>
      </c>
      <c r="O177" s="129">
        <v>10.234999999999999</v>
      </c>
      <c r="P177" s="129" t="s">
        <v>116</v>
      </c>
      <c r="Q177" s="130" t="s">
        <v>1365</v>
      </c>
      <c r="R177" s="131"/>
      <c r="S177" s="131"/>
      <c r="T177" s="132">
        <v>44619</v>
      </c>
      <c r="U177" s="132">
        <v>44620</v>
      </c>
      <c r="V177" s="132"/>
      <c r="W177" s="132"/>
      <c r="X177" s="132"/>
      <c r="Y177" s="133" t="s">
        <v>1366</v>
      </c>
      <c r="Z177" s="126" t="s">
        <v>64</v>
      </c>
      <c r="AA177" s="134" t="s">
        <v>154</v>
      </c>
      <c r="AB177" s="134" t="s">
        <v>1516</v>
      </c>
      <c r="AC177" s="134"/>
      <c r="AD177" s="134">
        <v>44554</v>
      </c>
      <c r="AE177" s="134"/>
      <c r="AF177" s="134">
        <f t="shared" ca="1" si="13"/>
        <v>44963</v>
      </c>
      <c r="AG177" s="126">
        <f t="shared" ca="1" si="14"/>
        <v>409</v>
      </c>
      <c r="AH177" s="126" t="str">
        <f t="shared" si="15"/>
        <v/>
      </c>
      <c r="AI177" s="134"/>
      <c r="AJ177" s="143" t="s">
        <v>1550</v>
      </c>
      <c r="AK177" s="129">
        <v>10.234999999999999</v>
      </c>
      <c r="AL177" s="129">
        <v>10.244999999999999</v>
      </c>
      <c r="AM177" s="129">
        <v>10.269999999999998</v>
      </c>
      <c r="AN177" s="129">
        <v>10.274999999999999</v>
      </c>
      <c r="AO177" s="126">
        <f t="shared" ca="1" si="16"/>
        <v>343</v>
      </c>
      <c r="AR177" s="99" t="s">
        <v>136</v>
      </c>
      <c r="AS177" s="281" t="str">
        <f>LEFT(RIGHT(C177,LEN(C177)-MIN(SEARCH({0,1,2,3,4,5,6,7,8,9},C177&amp;"0123456789"))+1),2)</f>
        <v>28</v>
      </c>
      <c r="AT177" s="99">
        <v>3</v>
      </c>
      <c r="AU177" s="99" t="str">
        <f>LEFT(RIGHT(C177,LEN(C177)-MIN(SEARCH({0,1,2,3,4,5,6,7,8,9},C177&amp;"0123456789"))+1),5)</f>
        <v>28.02</v>
      </c>
      <c r="AV177" s="99" t="str">
        <f t="shared" si="17"/>
        <v>MI</v>
      </c>
    </row>
    <row r="178" spans="1:48" s="99" customFormat="1" ht="21" customHeight="1" x14ac:dyDescent="0.35">
      <c r="A178" s="99">
        <v>424</v>
      </c>
      <c r="B178" s="126" t="str">
        <f t="shared" si="12"/>
        <v>0-304L/FH-001X768</v>
      </c>
      <c r="C178" s="126" t="s">
        <v>3022</v>
      </c>
      <c r="D178" s="126" t="s">
        <v>13</v>
      </c>
      <c r="E178" s="143" t="s">
        <v>1481</v>
      </c>
      <c r="F178" s="143" t="s">
        <v>1482</v>
      </c>
      <c r="G178" s="126" t="s">
        <v>230</v>
      </c>
      <c r="H178" s="126" t="s">
        <v>65</v>
      </c>
      <c r="I178" s="127">
        <v>3.45</v>
      </c>
      <c r="J178" s="127">
        <v>1</v>
      </c>
      <c r="K178" s="127"/>
      <c r="L178" s="127"/>
      <c r="M178" s="144">
        <v>768</v>
      </c>
      <c r="N178" s="129">
        <v>12.23</v>
      </c>
      <c r="O178" s="129">
        <v>12.23</v>
      </c>
      <c r="P178" s="129" t="s">
        <v>116</v>
      </c>
      <c r="Q178" s="130" t="s">
        <v>1370</v>
      </c>
      <c r="R178" s="131"/>
      <c r="S178" s="131"/>
      <c r="T178" s="132">
        <v>44619</v>
      </c>
      <c r="U178" s="132">
        <v>44620</v>
      </c>
      <c r="V178" s="132"/>
      <c r="W178" s="132"/>
      <c r="X178" s="132"/>
      <c r="Y178" s="133" t="s">
        <v>1366</v>
      </c>
      <c r="Z178" s="126" t="s">
        <v>64</v>
      </c>
      <c r="AA178" s="134" t="s">
        <v>154</v>
      </c>
      <c r="AB178" s="134" t="s">
        <v>1330</v>
      </c>
      <c r="AC178" s="134"/>
      <c r="AD178" s="134">
        <v>44554</v>
      </c>
      <c r="AE178" s="134"/>
      <c r="AF178" s="134">
        <f t="shared" ca="1" si="13"/>
        <v>44963</v>
      </c>
      <c r="AG178" s="126">
        <f t="shared" ca="1" si="14"/>
        <v>409</v>
      </c>
      <c r="AH178" s="126" t="str">
        <f t="shared" si="15"/>
        <v/>
      </c>
      <c r="AI178" s="134"/>
      <c r="AJ178" s="143" t="s">
        <v>1480</v>
      </c>
      <c r="AK178" s="129">
        <v>12.23</v>
      </c>
      <c r="AL178" s="129">
        <v>12.24</v>
      </c>
      <c r="AM178" s="129">
        <v>12.264999999999999</v>
      </c>
      <c r="AN178" s="129">
        <v>12.27</v>
      </c>
      <c r="AO178" s="126">
        <f t="shared" ca="1" si="16"/>
        <v>343</v>
      </c>
      <c r="AR178" s="99" t="s">
        <v>136</v>
      </c>
      <c r="AS178" s="281" t="str">
        <f>LEFT(RIGHT(C178,LEN(C178)-MIN(SEARCH({0,1,2,3,4,5,6,7,8,9},C178&amp;"0123456789"))+1),2)</f>
        <v>28</v>
      </c>
      <c r="AT178" s="99">
        <v>3</v>
      </c>
      <c r="AU178" s="99" t="str">
        <f>LEFT(RIGHT(C178,LEN(C178)-MIN(SEARCH({0,1,2,3,4,5,6,7,8,9},C178&amp;"0123456789"))+1),5)</f>
        <v>28.02</v>
      </c>
      <c r="AV178" s="99" t="str">
        <f t="shared" si="17"/>
        <v>MI</v>
      </c>
    </row>
    <row r="180" spans="1:48" x14ac:dyDescent="0.35">
      <c r="M180" s="275"/>
    </row>
    <row r="181" spans="1:48" x14ac:dyDescent="0.35">
      <c r="M181" s="275"/>
    </row>
    <row r="182" spans="1:48" x14ac:dyDescent="0.35">
      <c r="M182" s="275"/>
    </row>
    <row r="183" spans="1:48" x14ac:dyDescent="0.35">
      <c r="M183" s="275"/>
    </row>
    <row r="185" spans="1:48" x14ac:dyDescent="0.35">
      <c r="Q185" s="275"/>
    </row>
    <row r="247" spans="9:17" x14ac:dyDescent="0.35">
      <c r="I247" s="260"/>
      <c r="J247" s="260"/>
      <c r="K247" s="260"/>
      <c r="L247" s="260"/>
      <c r="M247" s="260"/>
      <c r="N247" s="260"/>
      <c r="P247" s="260"/>
      <c r="Q247" s="260"/>
    </row>
    <row r="256" spans="9:17" x14ac:dyDescent="0.35">
      <c r="I256" s="260"/>
      <c r="J256" s="260"/>
      <c r="K256" s="260"/>
      <c r="L256" s="260"/>
      <c r="M256" s="260"/>
      <c r="N256" s="260"/>
      <c r="O256" s="260"/>
      <c r="P256" s="260"/>
      <c r="Q256" s="260"/>
    </row>
  </sheetData>
  <autoFilter ref="A3:AG3" xr:uid="{00000000-0009-0000-0000-000001000000}"/>
  <pageMargins left="0.7" right="0.7" top="0.75" bottom="0.75" header="0.3" footer="0.3"/>
  <pageSetup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DA5B-0827-49D8-96DB-EC8718153A6D}">
  <dimension ref="A1:BG283"/>
  <sheetViews>
    <sheetView topLeftCell="D1" zoomScale="83" zoomScaleNormal="70" workbookViewId="0">
      <pane ySplit="3" topLeftCell="A280" activePane="bottomLeft" state="frozen"/>
      <selection activeCell="J367" sqref="J367"/>
      <selection pane="bottomLeft" activeCell="M290" sqref="M290"/>
    </sheetView>
  </sheetViews>
  <sheetFormatPr defaultColWidth="9.1796875" defaultRowHeight="14" x14ac:dyDescent="0.35"/>
  <cols>
    <col min="1" max="2" width="5.26953125" style="260" customWidth="1"/>
    <col min="3" max="4" width="26.453125" style="260" customWidth="1"/>
    <col min="5" max="5" width="20.453125" style="260" bestFit="1" customWidth="1"/>
    <col min="6" max="6" width="18.1796875" style="260" customWidth="1"/>
    <col min="7" max="7" width="9.7265625" style="260" customWidth="1"/>
    <col min="8" max="8" width="9.1796875" style="260"/>
    <col min="9" max="9" width="12.453125" style="274" customWidth="1"/>
    <col min="10" max="10" width="9.7265625" style="275" customWidth="1"/>
    <col min="11" max="12" width="12.81640625" style="276" customWidth="1"/>
    <col min="13" max="13" width="12.453125" style="274" customWidth="1"/>
    <col min="14" max="17" width="14.26953125" style="274" customWidth="1"/>
    <col min="18" max="19" width="12.453125" style="274" customWidth="1"/>
    <col min="20" max="20" width="35" style="278" customWidth="1"/>
    <col min="21" max="21" width="14" style="278" customWidth="1"/>
    <col min="22" max="22" width="23.26953125" style="260" customWidth="1"/>
    <col min="23" max="23" width="12.54296875" style="260" customWidth="1"/>
    <col min="24" max="24" width="15" style="260" customWidth="1"/>
    <col min="25" max="25" width="13" style="260" customWidth="1"/>
    <col min="26" max="26" width="13.81640625" style="260" customWidth="1"/>
    <col min="27" max="27" width="14.1796875" style="260" customWidth="1"/>
    <col min="28" max="28" width="14.54296875" style="260" customWidth="1"/>
    <col min="29" max="29" width="9.1796875" style="260" customWidth="1"/>
    <col min="30" max="30" width="45.7265625" style="260" customWidth="1"/>
    <col min="31" max="31" width="22.81640625" style="260" customWidth="1"/>
    <col min="32" max="32" width="21.54296875" style="260" customWidth="1"/>
    <col min="33" max="33" width="13" style="260" customWidth="1"/>
    <col min="34" max="34" width="13.453125" style="260" customWidth="1"/>
    <col min="35" max="35" width="13.81640625" style="260" customWidth="1"/>
    <col min="36" max="37" width="9.1796875" style="260" customWidth="1"/>
    <col min="38" max="38" width="18" style="260" customWidth="1"/>
    <col min="39" max="43" width="12.453125" style="260" customWidth="1"/>
    <col min="44" max="57" width="9.1796875" style="260" customWidth="1"/>
    <col min="58" max="16384" width="9.1796875" style="260"/>
  </cols>
  <sheetData>
    <row r="1" spans="1:59" ht="20" x14ac:dyDescent="0.35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9"/>
      <c r="U1" s="259"/>
      <c r="W1" s="258"/>
      <c r="X1" s="258"/>
    </row>
    <row r="3" spans="1:59" ht="42" x14ac:dyDescent="0.35">
      <c r="A3" s="261" t="s">
        <v>2541</v>
      </c>
      <c r="B3" s="109" t="s">
        <v>69</v>
      </c>
      <c r="C3" s="110" t="s">
        <v>4</v>
      </c>
      <c r="D3" s="111" t="s">
        <v>2542</v>
      </c>
      <c r="E3" s="261" t="s">
        <v>71</v>
      </c>
      <c r="F3" s="261" t="s">
        <v>72</v>
      </c>
      <c r="G3" s="261" t="s">
        <v>73</v>
      </c>
      <c r="H3" s="261" t="s">
        <v>74</v>
      </c>
      <c r="I3" s="262" t="s">
        <v>2543</v>
      </c>
      <c r="J3" s="262" t="s">
        <v>76</v>
      </c>
      <c r="K3" s="263" t="s">
        <v>2544</v>
      </c>
      <c r="L3" s="263" t="s">
        <v>2545</v>
      </c>
      <c r="M3" s="264" t="s">
        <v>79</v>
      </c>
      <c r="N3" s="265" t="s">
        <v>80</v>
      </c>
      <c r="O3" s="262" t="s">
        <v>2546</v>
      </c>
      <c r="P3" s="283" t="s">
        <v>3023</v>
      </c>
      <c r="Q3" s="283" t="s">
        <v>8</v>
      </c>
      <c r="R3" s="262"/>
      <c r="S3" s="262" t="s">
        <v>3024</v>
      </c>
      <c r="T3" s="262" t="s">
        <v>83</v>
      </c>
      <c r="U3" s="262"/>
      <c r="V3" s="262"/>
      <c r="W3" s="266" t="s">
        <v>2548</v>
      </c>
      <c r="X3" s="267" t="s">
        <v>2549</v>
      </c>
      <c r="Y3" s="268" t="s">
        <v>2550</v>
      </c>
      <c r="Z3" s="269" t="s">
        <v>2551</v>
      </c>
      <c r="AA3" s="270" t="s">
        <v>2552</v>
      </c>
      <c r="AB3" s="262" t="s">
        <v>86</v>
      </c>
      <c r="AC3" s="262"/>
      <c r="AD3" s="261" t="s">
        <v>88</v>
      </c>
      <c r="AE3" s="261" t="s">
        <v>89</v>
      </c>
      <c r="AF3" s="271" t="s">
        <v>90</v>
      </c>
      <c r="AG3" s="271" t="s">
        <v>91</v>
      </c>
      <c r="AH3" s="271" t="s">
        <v>2553</v>
      </c>
      <c r="AI3" s="271" t="s">
        <v>2554</v>
      </c>
      <c r="AJ3" s="271" t="s">
        <v>2555</v>
      </c>
      <c r="AK3" s="271" t="s">
        <v>93</v>
      </c>
      <c r="AL3" s="261" t="s">
        <v>95</v>
      </c>
      <c r="AM3" s="261" t="s">
        <v>96</v>
      </c>
      <c r="AN3" s="272" t="s">
        <v>2556</v>
      </c>
      <c r="AO3" s="272" t="s">
        <v>2557</v>
      </c>
      <c r="AP3" s="272" t="s">
        <v>2977</v>
      </c>
      <c r="AQ3" s="272" t="s">
        <v>2559</v>
      </c>
    </row>
    <row r="4" spans="1:59" s="99" customFormat="1" ht="21" customHeight="1" x14ac:dyDescent="0.35">
      <c r="A4" s="99">
        <v>422</v>
      </c>
      <c r="B4" s="126" t="str">
        <f t="shared" ref="B4:B52" si="0">IF(C4="HOLD RM","HOLD RM",IF(C4="BAL","WIP",IF(C4="HOLD SLT","HOLD SLT",IF(C4="MILL","RM",IF(C4="RE SLT","WIP",IF(C4="RM","RM",IF(C4="RM BAL","RM",IF(C4="RM SLT","RM",IF(C4="RR","WIP",IF(C4="SKP","WIP",IF(C4="SLT","WIP",IF(C4="CTL","WIP",IF(C4="RM SLT RUST","RM SLT RUST",0)))))))))))))&amp;"-"&amp;G4&amp;"/"&amp;IF(H4="2B","2B",IF(H4="NO.1","1D",IF(H4="FH","FH",0)))&amp;"-"&amp;IF(J4="",(TEXT(I4,"0.00")),TEXT(J4,"0.00"))&amp;"X"&amp;M4</f>
        <v>0-304/2B-001X772</v>
      </c>
      <c r="C4" s="126" t="s">
        <v>3025</v>
      </c>
      <c r="D4" s="126" t="s">
        <v>3026</v>
      </c>
      <c r="E4" s="143" t="s">
        <v>3027</v>
      </c>
      <c r="F4" s="143" t="s">
        <v>3028</v>
      </c>
      <c r="G4" s="126">
        <v>304</v>
      </c>
      <c r="H4" s="126" t="s">
        <v>116</v>
      </c>
      <c r="I4" s="127">
        <v>3.48</v>
      </c>
      <c r="J4" s="127">
        <v>1.2</v>
      </c>
      <c r="K4" s="149">
        <v>1.17</v>
      </c>
      <c r="L4" s="149">
        <v>1.2</v>
      </c>
      <c r="M4" s="144">
        <v>772</v>
      </c>
      <c r="N4" s="129">
        <v>10.455</v>
      </c>
      <c r="O4" s="129">
        <v>10.414999999999999</v>
      </c>
      <c r="P4" s="129"/>
      <c r="Q4" s="129">
        <v>3.5000000000000001E-3</v>
      </c>
      <c r="R4" s="129" t="s">
        <v>116</v>
      </c>
      <c r="S4" s="284" t="s">
        <v>3029</v>
      </c>
      <c r="T4" s="130" t="s">
        <v>1134</v>
      </c>
      <c r="U4" s="131"/>
      <c r="V4" s="131"/>
      <c r="W4" s="132">
        <v>44575</v>
      </c>
      <c r="X4" s="132">
        <v>44575</v>
      </c>
      <c r="Y4" s="132"/>
      <c r="Z4" s="132"/>
      <c r="AA4" s="132"/>
      <c r="AB4" s="133"/>
      <c r="AC4" s="126" t="s">
        <v>64</v>
      </c>
      <c r="AD4" s="134" t="s">
        <v>154</v>
      </c>
      <c r="AE4" s="134" t="s">
        <v>1256</v>
      </c>
      <c r="AF4" s="134"/>
      <c r="AG4" s="134">
        <v>44516</v>
      </c>
      <c r="AH4" s="134"/>
      <c r="AI4" s="134">
        <f t="shared" ref="AI4:AI41" ca="1" si="1">TODAY()</f>
        <v>44963</v>
      </c>
      <c r="AJ4" s="126">
        <f t="shared" ref="AJ4:AJ41" ca="1" si="2">IF(AG4&lt;&gt;0,AI4-AG4,0)</f>
        <v>447</v>
      </c>
      <c r="AK4" s="126" t="str">
        <f t="shared" ref="AK4:AK67" si="3">IF(ISNUMBER(Y4)=TRUE,AI4-Y4,IF(Y4="","",(AI4)-(MID(RIGHT(Y4,10),4,2)&amp;"/"&amp;LEFT((RIGHT(Y4,10)),2)&amp;"/"&amp;RIGHT(Y4,4))))</f>
        <v/>
      </c>
      <c r="AL4" s="134"/>
      <c r="AM4" s="143" t="s">
        <v>2622</v>
      </c>
      <c r="AN4" s="129">
        <v>10.435</v>
      </c>
      <c r="AO4" s="129">
        <v>10.445</v>
      </c>
      <c r="AP4" s="129">
        <v>10.469999999999999</v>
      </c>
      <c r="AQ4" s="129">
        <v>10.475</v>
      </c>
      <c r="AR4" s="126">
        <f t="shared" ref="AR4:AR67" ca="1" si="4">IF(ISNUMBER(X4)=TRUE,AI4-X4,IF(X4="","",(AI4)-(MID(RIGHT(X4,10),4,2)&amp;"/"&amp;LEFT((RIGHT(X4,10)),2)&amp;"/"&amp;RIGHT(X4,4))))</f>
        <v>388</v>
      </c>
      <c r="AU4" s="99" t="s">
        <v>136</v>
      </c>
    </row>
    <row r="5" spans="1:59" s="99" customFormat="1" ht="21" customHeight="1" x14ac:dyDescent="0.35">
      <c r="A5" s="99">
        <v>421</v>
      </c>
      <c r="B5" s="126" t="str">
        <f t="shared" si="0"/>
        <v>0-304L/2B-001X770</v>
      </c>
      <c r="C5" s="126" t="s">
        <v>3025</v>
      </c>
      <c r="D5" s="126" t="s">
        <v>3026</v>
      </c>
      <c r="E5" s="143" t="s">
        <v>3030</v>
      </c>
      <c r="F5" s="143" t="s">
        <v>3031</v>
      </c>
      <c r="G5" s="126" t="s">
        <v>230</v>
      </c>
      <c r="H5" s="126" t="s">
        <v>116</v>
      </c>
      <c r="I5" s="127">
        <v>3.47</v>
      </c>
      <c r="J5" s="127">
        <v>1.2</v>
      </c>
      <c r="K5" s="149">
        <v>1.17</v>
      </c>
      <c r="L5" s="149">
        <v>1.19</v>
      </c>
      <c r="M5" s="144">
        <v>770</v>
      </c>
      <c r="N5" s="129">
        <v>10.365</v>
      </c>
      <c r="O5" s="129">
        <v>10.324999999999999</v>
      </c>
      <c r="P5" s="129"/>
      <c r="Q5" s="129">
        <v>7.0000000000000001E-3</v>
      </c>
      <c r="R5" s="129" t="s">
        <v>116</v>
      </c>
      <c r="S5" s="284" t="s">
        <v>3029</v>
      </c>
      <c r="T5" s="130" t="s">
        <v>1134</v>
      </c>
      <c r="U5" s="131"/>
      <c r="V5" s="131"/>
      <c r="W5" s="132">
        <v>44516</v>
      </c>
      <c r="X5" s="132">
        <v>44516</v>
      </c>
      <c r="Y5" s="132"/>
      <c r="Z5" s="132"/>
      <c r="AA5" s="132"/>
      <c r="AB5" s="133"/>
      <c r="AC5" s="126" t="s">
        <v>64</v>
      </c>
      <c r="AD5" s="134" t="s">
        <v>154</v>
      </c>
      <c r="AE5" s="134" t="s">
        <v>1190</v>
      </c>
      <c r="AF5" s="134"/>
      <c r="AG5" s="134">
        <v>44496</v>
      </c>
      <c r="AH5" s="134"/>
      <c r="AI5" s="134">
        <f t="shared" ca="1" si="1"/>
        <v>44963</v>
      </c>
      <c r="AJ5" s="126">
        <f t="shared" ca="1" si="2"/>
        <v>467</v>
      </c>
      <c r="AK5" s="126" t="str">
        <f t="shared" si="3"/>
        <v/>
      </c>
      <c r="AL5" s="134"/>
      <c r="AM5" s="143" t="s">
        <v>3032</v>
      </c>
      <c r="AN5" s="129">
        <v>10.345000000000001</v>
      </c>
      <c r="AO5" s="129">
        <v>10.355</v>
      </c>
      <c r="AP5" s="129">
        <v>10.379999999999999</v>
      </c>
      <c r="AQ5" s="129">
        <v>10.385</v>
      </c>
      <c r="AR5" s="126">
        <f t="shared" ca="1" si="4"/>
        <v>447</v>
      </c>
      <c r="AU5" s="99" t="s">
        <v>136</v>
      </c>
      <c r="BG5" s="99" t="s">
        <v>3033</v>
      </c>
    </row>
    <row r="6" spans="1:59" s="99" customFormat="1" ht="21" customHeight="1" x14ac:dyDescent="0.35">
      <c r="A6" s="99">
        <v>422</v>
      </c>
      <c r="B6" s="126" t="str">
        <f t="shared" si="0"/>
        <v>0-304L/2B-001X767</v>
      </c>
      <c r="C6" s="126" t="s">
        <v>3034</v>
      </c>
      <c r="D6" s="126" t="s">
        <v>358</v>
      </c>
      <c r="E6" s="143" t="s">
        <v>1298</v>
      </c>
      <c r="F6" s="143" t="s">
        <v>1299</v>
      </c>
      <c r="G6" s="126" t="s">
        <v>230</v>
      </c>
      <c r="H6" s="126" t="s">
        <v>116</v>
      </c>
      <c r="I6" s="127">
        <v>3.46</v>
      </c>
      <c r="J6" s="127">
        <v>1.2</v>
      </c>
      <c r="K6" s="149">
        <v>1.1399999999999999</v>
      </c>
      <c r="L6" s="149">
        <v>1.1599999999999999</v>
      </c>
      <c r="M6" s="144">
        <v>767</v>
      </c>
      <c r="N6" s="129">
        <v>10.455</v>
      </c>
      <c r="O6" s="129">
        <v>10.435</v>
      </c>
      <c r="P6" s="129"/>
      <c r="Q6" s="129"/>
      <c r="R6" s="129" t="s">
        <v>116</v>
      </c>
      <c r="S6" s="284"/>
      <c r="T6" s="130" t="s">
        <v>291</v>
      </c>
      <c r="U6" s="130" t="s">
        <v>1134</v>
      </c>
      <c r="V6" s="131" t="s">
        <v>1300</v>
      </c>
      <c r="W6" s="132">
        <v>44575</v>
      </c>
      <c r="X6" s="132">
        <v>44576</v>
      </c>
      <c r="Y6" s="132">
        <v>44593</v>
      </c>
      <c r="Z6" s="132"/>
      <c r="AA6" s="132"/>
      <c r="AB6" s="133"/>
      <c r="AC6" s="126" t="s">
        <v>64</v>
      </c>
      <c r="AD6" s="134" t="s">
        <v>154</v>
      </c>
      <c r="AE6" s="134" t="s">
        <v>1296</v>
      </c>
      <c r="AF6" s="134"/>
      <c r="AG6" s="134">
        <v>44516</v>
      </c>
      <c r="AH6" s="134"/>
      <c r="AI6" s="134">
        <f t="shared" ca="1" si="1"/>
        <v>44963</v>
      </c>
      <c r="AJ6" s="126">
        <f t="shared" ca="1" si="2"/>
        <v>447</v>
      </c>
      <c r="AK6" s="126">
        <f t="shared" ca="1" si="3"/>
        <v>370</v>
      </c>
      <c r="AL6" s="134"/>
      <c r="AM6" s="143" t="s">
        <v>1301</v>
      </c>
      <c r="AN6" s="129">
        <v>10.475</v>
      </c>
      <c r="AO6" s="129">
        <v>10.484999999999999</v>
      </c>
      <c r="AP6" s="129">
        <v>10.509999999999998</v>
      </c>
      <c r="AQ6" s="129">
        <v>10.514999999999999</v>
      </c>
      <c r="AR6" s="126">
        <f t="shared" ca="1" si="4"/>
        <v>387</v>
      </c>
      <c r="AU6" s="99" t="s">
        <v>136</v>
      </c>
    </row>
    <row r="7" spans="1:59" s="99" customFormat="1" ht="21" customHeight="1" x14ac:dyDescent="0.35">
      <c r="A7" s="99">
        <v>422</v>
      </c>
      <c r="B7" s="126" t="str">
        <f t="shared" si="0"/>
        <v>0-304/2B-002X773</v>
      </c>
      <c r="C7" s="126" t="s">
        <v>3025</v>
      </c>
      <c r="D7" s="126" t="s">
        <v>3026</v>
      </c>
      <c r="E7" s="143" t="s">
        <v>3035</v>
      </c>
      <c r="F7" s="143" t="s">
        <v>3036</v>
      </c>
      <c r="G7" s="126">
        <v>304</v>
      </c>
      <c r="H7" s="126" t="s">
        <v>116</v>
      </c>
      <c r="I7" s="127">
        <v>3.79</v>
      </c>
      <c r="J7" s="127">
        <v>1.5</v>
      </c>
      <c r="K7" s="149">
        <v>1.5</v>
      </c>
      <c r="L7" s="149">
        <v>1.52</v>
      </c>
      <c r="M7" s="144">
        <v>773</v>
      </c>
      <c r="N7" s="129">
        <v>10.47</v>
      </c>
      <c r="O7" s="129">
        <v>10.445</v>
      </c>
      <c r="P7" s="129"/>
      <c r="Q7" s="129"/>
      <c r="R7" s="129" t="s">
        <v>116</v>
      </c>
      <c r="S7" s="284" t="s">
        <v>3029</v>
      </c>
      <c r="T7" s="130" t="s">
        <v>1134</v>
      </c>
      <c r="U7" s="131"/>
      <c r="V7" s="131"/>
      <c r="W7" s="132">
        <v>44577</v>
      </c>
      <c r="X7" s="132">
        <v>44577</v>
      </c>
      <c r="Y7" s="132"/>
      <c r="Z7" s="132"/>
      <c r="AA7" s="132"/>
      <c r="AB7" s="133"/>
      <c r="AC7" s="126" t="s">
        <v>64</v>
      </c>
      <c r="AD7" s="134" t="s">
        <v>154</v>
      </c>
      <c r="AE7" s="134" t="s">
        <v>1296</v>
      </c>
      <c r="AF7" s="134"/>
      <c r="AG7" s="134">
        <v>44516</v>
      </c>
      <c r="AH7" s="134"/>
      <c r="AI7" s="134">
        <f t="shared" ca="1" si="1"/>
        <v>44963</v>
      </c>
      <c r="AJ7" s="126">
        <f t="shared" ca="1" si="2"/>
        <v>447</v>
      </c>
      <c r="AK7" s="126" t="str">
        <f t="shared" si="3"/>
        <v/>
      </c>
      <c r="AL7" s="134"/>
      <c r="AM7" s="143" t="s">
        <v>3037</v>
      </c>
      <c r="AN7" s="129">
        <v>10.465</v>
      </c>
      <c r="AO7" s="129">
        <v>10.475</v>
      </c>
      <c r="AP7" s="129">
        <v>10.499999999999998</v>
      </c>
      <c r="AQ7" s="129">
        <v>10.504999999999999</v>
      </c>
      <c r="AR7" s="126">
        <f t="shared" ca="1" si="4"/>
        <v>386</v>
      </c>
      <c r="AU7" s="99" t="s">
        <v>136</v>
      </c>
    </row>
    <row r="8" spans="1:59" s="99" customFormat="1" ht="21" customHeight="1" x14ac:dyDescent="0.35">
      <c r="A8" s="99">
        <v>421</v>
      </c>
      <c r="B8" s="126" t="str">
        <f t="shared" si="0"/>
        <v>0-304/2B-001X770</v>
      </c>
      <c r="C8" s="126" t="s">
        <v>3025</v>
      </c>
      <c r="D8" s="126" t="s">
        <v>3026</v>
      </c>
      <c r="E8" s="143" t="s">
        <v>3038</v>
      </c>
      <c r="F8" s="143" t="s">
        <v>3039</v>
      </c>
      <c r="G8" s="126">
        <v>304</v>
      </c>
      <c r="H8" s="126" t="s">
        <v>116</v>
      </c>
      <c r="I8" s="127">
        <v>3.19</v>
      </c>
      <c r="J8" s="127">
        <v>1.2</v>
      </c>
      <c r="K8" s="149">
        <v>1.2</v>
      </c>
      <c r="L8" s="149">
        <v>1.22</v>
      </c>
      <c r="M8" s="144">
        <v>770</v>
      </c>
      <c r="N8" s="129">
        <v>10.385</v>
      </c>
      <c r="O8" s="129">
        <v>10.36</v>
      </c>
      <c r="P8" s="129"/>
      <c r="Q8" s="129"/>
      <c r="R8" s="129" t="s">
        <v>116</v>
      </c>
      <c r="S8" s="284" t="s">
        <v>3029</v>
      </c>
      <c r="T8" s="130" t="s">
        <v>1134</v>
      </c>
      <c r="U8" s="131"/>
      <c r="V8" s="131"/>
      <c r="W8" s="132">
        <v>44578</v>
      </c>
      <c r="X8" s="132">
        <v>44578</v>
      </c>
      <c r="Y8" s="132"/>
      <c r="Z8" s="132"/>
      <c r="AA8" s="132"/>
      <c r="AB8" s="133"/>
      <c r="AC8" s="126" t="s">
        <v>64</v>
      </c>
      <c r="AD8" s="134" t="s">
        <v>154</v>
      </c>
      <c r="AE8" s="134" t="s">
        <v>1256</v>
      </c>
      <c r="AF8" s="134"/>
      <c r="AG8" s="134">
        <v>44496</v>
      </c>
      <c r="AH8" s="134"/>
      <c r="AI8" s="134">
        <f t="shared" ca="1" si="1"/>
        <v>44963</v>
      </c>
      <c r="AJ8" s="126">
        <f t="shared" ca="1" si="2"/>
        <v>467</v>
      </c>
      <c r="AK8" s="126" t="str">
        <f t="shared" si="3"/>
        <v/>
      </c>
      <c r="AL8" s="134"/>
      <c r="AM8" s="143" t="s">
        <v>3040</v>
      </c>
      <c r="AN8" s="129">
        <v>10.375</v>
      </c>
      <c r="AO8" s="129">
        <v>10.385</v>
      </c>
      <c r="AP8" s="129">
        <v>10.409999999999998</v>
      </c>
      <c r="AQ8" s="129">
        <v>10.414999999999999</v>
      </c>
      <c r="AR8" s="126">
        <f t="shared" ca="1" si="4"/>
        <v>385</v>
      </c>
      <c r="AU8" s="99" t="s">
        <v>136</v>
      </c>
    </row>
    <row r="9" spans="1:59" s="99" customFormat="1" ht="21" customHeight="1" x14ac:dyDescent="0.35">
      <c r="A9" s="99">
        <v>422</v>
      </c>
      <c r="B9" s="126" t="str">
        <f t="shared" si="0"/>
        <v>0-304/2B-002X770</v>
      </c>
      <c r="C9" s="126" t="s">
        <v>3025</v>
      </c>
      <c r="D9" s="126" t="s">
        <v>3026</v>
      </c>
      <c r="E9" s="143" t="s">
        <v>3041</v>
      </c>
      <c r="F9" s="143" t="s">
        <v>3042</v>
      </c>
      <c r="G9" s="126">
        <v>304</v>
      </c>
      <c r="H9" s="126" t="s">
        <v>116</v>
      </c>
      <c r="I9" s="127">
        <v>3.8</v>
      </c>
      <c r="J9" s="127">
        <v>1.5</v>
      </c>
      <c r="K9" s="149">
        <v>1.49</v>
      </c>
      <c r="L9" s="149">
        <v>1.5</v>
      </c>
      <c r="M9" s="144">
        <v>770</v>
      </c>
      <c r="N9" s="129">
        <v>10.44</v>
      </c>
      <c r="O9" s="129">
        <v>10.425000000000001</v>
      </c>
      <c r="P9" s="129"/>
      <c r="Q9" s="129"/>
      <c r="R9" s="129" t="s">
        <v>116</v>
      </c>
      <c r="S9" s="284" t="s">
        <v>3029</v>
      </c>
      <c r="T9" s="130" t="s">
        <v>1134</v>
      </c>
      <c r="U9" s="131"/>
      <c r="V9" s="131"/>
      <c r="W9" s="132">
        <v>44576</v>
      </c>
      <c r="X9" s="132">
        <v>44576</v>
      </c>
      <c r="Y9" s="132"/>
      <c r="Z9" s="132"/>
      <c r="AA9" s="132"/>
      <c r="AB9" s="133"/>
      <c r="AC9" s="126" t="s">
        <v>64</v>
      </c>
      <c r="AD9" s="134" t="s">
        <v>154</v>
      </c>
      <c r="AE9" s="134" t="s">
        <v>1296</v>
      </c>
      <c r="AF9" s="134"/>
      <c r="AG9" s="134">
        <v>44516</v>
      </c>
      <c r="AH9" s="134"/>
      <c r="AI9" s="134">
        <f t="shared" ca="1" si="1"/>
        <v>44963</v>
      </c>
      <c r="AJ9" s="126">
        <f t="shared" ca="1" si="2"/>
        <v>447</v>
      </c>
      <c r="AK9" s="126" t="str">
        <f t="shared" si="3"/>
        <v/>
      </c>
      <c r="AL9" s="134"/>
      <c r="AM9" s="143" t="s">
        <v>3043</v>
      </c>
      <c r="AN9" s="129">
        <v>10.445</v>
      </c>
      <c r="AO9" s="129">
        <v>10.455</v>
      </c>
      <c r="AP9" s="129">
        <v>10.479999999999999</v>
      </c>
      <c r="AQ9" s="129">
        <v>10.484999999999999</v>
      </c>
      <c r="AR9" s="126">
        <f t="shared" ca="1" si="4"/>
        <v>387</v>
      </c>
      <c r="AU9" s="99" t="s">
        <v>136</v>
      </c>
    </row>
    <row r="10" spans="1:59" s="99" customFormat="1" ht="21" customHeight="1" x14ac:dyDescent="0.35">
      <c r="A10" s="99">
        <v>422</v>
      </c>
      <c r="B10" s="126" t="str">
        <f t="shared" si="0"/>
        <v>0-304L/2B-001X767</v>
      </c>
      <c r="C10" s="126" t="s">
        <v>3025</v>
      </c>
      <c r="D10" s="126" t="s">
        <v>3026</v>
      </c>
      <c r="E10" s="143" t="s">
        <v>3044</v>
      </c>
      <c r="F10" s="143" t="s">
        <v>3045</v>
      </c>
      <c r="G10" s="126" t="s">
        <v>230</v>
      </c>
      <c r="H10" s="126" t="s">
        <v>116</v>
      </c>
      <c r="I10" s="127">
        <v>3.22</v>
      </c>
      <c r="J10" s="127">
        <v>1.2</v>
      </c>
      <c r="K10" s="149">
        <v>1.2</v>
      </c>
      <c r="L10" s="149">
        <v>1.22</v>
      </c>
      <c r="M10" s="144">
        <v>767</v>
      </c>
      <c r="N10" s="129">
        <v>11.67</v>
      </c>
      <c r="O10" s="129">
        <f>3.975+4+3.63</f>
        <v>11.605</v>
      </c>
      <c r="P10" s="129"/>
      <c r="Q10" s="129">
        <v>7.0000000000000001E-3</v>
      </c>
      <c r="R10" s="129" t="s">
        <v>116</v>
      </c>
      <c r="S10" s="284" t="s">
        <v>3046</v>
      </c>
      <c r="T10" s="130" t="s">
        <v>3047</v>
      </c>
      <c r="U10" s="131"/>
      <c r="V10" s="131"/>
      <c r="W10" s="132">
        <v>44578</v>
      </c>
      <c r="X10" s="132">
        <v>44578</v>
      </c>
      <c r="Y10" s="132"/>
      <c r="Z10" s="132"/>
      <c r="AA10" s="132"/>
      <c r="AB10" s="133"/>
      <c r="AC10" s="126" t="s">
        <v>64</v>
      </c>
      <c r="AD10" s="134" t="s">
        <v>154</v>
      </c>
      <c r="AE10" s="134" t="s">
        <v>1330</v>
      </c>
      <c r="AF10" s="134"/>
      <c r="AG10" s="134">
        <v>44516</v>
      </c>
      <c r="AH10" s="134"/>
      <c r="AI10" s="134">
        <f t="shared" ca="1" si="1"/>
        <v>44963</v>
      </c>
      <c r="AJ10" s="126">
        <f t="shared" ca="1" si="2"/>
        <v>447</v>
      </c>
      <c r="AK10" s="126" t="str">
        <f t="shared" si="3"/>
        <v/>
      </c>
      <c r="AL10" s="134"/>
      <c r="AM10" s="143" t="s">
        <v>2893</v>
      </c>
      <c r="AN10" s="129">
        <v>11.664999999999999</v>
      </c>
      <c r="AO10" s="129">
        <v>11.675000000000001</v>
      </c>
      <c r="AP10" s="129">
        <v>11.7</v>
      </c>
      <c r="AQ10" s="129">
        <v>11.705</v>
      </c>
      <c r="AR10" s="126">
        <f t="shared" ca="1" si="4"/>
        <v>385</v>
      </c>
      <c r="AU10" s="99" t="s">
        <v>136</v>
      </c>
    </row>
    <row r="11" spans="1:59" s="99" customFormat="1" ht="21" customHeight="1" x14ac:dyDescent="0.35">
      <c r="A11" s="99">
        <v>422</v>
      </c>
      <c r="B11" s="126" t="str">
        <f t="shared" si="0"/>
        <v>0-304/2B-001X776</v>
      </c>
      <c r="C11" s="126" t="s">
        <v>3025</v>
      </c>
      <c r="D11" s="126" t="s">
        <v>3026</v>
      </c>
      <c r="E11" s="143" t="s">
        <v>3048</v>
      </c>
      <c r="F11" s="143" t="s">
        <v>3049</v>
      </c>
      <c r="G11" s="126">
        <v>304</v>
      </c>
      <c r="H11" s="126" t="s">
        <v>116</v>
      </c>
      <c r="I11" s="127">
        <v>3.01</v>
      </c>
      <c r="J11" s="127">
        <v>0.9</v>
      </c>
      <c r="K11" s="149">
        <v>0.87</v>
      </c>
      <c r="L11" s="149">
        <v>0.89</v>
      </c>
      <c r="M11" s="144">
        <v>776</v>
      </c>
      <c r="N11" s="129">
        <v>10.56</v>
      </c>
      <c r="O11" s="129">
        <f>5.115+5.39</f>
        <v>10.504999999999999</v>
      </c>
      <c r="P11" s="129"/>
      <c r="Q11" s="129">
        <v>1.0999999999999999E-2</v>
      </c>
      <c r="R11" s="129" t="s">
        <v>116</v>
      </c>
      <c r="S11" s="284" t="s">
        <v>3046</v>
      </c>
      <c r="T11" s="130" t="s">
        <v>3047</v>
      </c>
      <c r="U11" s="131"/>
      <c r="V11" s="131"/>
      <c r="W11" s="132">
        <v>44578</v>
      </c>
      <c r="X11" s="132">
        <v>44578</v>
      </c>
      <c r="Y11" s="132"/>
      <c r="Z11" s="132"/>
      <c r="AA11" s="132"/>
      <c r="AB11" s="133"/>
      <c r="AC11" s="126" t="s">
        <v>64</v>
      </c>
      <c r="AD11" s="134" t="s">
        <v>154</v>
      </c>
      <c r="AE11" s="134" t="s">
        <v>1296</v>
      </c>
      <c r="AF11" s="134"/>
      <c r="AG11" s="134">
        <v>44516</v>
      </c>
      <c r="AH11" s="134"/>
      <c r="AI11" s="134">
        <f t="shared" ca="1" si="1"/>
        <v>44963</v>
      </c>
      <c r="AJ11" s="126">
        <f t="shared" ca="1" si="2"/>
        <v>447</v>
      </c>
      <c r="AK11" s="126" t="str">
        <f t="shared" si="3"/>
        <v/>
      </c>
      <c r="AL11" s="134"/>
      <c r="AM11" s="143" t="s">
        <v>3050</v>
      </c>
      <c r="AN11" s="129">
        <v>10.545</v>
      </c>
      <c r="AO11" s="129">
        <v>10.555</v>
      </c>
      <c r="AP11" s="129">
        <v>10.579999999999998</v>
      </c>
      <c r="AQ11" s="129">
        <v>10.584999999999999</v>
      </c>
      <c r="AR11" s="126">
        <f t="shared" ca="1" si="4"/>
        <v>385</v>
      </c>
      <c r="AU11" s="99" t="s">
        <v>136</v>
      </c>
    </row>
    <row r="12" spans="1:59" s="99" customFormat="1" ht="21" customHeight="1" x14ac:dyDescent="0.35">
      <c r="A12" s="99">
        <v>422</v>
      </c>
      <c r="B12" s="126" t="str">
        <f t="shared" si="0"/>
        <v>0-304L/2B-001X769</v>
      </c>
      <c r="C12" s="126" t="s">
        <v>3025</v>
      </c>
      <c r="D12" s="126" t="s">
        <v>3026</v>
      </c>
      <c r="E12" s="143" t="s">
        <v>3051</v>
      </c>
      <c r="F12" s="143" t="s">
        <v>3052</v>
      </c>
      <c r="G12" s="126" t="s">
        <v>230</v>
      </c>
      <c r="H12" s="126" t="s">
        <v>116</v>
      </c>
      <c r="I12" s="127">
        <v>3.2</v>
      </c>
      <c r="J12" s="127">
        <v>1.2</v>
      </c>
      <c r="K12" s="149">
        <v>1.17</v>
      </c>
      <c r="L12" s="149">
        <v>1.19</v>
      </c>
      <c r="M12" s="144">
        <v>769</v>
      </c>
      <c r="N12" s="129">
        <v>12.22</v>
      </c>
      <c r="O12" s="129">
        <f>3.965+4.015+4.175</f>
        <v>12.154999999999999</v>
      </c>
      <c r="P12" s="129"/>
      <c r="Q12" s="129">
        <v>1.4E-2</v>
      </c>
      <c r="R12" s="129" t="s">
        <v>116</v>
      </c>
      <c r="S12" s="284" t="s">
        <v>3053</v>
      </c>
      <c r="T12" s="130" t="s">
        <v>3054</v>
      </c>
      <c r="U12" s="131"/>
      <c r="V12" s="131"/>
      <c r="W12" s="132">
        <v>44578</v>
      </c>
      <c r="X12" s="132">
        <v>44578</v>
      </c>
      <c r="Y12" s="132"/>
      <c r="Z12" s="132"/>
      <c r="AA12" s="132"/>
      <c r="AB12" s="133"/>
      <c r="AC12" s="126" t="s">
        <v>64</v>
      </c>
      <c r="AD12" s="134" t="s">
        <v>154</v>
      </c>
      <c r="AE12" s="134" t="s">
        <v>1296</v>
      </c>
      <c r="AF12" s="134"/>
      <c r="AG12" s="134">
        <v>44516</v>
      </c>
      <c r="AH12" s="134"/>
      <c r="AI12" s="134">
        <f t="shared" ca="1" si="1"/>
        <v>44963</v>
      </c>
      <c r="AJ12" s="126">
        <f t="shared" ca="1" si="2"/>
        <v>447</v>
      </c>
      <c r="AK12" s="126" t="str">
        <f t="shared" si="3"/>
        <v/>
      </c>
      <c r="AL12" s="134"/>
      <c r="AM12" s="143" t="s">
        <v>3055</v>
      </c>
      <c r="AN12" s="129">
        <v>12.205</v>
      </c>
      <c r="AO12" s="129">
        <v>12.215</v>
      </c>
      <c r="AP12" s="129">
        <v>12.239999999999998</v>
      </c>
      <c r="AQ12" s="129">
        <v>12.244999999999999</v>
      </c>
      <c r="AR12" s="126">
        <f t="shared" ca="1" si="4"/>
        <v>385</v>
      </c>
      <c r="AU12" s="99" t="s">
        <v>136</v>
      </c>
    </row>
    <row r="13" spans="1:59" s="99" customFormat="1" ht="21" customHeight="1" x14ac:dyDescent="0.35">
      <c r="A13" s="99">
        <v>422</v>
      </c>
      <c r="B13" s="126" t="str">
        <f t="shared" si="0"/>
        <v>0-304/2B-001X776</v>
      </c>
      <c r="C13" s="126" t="s">
        <v>3025</v>
      </c>
      <c r="D13" s="126" t="s">
        <v>3026</v>
      </c>
      <c r="E13" s="143" t="s">
        <v>3056</v>
      </c>
      <c r="F13" s="143" t="s">
        <v>3057</v>
      </c>
      <c r="G13" s="126">
        <v>304</v>
      </c>
      <c r="H13" s="126" t="s">
        <v>116</v>
      </c>
      <c r="I13" s="127">
        <v>3.01</v>
      </c>
      <c r="J13" s="127">
        <v>0.9</v>
      </c>
      <c r="K13" s="149">
        <v>0.88</v>
      </c>
      <c r="L13" s="149">
        <v>0.9</v>
      </c>
      <c r="M13" s="144">
        <v>776</v>
      </c>
      <c r="N13" s="129">
        <v>5.27</v>
      </c>
      <c r="O13" s="129">
        <v>5.27</v>
      </c>
      <c r="P13" s="129"/>
      <c r="Q13" s="129"/>
      <c r="R13" s="129" t="s">
        <v>116</v>
      </c>
      <c r="S13" s="284" t="s">
        <v>3046</v>
      </c>
      <c r="T13" s="130" t="s">
        <v>3047</v>
      </c>
      <c r="U13" s="131"/>
      <c r="V13" s="131"/>
      <c r="W13" s="132">
        <v>44578</v>
      </c>
      <c r="X13" s="132">
        <v>44578</v>
      </c>
      <c r="Y13" s="132"/>
      <c r="Z13" s="132"/>
      <c r="AA13" s="132"/>
      <c r="AB13" s="133"/>
      <c r="AC13" s="126" t="s">
        <v>64</v>
      </c>
      <c r="AD13" s="134" t="s">
        <v>154</v>
      </c>
      <c r="AE13" s="134" t="s">
        <v>1296</v>
      </c>
      <c r="AF13" s="134"/>
      <c r="AG13" s="134">
        <v>44516</v>
      </c>
      <c r="AH13" s="134"/>
      <c r="AI13" s="134">
        <f t="shared" ca="1" si="1"/>
        <v>44963</v>
      </c>
      <c r="AJ13" s="126">
        <f t="shared" ca="1" si="2"/>
        <v>447</v>
      </c>
      <c r="AK13" s="126" t="str">
        <f t="shared" si="3"/>
        <v/>
      </c>
      <c r="AL13" s="134"/>
      <c r="AM13" s="143" t="s">
        <v>3050</v>
      </c>
      <c r="AN13" s="129">
        <v>10.525</v>
      </c>
      <c r="AO13" s="129">
        <v>10.535</v>
      </c>
      <c r="AP13" s="129">
        <v>10.559999999999999</v>
      </c>
      <c r="AQ13" s="129">
        <v>10.565</v>
      </c>
      <c r="AR13" s="126">
        <f t="shared" ca="1" si="4"/>
        <v>385</v>
      </c>
      <c r="AU13" s="99" t="s">
        <v>136</v>
      </c>
    </row>
    <row r="14" spans="1:59" s="99" customFormat="1" ht="21" customHeight="1" x14ac:dyDescent="0.35">
      <c r="A14" s="99">
        <v>422</v>
      </c>
      <c r="B14" s="126" t="str">
        <f t="shared" si="0"/>
        <v>0-304/2B-001X776</v>
      </c>
      <c r="C14" s="126" t="s">
        <v>3058</v>
      </c>
      <c r="D14" s="126" t="s">
        <v>3026</v>
      </c>
      <c r="E14" s="143" t="s">
        <v>3056</v>
      </c>
      <c r="F14" s="143" t="s">
        <v>3059</v>
      </c>
      <c r="G14" s="126">
        <v>304</v>
      </c>
      <c r="H14" s="126" t="s">
        <v>116</v>
      </c>
      <c r="I14" s="127">
        <v>3.01</v>
      </c>
      <c r="J14" s="127">
        <v>0.9</v>
      </c>
      <c r="K14" s="149">
        <v>0.88</v>
      </c>
      <c r="L14" s="149">
        <v>0.9</v>
      </c>
      <c r="M14" s="144">
        <v>776</v>
      </c>
      <c r="N14" s="129">
        <f>10.54-5.27</f>
        <v>5.27</v>
      </c>
      <c r="O14" s="129">
        <v>5.22</v>
      </c>
      <c r="P14" s="129"/>
      <c r="Q14" s="129">
        <v>5.0000000000000001E-3</v>
      </c>
      <c r="R14" s="129" t="s">
        <v>116</v>
      </c>
      <c r="S14" s="284" t="s">
        <v>3046</v>
      </c>
      <c r="T14" s="130" t="s">
        <v>3047</v>
      </c>
      <c r="U14" s="131"/>
      <c r="V14" s="131"/>
      <c r="W14" s="132">
        <v>44578</v>
      </c>
      <c r="X14" s="132">
        <v>44578</v>
      </c>
      <c r="Y14" s="132"/>
      <c r="Z14" s="132"/>
      <c r="AA14" s="132"/>
      <c r="AB14" s="133"/>
      <c r="AC14" s="126" t="s">
        <v>64</v>
      </c>
      <c r="AD14" s="134" t="s">
        <v>154</v>
      </c>
      <c r="AE14" s="134" t="s">
        <v>1296</v>
      </c>
      <c r="AF14" s="134"/>
      <c r="AG14" s="134">
        <v>44516</v>
      </c>
      <c r="AH14" s="134"/>
      <c r="AI14" s="134">
        <f t="shared" ca="1" si="1"/>
        <v>44963</v>
      </c>
      <c r="AJ14" s="126">
        <f t="shared" ca="1" si="2"/>
        <v>447</v>
      </c>
      <c r="AK14" s="126" t="str">
        <f t="shared" si="3"/>
        <v/>
      </c>
      <c r="AL14" s="134"/>
      <c r="AM14" s="143" t="s">
        <v>3050</v>
      </c>
      <c r="AN14" s="129">
        <v>10.525</v>
      </c>
      <c r="AO14" s="129">
        <v>10.535</v>
      </c>
      <c r="AP14" s="129">
        <v>10.559999999999999</v>
      </c>
      <c r="AQ14" s="129">
        <v>10.565</v>
      </c>
      <c r="AR14" s="126">
        <f t="shared" ca="1" si="4"/>
        <v>385</v>
      </c>
      <c r="AU14" s="99" t="s">
        <v>136</v>
      </c>
    </row>
    <row r="15" spans="1:59" s="99" customFormat="1" ht="21" customHeight="1" x14ac:dyDescent="0.35">
      <c r="A15" s="99">
        <v>421</v>
      </c>
      <c r="B15" s="126" t="str">
        <f t="shared" si="0"/>
        <v>0-304/2B-002X770</v>
      </c>
      <c r="C15" s="126" t="s">
        <v>3058</v>
      </c>
      <c r="D15" s="126" t="s">
        <v>3026</v>
      </c>
      <c r="E15" s="143" t="s">
        <v>3060</v>
      </c>
      <c r="F15" s="143" t="s">
        <v>3061</v>
      </c>
      <c r="G15" s="126">
        <v>304</v>
      </c>
      <c r="H15" s="126" t="s">
        <v>116</v>
      </c>
      <c r="I15" s="127">
        <v>3.81</v>
      </c>
      <c r="J15" s="127">
        <v>1.5</v>
      </c>
      <c r="K15" s="149">
        <v>1.5</v>
      </c>
      <c r="L15" s="149">
        <v>1.52</v>
      </c>
      <c r="M15" s="144">
        <v>770</v>
      </c>
      <c r="N15" s="129">
        <v>10.47</v>
      </c>
      <c r="O15" s="129">
        <f>5.205+5.21</f>
        <v>10.414999999999999</v>
      </c>
      <c r="P15" s="129"/>
      <c r="Q15" s="129">
        <v>2.7E-2</v>
      </c>
      <c r="R15" s="129" t="s">
        <v>116</v>
      </c>
      <c r="S15" s="284" t="s">
        <v>3062</v>
      </c>
      <c r="T15" s="130" t="s">
        <v>3047</v>
      </c>
      <c r="U15" s="130" t="s">
        <v>3063</v>
      </c>
      <c r="V15" s="131"/>
      <c r="W15" s="132">
        <v>44516</v>
      </c>
      <c r="X15" s="132">
        <v>44516</v>
      </c>
      <c r="Y15" s="132"/>
      <c r="Z15" s="132"/>
      <c r="AA15" s="132"/>
      <c r="AB15" s="133"/>
      <c r="AC15" s="126" t="s">
        <v>64</v>
      </c>
      <c r="AD15" s="134" t="s">
        <v>154</v>
      </c>
      <c r="AE15" s="134" t="s">
        <v>1239</v>
      </c>
      <c r="AF15" s="134"/>
      <c r="AG15" s="134">
        <v>44496</v>
      </c>
      <c r="AH15" s="134"/>
      <c r="AI15" s="134">
        <f t="shared" ca="1" si="1"/>
        <v>44963</v>
      </c>
      <c r="AJ15" s="126">
        <f t="shared" ca="1" si="2"/>
        <v>467</v>
      </c>
      <c r="AK15" s="126" t="str">
        <f t="shared" si="3"/>
        <v/>
      </c>
      <c r="AL15" s="134"/>
      <c r="AM15" s="143" t="s">
        <v>3064</v>
      </c>
      <c r="AN15" s="129">
        <v>10.465</v>
      </c>
      <c r="AO15" s="129">
        <v>10.475</v>
      </c>
      <c r="AP15" s="129">
        <v>10.499999999999998</v>
      </c>
      <c r="AQ15" s="129">
        <v>10.504999999999999</v>
      </c>
      <c r="AR15" s="126">
        <f t="shared" ca="1" si="4"/>
        <v>447</v>
      </c>
      <c r="AU15" s="99" t="s">
        <v>136</v>
      </c>
      <c r="BG15" s="99" t="s">
        <v>3065</v>
      </c>
    </row>
    <row r="16" spans="1:59" s="99" customFormat="1" ht="21" customHeight="1" x14ac:dyDescent="0.35">
      <c r="A16" s="99">
        <v>421</v>
      </c>
      <c r="B16" s="126" t="str">
        <f t="shared" si="0"/>
        <v>0-304/2B-001X770</v>
      </c>
      <c r="C16" s="126" t="s">
        <v>3058</v>
      </c>
      <c r="D16" s="126" t="s">
        <v>3026</v>
      </c>
      <c r="E16" s="143" t="s">
        <v>2561</v>
      </c>
      <c r="F16" s="143" t="s">
        <v>2562</v>
      </c>
      <c r="G16" s="126">
        <v>304</v>
      </c>
      <c r="H16" s="126" t="s">
        <v>116</v>
      </c>
      <c r="I16" s="127">
        <v>3.19</v>
      </c>
      <c r="J16" s="127">
        <v>1.2</v>
      </c>
      <c r="K16" s="149">
        <v>1.2</v>
      </c>
      <c r="L16" s="149">
        <v>1.22</v>
      </c>
      <c r="M16" s="144">
        <v>770</v>
      </c>
      <c r="N16" s="129">
        <v>10.43</v>
      </c>
      <c r="O16" s="129">
        <v>10.39</v>
      </c>
      <c r="P16" s="129"/>
      <c r="Q16" s="129"/>
      <c r="R16" s="129" t="s">
        <v>116</v>
      </c>
      <c r="S16" s="284" t="s">
        <v>3029</v>
      </c>
      <c r="T16" s="130" t="s">
        <v>1134</v>
      </c>
      <c r="U16" s="130"/>
      <c r="V16" s="131"/>
      <c r="W16" s="132">
        <v>44579</v>
      </c>
      <c r="X16" s="132">
        <v>44579</v>
      </c>
      <c r="Y16" s="132"/>
      <c r="Z16" s="132"/>
      <c r="AA16" s="132"/>
      <c r="AB16" s="133"/>
      <c r="AC16" s="126" t="s">
        <v>64</v>
      </c>
      <c r="AD16" s="134" t="s">
        <v>154</v>
      </c>
      <c r="AE16" s="134" t="s">
        <v>1246</v>
      </c>
      <c r="AF16" s="134"/>
      <c r="AG16" s="134">
        <v>44496</v>
      </c>
      <c r="AH16" s="134"/>
      <c r="AI16" s="134">
        <f t="shared" ca="1" si="1"/>
        <v>44963</v>
      </c>
      <c r="AJ16" s="126">
        <f t="shared" ca="1" si="2"/>
        <v>467</v>
      </c>
      <c r="AK16" s="126" t="str">
        <f t="shared" si="3"/>
        <v/>
      </c>
      <c r="AL16" s="134"/>
      <c r="AM16" s="143" t="s">
        <v>2563</v>
      </c>
      <c r="AN16" s="129">
        <v>10.435</v>
      </c>
      <c r="AO16" s="129">
        <v>10.445</v>
      </c>
      <c r="AP16" s="129">
        <v>10.469999999999999</v>
      </c>
      <c r="AQ16" s="129">
        <v>10.475</v>
      </c>
      <c r="AR16" s="126">
        <f t="shared" ca="1" si="4"/>
        <v>384</v>
      </c>
      <c r="AU16" s="99" t="s">
        <v>136</v>
      </c>
    </row>
    <row r="17" spans="1:59" s="99" customFormat="1" ht="21" customHeight="1" x14ac:dyDescent="0.35">
      <c r="A17" s="99">
        <v>421</v>
      </c>
      <c r="B17" s="126" t="str">
        <f t="shared" si="0"/>
        <v>0-304L/2B-002X770</v>
      </c>
      <c r="C17" s="126" t="s">
        <v>3058</v>
      </c>
      <c r="D17" s="126" t="s">
        <v>3026</v>
      </c>
      <c r="E17" s="143" t="s">
        <v>3066</v>
      </c>
      <c r="F17" s="143" t="s">
        <v>3067</v>
      </c>
      <c r="G17" s="126" t="s">
        <v>230</v>
      </c>
      <c r="H17" s="126" t="s">
        <v>116</v>
      </c>
      <c r="I17" s="127">
        <v>3.8</v>
      </c>
      <c r="J17" s="127">
        <v>2</v>
      </c>
      <c r="K17" s="149">
        <v>1.99</v>
      </c>
      <c r="L17" s="149">
        <v>2.0099999999999998</v>
      </c>
      <c r="M17" s="144">
        <v>770</v>
      </c>
      <c r="N17" s="129">
        <v>12.16</v>
      </c>
      <c r="O17" s="129">
        <f>4.04+4.02+4.04</f>
        <v>12.099999999999998</v>
      </c>
      <c r="P17" s="129"/>
      <c r="Q17" s="129"/>
      <c r="R17" s="129" t="s">
        <v>116</v>
      </c>
      <c r="S17" s="284" t="s">
        <v>3062</v>
      </c>
      <c r="T17" s="130" t="s">
        <v>3047</v>
      </c>
      <c r="U17" s="130" t="s">
        <v>3063</v>
      </c>
      <c r="V17" s="131"/>
      <c r="W17" s="132">
        <v>44516</v>
      </c>
      <c r="X17" s="132">
        <v>44517</v>
      </c>
      <c r="Y17" s="132"/>
      <c r="Z17" s="132"/>
      <c r="AA17" s="132"/>
      <c r="AB17" s="133"/>
      <c r="AC17" s="126" t="s">
        <v>64</v>
      </c>
      <c r="AD17" s="134" t="s">
        <v>154</v>
      </c>
      <c r="AE17" s="134" t="s">
        <v>1246</v>
      </c>
      <c r="AF17" s="134"/>
      <c r="AG17" s="134">
        <v>44496</v>
      </c>
      <c r="AH17" s="134"/>
      <c r="AI17" s="134">
        <f t="shared" ca="1" si="1"/>
        <v>44963</v>
      </c>
      <c r="AJ17" s="126">
        <f t="shared" ca="1" si="2"/>
        <v>467</v>
      </c>
      <c r="AK17" s="126" t="str">
        <f t="shared" si="3"/>
        <v/>
      </c>
      <c r="AL17" s="134"/>
      <c r="AM17" s="143" t="s">
        <v>3068</v>
      </c>
      <c r="AN17" s="129">
        <v>12.145</v>
      </c>
      <c r="AO17" s="129">
        <v>12.154999999999999</v>
      </c>
      <c r="AP17" s="129">
        <v>12.179999999999998</v>
      </c>
      <c r="AQ17" s="129">
        <v>12.184999999999999</v>
      </c>
      <c r="AR17" s="126">
        <f t="shared" ca="1" si="4"/>
        <v>446</v>
      </c>
      <c r="AU17" s="99" t="s">
        <v>136</v>
      </c>
      <c r="BG17" s="99" t="s">
        <v>465</v>
      </c>
    </row>
    <row r="18" spans="1:59" s="99" customFormat="1" ht="21" customHeight="1" x14ac:dyDescent="0.35">
      <c r="A18" s="99">
        <v>421</v>
      </c>
      <c r="B18" s="126" t="str">
        <f t="shared" si="0"/>
        <v>0-304/2B-001X770</v>
      </c>
      <c r="C18" s="126" t="s">
        <v>3058</v>
      </c>
      <c r="D18" s="126" t="s">
        <v>3026</v>
      </c>
      <c r="E18" s="143" t="s">
        <v>3069</v>
      </c>
      <c r="F18" s="143" t="s">
        <v>3070</v>
      </c>
      <c r="G18" s="126">
        <v>304</v>
      </c>
      <c r="H18" s="126" t="s">
        <v>116</v>
      </c>
      <c r="I18" s="127">
        <v>3.47</v>
      </c>
      <c r="J18" s="127">
        <v>1.2</v>
      </c>
      <c r="K18" s="149">
        <v>1.2</v>
      </c>
      <c r="L18" s="149">
        <v>1.23</v>
      </c>
      <c r="M18" s="144">
        <v>770</v>
      </c>
      <c r="N18" s="129">
        <v>10.404999999999999</v>
      </c>
      <c r="O18" s="129">
        <v>10.37</v>
      </c>
      <c r="P18" s="129"/>
      <c r="Q18" s="129">
        <v>7.0000000000000001E-3</v>
      </c>
      <c r="R18" s="129" t="s">
        <v>116</v>
      </c>
      <c r="S18" s="284" t="s">
        <v>3029</v>
      </c>
      <c r="T18" s="130" t="s">
        <v>1134</v>
      </c>
      <c r="U18" s="130" t="s">
        <v>3071</v>
      </c>
      <c r="V18" s="131"/>
      <c r="W18" s="132">
        <v>44496</v>
      </c>
      <c r="X18" s="132">
        <v>44496</v>
      </c>
      <c r="Y18" s="132"/>
      <c r="Z18" s="132"/>
      <c r="AA18" s="132"/>
      <c r="AB18" s="133"/>
      <c r="AC18" s="126" t="s">
        <v>64</v>
      </c>
      <c r="AD18" s="134" t="s">
        <v>154</v>
      </c>
      <c r="AE18" s="134" t="s">
        <v>1256</v>
      </c>
      <c r="AF18" s="134"/>
      <c r="AG18" s="134">
        <v>44496</v>
      </c>
      <c r="AH18" s="134"/>
      <c r="AI18" s="134">
        <f t="shared" ca="1" si="1"/>
        <v>44963</v>
      </c>
      <c r="AJ18" s="126">
        <f t="shared" ca="1" si="2"/>
        <v>467</v>
      </c>
      <c r="AK18" s="126" t="str">
        <f t="shared" si="3"/>
        <v/>
      </c>
      <c r="AL18" s="134"/>
      <c r="AM18" s="143" t="s">
        <v>3072</v>
      </c>
      <c r="AN18" s="129">
        <v>10.4</v>
      </c>
      <c r="AO18" s="129">
        <v>10.41</v>
      </c>
      <c r="AP18" s="129">
        <v>10.434999999999999</v>
      </c>
      <c r="AQ18" s="129">
        <v>10.44</v>
      </c>
      <c r="AR18" s="126">
        <f t="shared" ca="1" si="4"/>
        <v>467</v>
      </c>
      <c r="AU18" s="99" t="s">
        <v>136</v>
      </c>
      <c r="BG18" s="99" t="s">
        <v>416</v>
      </c>
    </row>
    <row r="19" spans="1:59" s="99" customFormat="1" ht="21" customHeight="1" x14ac:dyDescent="0.35">
      <c r="A19" s="99">
        <v>422</v>
      </c>
      <c r="B19" s="126" t="str">
        <f t="shared" si="0"/>
        <v>0-304L/2B-002X765</v>
      </c>
      <c r="C19" s="126" t="s">
        <v>3058</v>
      </c>
      <c r="D19" s="126" t="s">
        <v>3026</v>
      </c>
      <c r="E19" s="143" t="s">
        <v>3073</v>
      </c>
      <c r="F19" s="143" t="s">
        <v>3074</v>
      </c>
      <c r="G19" s="126" t="s">
        <v>230</v>
      </c>
      <c r="H19" s="126" t="s">
        <v>116</v>
      </c>
      <c r="I19" s="127">
        <v>3.8</v>
      </c>
      <c r="J19" s="127">
        <v>2</v>
      </c>
      <c r="K19" s="149">
        <v>1.98</v>
      </c>
      <c r="L19" s="149">
        <v>2.0099999999999998</v>
      </c>
      <c r="M19" s="144">
        <v>765</v>
      </c>
      <c r="N19" s="129">
        <v>10.32</v>
      </c>
      <c r="O19" s="129">
        <f>6.04+4.235</f>
        <v>10.275</v>
      </c>
      <c r="P19" s="129"/>
      <c r="Q19" s="129"/>
      <c r="R19" s="129" t="s">
        <v>116</v>
      </c>
      <c r="S19" s="284" t="s">
        <v>3075</v>
      </c>
      <c r="T19" s="130" t="s">
        <v>3076</v>
      </c>
      <c r="U19" s="130"/>
      <c r="V19" s="131"/>
      <c r="W19" s="132">
        <v>44575</v>
      </c>
      <c r="X19" s="132">
        <v>44576</v>
      </c>
      <c r="Y19" s="132"/>
      <c r="Z19" s="132"/>
      <c r="AA19" s="132"/>
      <c r="AB19" s="133"/>
      <c r="AC19" s="126" t="s">
        <v>64</v>
      </c>
      <c r="AD19" s="134" t="s">
        <v>154</v>
      </c>
      <c r="AE19" s="134" t="s">
        <v>1330</v>
      </c>
      <c r="AF19" s="134"/>
      <c r="AG19" s="134">
        <v>44516</v>
      </c>
      <c r="AH19" s="134"/>
      <c r="AI19" s="134">
        <f t="shared" ca="1" si="1"/>
        <v>44963</v>
      </c>
      <c r="AJ19" s="126">
        <f t="shared" ca="1" si="2"/>
        <v>447</v>
      </c>
      <c r="AK19" s="126" t="str">
        <f t="shared" si="3"/>
        <v/>
      </c>
      <c r="AL19" s="134"/>
      <c r="AM19" s="143" t="s">
        <v>3077</v>
      </c>
      <c r="AN19" s="129">
        <v>10.315</v>
      </c>
      <c r="AO19" s="129">
        <v>10.324999999999999</v>
      </c>
      <c r="AP19" s="129">
        <v>10.349999999999998</v>
      </c>
      <c r="AQ19" s="129">
        <v>10.354999999999999</v>
      </c>
      <c r="AR19" s="126">
        <f t="shared" ca="1" si="4"/>
        <v>387</v>
      </c>
      <c r="AU19" s="99" t="s">
        <v>136</v>
      </c>
    </row>
    <row r="20" spans="1:59" s="99" customFormat="1" ht="21" customHeight="1" x14ac:dyDescent="0.35">
      <c r="A20" s="99">
        <v>422</v>
      </c>
      <c r="B20" s="126" t="str">
        <f t="shared" si="0"/>
        <v>0-304L/2B-002X767</v>
      </c>
      <c r="C20" s="126" t="s">
        <v>3058</v>
      </c>
      <c r="D20" s="126" t="s">
        <v>3026</v>
      </c>
      <c r="E20" s="143" t="s">
        <v>3078</v>
      </c>
      <c r="F20" s="143" t="s">
        <v>3079</v>
      </c>
      <c r="G20" s="126" t="s">
        <v>230</v>
      </c>
      <c r="H20" s="126" t="s">
        <v>116</v>
      </c>
      <c r="I20" s="127">
        <v>3.79</v>
      </c>
      <c r="J20" s="127">
        <v>1.5</v>
      </c>
      <c r="K20" s="149">
        <v>1.45</v>
      </c>
      <c r="L20" s="149">
        <v>1.48</v>
      </c>
      <c r="M20" s="144">
        <v>767</v>
      </c>
      <c r="N20" s="129">
        <v>12.01</v>
      </c>
      <c r="O20" s="129">
        <f>3.985+4.01+3.925</f>
        <v>11.919999999999998</v>
      </c>
      <c r="P20" s="129"/>
      <c r="Q20" s="129">
        <v>2.7E-2</v>
      </c>
      <c r="R20" s="129" t="s">
        <v>116</v>
      </c>
      <c r="S20" s="284" t="s">
        <v>3075</v>
      </c>
      <c r="T20" s="130" t="s">
        <v>3076</v>
      </c>
      <c r="U20" s="130" t="s">
        <v>1228</v>
      </c>
      <c r="V20" s="131"/>
      <c r="W20" s="132">
        <v>44539</v>
      </c>
      <c r="X20" s="132">
        <v>44540</v>
      </c>
      <c r="Y20" s="132"/>
      <c r="Z20" s="132"/>
      <c r="AA20" s="132"/>
      <c r="AB20" s="133"/>
      <c r="AC20" s="126" t="s">
        <v>64</v>
      </c>
      <c r="AD20" s="134" t="s">
        <v>154</v>
      </c>
      <c r="AE20" s="134" t="s">
        <v>1330</v>
      </c>
      <c r="AF20" s="134"/>
      <c r="AG20" s="134">
        <v>44516</v>
      </c>
      <c r="AH20" s="134"/>
      <c r="AI20" s="134">
        <f t="shared" ca="1" si="1"/>
        <v>44963</v>
      </c>
      <c r="AJ20" s="126">
        <f t="shared" ca="1" si="2"/>
        <v>447</v>
      </c>
      <c r="AK20" s="126" t="str">
        <f t="shared" si="3"/>
        <v/>
      </c>
      <c r="AL20" s="134"/>
      <c r="AM20" s="143" t="s">
        <v>3080</v>
      </c>
      <c r="AN20" s="129">
        <v>11.99</v>
      </c>
      <c r="AO20" s="129">
        <v>12</v>
      </c>
      <c r="AP20" s="129">
        <v>12.024999999999999</v>
      </c>
      <c r="AQ20" s="129">
        <v>12.03</v>
      </c>
      <c r="AR20" s="126">
        <f t="shared" ca="1" si="4"/>
        <v>423</v>
      </c>
      <c r="AU20" s="99" t="s">
        <v>136</v>
      </c>
    </row>
    <row r="21" spans="1:59" s="99" customFormat="1" ht="21" customHeight="1" x14ac:dyDescent="0.35">
      <c r="A21" s="99">
        <v>422</v>
      </c>
      <c r="B21" s="126" t="str">
        <f t="shared" si="0"/>
        <v>0-304L/2B-002X766</v>
      </c>
      <c r="C21" s="126" t="s">
        <v>3058</v>
      </c>
      <c r="D21" s="126" t="s">
        <v>3026</v>
      </c>
      <c r="E21" s="143" t="s">
        <v>3081</v>
      </c>
      <c r="F21" s="143" t="s">
        <v>3082</v>
      </c>
      <c r="G21" s="126" t="s">
        <v>230</v>
      </c>
      <c r="H21" s="126" t="s">
        <v>116</v>
      </c>
      <c r="I21" s="127">
        <v>3.81</v>
      </c>
      <c r="J21" s="127">
        <v>1.5</v>
      </c>
      <c r="K21" s="149">
        <v>1.46</v>
      </c>
      <c r="L21" s="149">
        <v>1.48</v>
      </c>
      <c r="M21" s="144">
        <v>766</v>
      </c>
      <c r="N21" s="129">
        <v>10.445</v>
      </c>
      <c r="O21" s="129">
        <f>5.24+5.135</f>
        <v>10.375</v>
      </c>
      <c r="P21" s="129"/>
      <c r="Q21" s="129">
        <v>8.9999999999999993E-3</v>
      </c>
      <c r="R21" s="129" t="s">
        <v>116</v>
      </c>
      <c r="S21" s="284" t="s">
        <v>3062</v>
      </c>
      <c r="T21" s="130" t="s">
        <v>3047</v>
      </c>
      <c r="U21" s="130" t="s">
        <v>3063</v>
      </c>
      <c r="V21" s="131"/>
      <c r="W21" s="132">
        <v>44538</v>
      </c>
      <c r="X21" s="132">
        <v>44539</v>
      </c>
      <c r="Y21" s="132"/>
      <c r="Z21" s="132"/>
      <c r="AA21" s="132"/>
      <c r="AB21" s="133"/>
      <c r="AC21" s="126" t="s">
        <v>64</v>
      </c>
      <c r="AD21" s="134" t="s">
        <v>154</v>
      </c>
      <c r="AE21" s="134" t="s">
        <v>1296</v>
      </c>
      <c r="AF21" s="134"/>
      <c r="AG21" s="134">
        <v>44516</v>
      </c>
      <c r="AH21" s="134"/>
      <c r="AI21" s="134">
        <f t="shared" ca="1" si="1"/>
        <v>44963</v>
      </c>
      <c r="AJ21" s="126">
        <f t="shared" ca="1" si="2"/>
        <v>447</v>
      </c>
      <c r="AK21" s="126" t="str">
        <f t="shared" si="3"/>
        <v/>
      </c>
      <c r="AL21" s="134"/>
      <c r="AM21" s="143" t="s">
        <v>1314</v>
      </c>
      <c r="AN21" s="129">
        <v>10.42</v>
      </c>
      <c r="AO21" s="129">
        <v>10.43</v>
      </c>
      <c r="AP21" s="129">
        <v>10.454999999999998</v>
      </c>
      <c r="AQ21" s="129">
        <v>10.459999999999999</v>
      </c>
      <c r="AR21" s="126">
        <f t="shared" ca="1" si="4"/>
        <v>424</v>
      </c>
      <c r="AU21" s="99" t="s">
        <v>136</v>
      </c>
    </row>
    <row r="22" spans="1:59" s="99" customFormat="1" ht="21" customHeight="1" x14ac:dyDescent="0.35">
      <c r="A22" s="99">
        <v>397</v>
      </c>
      <c r="B22" s="126" t="str">
        <f t="shared" si="0"/>
        <v>0-J3/2B-001X615</v>
      </c>
      <c r="C22" s="126" t="s">
        <v>3083</v>
      </c>
      <c r="D22" s="126" t="s">
        <v>358</v>
      </c>
      <c r="E22" s="143" t="s">
        <v>739</v>
      </c>
      <c r="F22" s="143" t="s">
        <v>740</v>
      </c>
      <c r="G22" s="126" t="s">
        <v>29</v>
      </c>
      <c r="H22" s="126" t="s">
        <v>116</v>
      </c>
      <c r="I22" s="127">
        <v>2.4</v>
      </c>
      <c r="J22" s="127">
        <v>1.1000000000000001</v>
      </c>
      <c r="K22" s="149">
        <v>1.1000000000000001</v>
      </c>
      <c r="L22" s="149">
        <v>1.1200000000000001</v>
      </c>
      <c r="M22" s="144">
        <v>615</v>
      </c>
      <c r="N22" s="129">
        <v>9.8450000000000006</v>
      </c>
      <c r="O22" s="129">
        <v>9.8249999999999993</v>
      </c>
      <c r="P22" s="129"/>
      <c r="Q22" s="129"/>
      <c r="R22" s="129" t="s">
        <v>116</v>
      </c>
      <c r="S22" s="284"/>
      <c r="T22" s="130" t="s">
        <v>412</v>
      </c>
      <c r="U22" s="130"/>
      <c r="V22" s="131"/>
      <c r="W22" s="132">
        <v>44571</v>
      </c>
      <c r="X22" s="132">
        <v>44572</v>
      </c>
      <c r="Y22" s="132">
        <v>44594</v>
      </c>
      <c r="Z22" s="132"/>
      <c r="AA22" s="132"/>
      <c r="AB22" s="133"/>
      <c r="AC22" s="126" t="s">
        <v>64</v>
      </c>
      <c r="AD22" s="134" t="s">
        <v>468</v>
      </c>
      <c r="AE22" s="134"/>
      <c r="AF22" s="134"/>
      <c r="AG22" s="134">
        <v>44373</v>
      </c>
      <c r="AH22" s="134"/>
      <c r="AI22" s="134">
        <f t="shared" ca="1" si="1"/>
        <v>44963</v>
      </c>
      <c r="AJ22" s="126">
        <f t="shared" ca="1" si="2"/>
        <v>590</v>
      </c>
      <c r="AK22" s="126">
        <f t="shared" ca="1" si="3"/>
        <v>369</v>
      </c>
      <c r="AL22" s="134" t="s">
        <v>729</v>
      </c>
      <c r="AM22" s="143" t="s">
        <v>741</v>
      </c>
      <c r="AN22" s="129">
        <v>9.8569999999999993</v>
      </c>
      <c r="AO22" s="129">
        <v>9.8969999999999985</v>
      </c>
      <c r="AP22" s="129">
        <v>9.921999999999997</v>
      </c>
      <c r="AQ22" s="129">
        <v>9.9269999999999978</v>
      </c>
      <c r="AR22" s="126">
        <f t="shared" ca="1" si="4"/>
        <v>391</v>
      </c>
      <c r="AU22" s="99" t="s">
        <v>136</v>
      </c>
    </row>
    <row r="23" spans="1:59" s="99" customFormat="1" ht="21" customHeight="1" x14ac:dyDescent="0.35">
      <c r="A23" s="99">
        <v>400</v>
      </c>
      <c r="B23" s="126" t="str">
        <f t="shared" si="0"/>
        <v>0-J3/2B-001X560</v>
      </c>
      <c r="C23" s="126" t="s">
        <v>3084</v>
      </c>
      <c r="D23" s="126" t="s">
        <v>358</v>
      </c>
      <c r="E23" s="143" t="s">
        <v>827</v>
      </c>
      <c r="F23" s="143" t="s">
        <v>828</v>
      </c>
      <c r="G23" s="126" t="s">
        <v>29</v>
      </c>
      <c r="H23" s="126" t="s">
        <v>116</v>
      </c>
      <c r="I23" s="127">
        <v>2.4</v>
      </c>
      <c r="J23" s="127">
        <v>0.95</v>
      </c>
      <c r="K23" s="149">
        <v>0.93</v>
      </c>
      <c r="L23" s="149">
        <v>0.95</v>
      </c>
      <c r="M23" s="144">
        <v>560</v>
      </c>
      <c r="N23" s="129">
        <v>8.9849999999999994</v>
      </c>
      <c r="O23" s="129">
        <v>8.9649999999999999</v>
      </c>
      <c r="P23" s="129"/>
      <c r="Q23" s="129"/>
      <c r="R23" s="129" t="s">
        <v>116</v>
      </c>
      <c r="S23" s="284"/>
      <c r="T23" s="130" t="s">
        <v>412</v>
      </c>
      <c r="U23" s="130"/>
      <c r="V23" s="131"/>
      <c r="W23" s="132">
        <v>44571</v>
      </c>
      <c r="X23" s="132">
        <v>44572</v>
      </c>
      <c r="Y23" s="132">
        <v>44595</v>
      </c>
      <c r="Z23" s="132"/>
      <c r="AA23" s="132"/>
      <c r="AB23" s="133"/>
      <c r="AC23" s="126" t="s">
        <v>64</v>
      </c>
      <c r="AD23" s="134" t="s">
        <v>322</v>
      </c>
      <c r="AE23" s="134"/>
      <c r="AF23" s="134"/>
      <c r="AG23" s="134">
        <v>44384</v>
      </c>
      <c r="AH23" s="134"/>
      <c r="AI23" s="134">
        <f t="shared" ca="1" si="1"/>
        <v>44963</v>
      </c>
      <c r="AJ23" s="126">
        <f t="shared" ca="1" si="2"/>
        <v>579</v>
      </c>
      <c r="AK23" s="126">
        <f t="shared" ca="1" si="3"/>
        <v>368</v>
      </c>
      <c r="AL23" s="134" t="s">
        <v>817</v>
      </c>
      <c r="AM23" s="143" t="s">
        <v>829</v>
      </c>
      <c r="AN23" s="129">
        <v>9</v>
      </c>
      <c r="AO23" s="129">
        <v>9.0399999999999991</v>
      </c>
      <c r="AP23" s="129">
        <v>9.0649999999999977</v>
      </c>
      <c r="AQ23" s="129">
        <v>9.0699999999999985</v>
      </c>
      <c r="AR23" s="126">
        <f t="shared" ca="1" si="4"/>
        <v>391</v>
      </c>
      <c r="AU23" s="99" t="s">
        <v>136</v>
      </c>
    </row>
    <row r="24" spans="1:59" s="99" customFormat="1" ht="21" customHeight="1" x14ac:dyDescent="0.35">
      <c r="A24" s="99">
        <v>380</v>
      </c>
      <c r="B24" s="126" t="str">
        <f t="shared" si="0"/>
        <v>0-J3/2B-001X595</v>
      </c>
      <c r="C24" s="126" t="s">
        <v>3084</v>
      </c>
      <c r="D24" s="126" t="s">
        <v>358</v>
      </c>
      <c r="E24" s="143" t="s">
        <v>441</v>
      </c>
      <c r="F24" s="143" t="s">
        <v>442</v>
      </c>
      <c r="G24" s="126" t="s">
        <v>29</v>
      </c>
      <c r="H24" s="126" t="s">
        <v>116</v>
      </c>
      <c r="I24" s="127">
        <v>2.4</v>
      </c>
      <c r="J24" s="127">
        <v>1.4</v>
      </c>
      <c r="K24" s="149">
        <v>1.37</v>
      </c>
      <c r="L24" s="149">
        <v>1.39</v>
      </c>
      <c r="M24" s="144">
        <v>595</v>
      </c>
      <c r="N24" s="129">
        <v>7.87</v>
      </c>
      <c r="O24" s="129">
        <v>7.8550000000000004</v>
      </c>
      <c r="P24" s="129"/>
      <c r="Q24" s="129"/>
      <c r="R24" s="129" t="s">
        <v>116</v>
      </c>
      <c r="S24" s="284"/>
      <c r="T24" s="130" t="s">
        <v>412</v>
      </c>
      <c r="U24" s="130"/>
      <c r="V24" s="131"/>
      <c r="W24" s="132">
        <v>44571</v>
      </c>
      <c r="X24" s="132">
        <v>44571</v>
      </c>
      <c r="Y24" s="132">
        <v>44595</v>
      </c>
      <c r="Z24" s="132"/>
      <c r="AA24" s="132"/>
      <c r="AB24" s="133"/>
      <c r="AC24" s="126" t="s">
        <v>64</v>
      </c>
      <c r="AD24" s="134" t="s">
        <v>322</v>
      </c>
      <c r="AE24" s="134"/>
      <c r="AF24" s="134"/>
      <c r="AG24" s="134">
        <v>44309</v>
      </c>
      <c r="AH24" s="134"/>
      <c r="AI24" s="134">
        <f t="shared" ca="1" si="1"/>
        <v>44963</v>
      </c>
      <c r="AJ24" s="126">
        <f t="shared" ca="1" si="2"/>
        <v>654</v>
      </c>
      <c r="AK24" s="126">
        <f t="shared" ca="1" si="3"/>
        <v>368</v>
      </c>
      <c r="AL24" s="134" t="s">
        <v>443</v>
      </c>
      <c r="AM24" s="143" t="s">
        <v>440</v>
      </c>
      <c r="AN24" s="129">
        <v>7.8819999999999997</v>
      </c>
      <c r="AO24" s="129">
        <v>7.9219999999999997</v>
      </c>
      <c r="AP24" s="129">
        <v>7.9470000000000001</v>
      </c>
      <c r="AQ24" s="129">
        <v>7.952</v>
      </c>
      <c r="AR24" s="126">
        <f t="shared" ca="1" si="4"/>
        <v>392</v>
      </c>
      <c r="AU24" s="99" t="s">
        <v>136</v>
      </c>
    </row>
    <row r="25" spans="1:59" s="99" customFormat="1" ht="21" customHeight="1" x14ac:dyDescent="0.35">
      <c r="A25" s="99">
        <v>400</v>
      </c>
      <c r="B25" s="126" t="str">
        <f t="shared" si="0"/>
        <v>0-J3/2B-001X560</v>
      </c>
      <c r="C25" s="126" t="s">
        <v>3084</v>
      </c>
      <c r="D25" s="126" t="s">
        <v>358</v>
      </c>
      <c r="E25" s="143" t="s">
        <v>3085</v>
      </c>
      <c r="F25" s="143" t="s">
        <v>3086</v>
      </c>
      <c r="G25" s="126" t="s">
        <v>29</v>
      </c>
      <c r="H25" s="126" t="s">
        <v>116</v>
      </c>
      <c r="I25" s="127">
        <v>2.4</v>
      </c>
      <c r="J25" s="127">
        <v>1.1000000000000001</v>
      </c>
      <c r="K25" s="149">
        <v>1.1000000000000001</v>
      </c>
      <c r="L25" s="149">
        <v>1.1200000000000001</v>
      </c>
      <c r="M25" s="144">
        <v>560</v>
      </c>
      <c r="N25" s="129">
        <v>9.0250000000000004</v>
      </c>
      <c r="O25" s="129">
        <v>9.0050000000000008</v>
      </c>
      <c r="P25" s="129"/>
      <c r="Q25" s="129"/>
      <c r="R25" s="129" t="s">
        <v>116</v>
      </c>
      <c r="S25" s="284"/>
      <c r="T25" s="130" t="s">
        <v>412</v>
      </c>
      <c r="U25" s="130"/>
      <c r="V25" s="131"/>
      <c r="W25" s="132">
        <v>44572</v>
      </c>
      <c r="X25" s="132">
        <v>44572</v>
      </c>
      <c r="Y25" s="132">
        <v>44595</v>
      </c>
      <c r="Z25" s="132"/>
      <c r="AA25" s="132"/>
      <c r="AB25" s="133"/>
      <c r="AC25" s="126" t="s">
        <v>64</v>
      </c>
      <c r="AD25" s="134" t="s">
        <v>322</v>
      </c>
      <c r="AE25" s="134"/>
      <c r="AF25" s="134"/>
      <c r="AG25" s="134">
        <v>44384</v>
      </c>
      <c r="AH25" s="134"/>
      <c r="AI25" s="134">
        <f t="shared" ca="1" si="1"/>
        <v>44963</v>
      </c>
      <c r="AJ25" s="126">
        <f t="shared" ca="1" si="2"/>
        <v>579</v>
      </c>
      <c r="AK25" s="126">
        <f t="shared" ca="1" si="3"/>
        <v>368</v>
      </c>
      <c r="AL25" s="134" t="s">
        <v>817</v>
      </c>
      <c r="AM25" s="143" t="s">
        <v>826</v>
      </c>
      <c r="AN25" s="129">
        <v>9.0449999999999999</v>
      </c>
      <c r="AO25" s="129">
        <v>9.0849999999999991</v>
      </c>
      <c r="AP25" s="129">
        <v>9.1099999999999977</v>
      </c>
      <c r="AQ25" s="129">
        <v>9.1149999999999984</v>
      </c>
      <c r="AR25" s="126">
        <f t="shared" ca="1" si="4"/>
        <v>391</v>
      </c>
      <c r="AU25" s="99" t="s">
        <v>136</v>
      </c>
    </row>
    <row r="26" spans="1:59" s="99" customFormat="1" ht="21" customHeight="1" x14ac:dyDescent="0.35">
      <c r="A26" s="99">
        <v>381</v>
      </c>
      <c r="B26" s="126" t="str">
        <f t="shared" si="0"/>
        <v>0-J3/2B-001X595</v>
      </c>
      <c r="C26" s="126" t="s">
        <v>3084</v>
      </c>
      <c r="D26" s="126" t="s">
        <v>358</v>
      </c>
      <c r="E26" s="143" t="s">
        <v>3087</v>
      </c>
      <c r="F26" s="143" t="s">
        <v>3088</v>
      </c>
      <c r="G26" s="126" t="s">
        <v>29</v>
      </c>
      <c r="H26" s="126" t="s">
        <v>116</v>
      </c>
      <c r="I26" s="127">
        <v>2.4</v>
      </c>
      <c r="J26" s="127">
        <v>1.4</v>
      </c>
      <c r="K26" s="149">
        <v>1.37</v>
      </c>
      <c r="L26" s="149">
        <v>1.41</v>
      </c>
      <c r="M26" s="144">
        <v>595</v>
      </c>
      <c r="N26" s="129">
        <v>7.4050000000000002</v>
      </c>
      <c r="O26" s="129">
        <v>7.3849999999999998</v>
      </c>
      <c r="P26" s="129"/>
      <c r="Q26" s="129"/>
      <c r="R26" s="129" t="s">
        <v>116</v>
      </c>
      <c r="S26" s="284"/>
      <c r="T26" s="130" t="s">
        <v>412</v>
      </c>
      <c r="U26" s="130"/>
      <c r="V26" s="131"/>
      <c r="W26" s="132">
        <v>44571</v>
      </c>
      <c r="X26" s="132">
        <v>44571</v>
      </c>
      <c r="Y26" s="132">
        <v>44595</v>
      </c>
      <c r="Z26" s="132"/>
      <c r="AA26" s="132"/>
      <c r="AB26" s="133"/>
      <c r="AC26" s="126" t="s">
        <v>64</v>
      </c>
      <c r="AD26" s="134" t="s">
        <v>322</v>
      </c>
      <c r="AE26" s="134"/>
      <c r="AF26" s="134"/>
      <c r="AG26" s="134">
        <v>44309</v>
      </c>
      <c r="AH26" s="134"/>
      <c r="AI26" s="134">
        <f t="shared" ca="1" si="1"/>
        <v>44963</v>
      </c>
      <c r="AJ26" s="126">
        <f t="shared" ca="1" si="2"/>
        <v>654</v>
      </c>
      <c r="AK26" s="126">
        <f t="shared" ca="1" si="3"/>
        <v>368</v>
      </c>
      <c r="AL26" s="134" t="s">
        <v>3089</v>
      </c>
      <c r="AM26" s="143" t="s">
        <v>3090</v>
      </c>
      <c r="AN26" s="129">
        <v>7.4180000000000001</v>
      </c>
      <c r="AO26" s="129">
        <v>7.4580000000000002</v>
      </c>
      <c r="AP26" s="129">
        <v>7.4830000000000005</v>
      </c>
      <c r="AQ26" s="129">
        <v>7.4880000000000004</v>
      </c>
      <c r="AR26" s="126">
        <f t="shared" ca="1" si="4"/>
        <v>392</v>
      </c>
      <c r="AU26" s="99" t="s">
        <v>136</v>
      </c>
    </row>
    <row r="27" spans="1:59" s="99" customFormat="1" ht="21" customHeight="1" x14ac:dyDescent="0.35">
      <c r="A27" s="99">
        <v>386</v>
      </c>
      <c r="B27" s="126" t="str">
        <f t="shared" si="0"/>
        <v>0-J3/2B-001X595</v>
      </c>
      <c r="C27" s="126" t="s">
        <v>3084</v>
      </c>
      <c r="D27" s="126" t="s">
        <v>358</v>
      </c>
      <c r="E27" s="143" t="s">
        <v>481</v>
      </c>
      <c r="F27" s="143" t="s">
        <v>482</v>
      </c>
      <c r="G27" s="126" t="s">
        <v>29</v>
      </c>
      <c r="H27" s="126" t="s">
        <v>116</v>
      </c>
      <c r="I27" s="127">
        <v>2.4</v>
      </c>
      <c r="J27" s="127">
        <v>1.4</v>
      </c>
      <c r="K27" s="149">
        <v>1.4</v>
      </c>
      <c r="L27" s="149">
        <v>1.43</v>
      </c>
      <c r="M27" s="144">
        <v>595</v>
      </c>
      <c r="N27" s="129">
        <v>8.1449999999999996</v>
      </c>
      <c r="O27" s="129">
        <v>8.1349999999999998</v>
      </c>
      <c r="P27" s="129"/>
      <c r="Q27" s="129"/>
      <c r="R27" s="129" t="s">
        <v>116</v>
      </c>
      <c r="S27" s="284"/>
      <c r="T27" s="130" t="s">
        <v>412</v>
      </c>
      <c r="U27" s="130"/>
      <c r="V27" s="131"/>
      <c r="W27" s="132">
        <v>44570</v>
      </c>
      <c r="X27" s="132">
        <v>44571</v>
      </c>
      <c r="Y27" s="132">
        <v>44595</v>
      </c>
      <c r="Z27" s="132"/>
      <c r="AA27" s="132"/>
      <c r="AB27" s="133"/>
      <c r="AC27" s="126" t="s">
        <v>64</v>
      </c>
      <c r="AD27" s="134" t="s">
        <v>468</v>
      </c>
      <c r="AE27" s="134"/>
      <c r="AF27" s="134"/>
      <c r="AG27" s="134">
        <v>44322</v>
      </c>
      <c r="AH27" s="134"/>
      <c r="AI27" s="134">
        <f t="shared" ca="1" si="1"/>
        <v>44963</v>
      </c>
      <c r="AJ27" s="126">
        <f t="shared" ca="1" si="2"/>
        <v>641</v>
      </c>
      <c r="AK27" s="126">
        <f t="shared" ca="1" si="3"/>
        <v>368</v>
      </c>
      <c r="AL27" s="134" t="s">
        <v>483</v>
      </c>
      <c r="AM27" s="143" t="s">
        <v>474</v>
      </c>
      <c r="AN27" s="129">
        <v>8.1690000000000005</v>
      </c>
      <c r="AO27" s="129">
        <v>8.2089999999999996</v>
      </c>
      <c r="AP27" s="129">
        <v>8.2339999999999982</v>
      </c>
      <c r="AQ27" s="129">
        <v>8.238999999999999</v>
      </c>
      <c r="AR27" s="126">
        <f t="shared" ca="1" si="4"/>
        <v>392</v>
      </c>
      <c r="AU27" s="99" t="s">
        <v>136</v>
      </c>
    </row>
    <row r="28" spans="1:59" s="99" customFormat="1" ht="21" customHeight="1" x14ac:dyDescent="0.35">
      <c r="A28" s="99">
        <v>386</v>
      </c>
      <c r="B28" s="126" t="str">
        <f t="shared" si="0"/>
        <v>0-J3/2B-001X595</v>
      </c>
      <c r="C28" s="126" t="s">
        <v>3084</v>
      </c>
      <c r="D28" s="126" t="s">
        <v>358</v>
      </c>
      <c r="E28" s="143" t="s">
        <v>3091</v>
      </c>
      <c r="F28" s="143" t="s">
        <v>3092</v>
      </c>
      <c r="G28" s="126" t="s">
        <v>29</v>
      </c>
      <c r="H28" s="126" t="s">
        <v>116</v>
      </c>
      <c r="I28" s="127">
        <v>2.4</v>
      </c>
      <c r="J28" s="127">
        <v>1.4</v>
      </c>
      <c r="K28" s="149">
        <v>1.4</v>
      </c>
      <c r="L28" s="149">
        <v>1.42</v>
      </c>
      <c r="M28" s="144">
        <v>595</v>
      </c>
      <c r="N28" s="129">
        <v>8.2149999999999999</v>
      </c>
      <c r="O28" s="129">
        <v>8.19</v>
      </c>
      <c r="P28" s="129"/>
      <c r="Q28" s="129"/>
      <c r="R28" s="129" t="s">
        <v>116</v>
      </c>
      <c r="S28" s="284"/>
      <c r="T28" s="130" t="s">
        <v>412</v>
      </c>
      <c r="U28" s="130"/>
      <c r="V28" s="131"/>
      <c r="W28" s="132">
        <v>44570</v>
      </c>
      <c r="X28" s="132">
        <v>44570</v>
      </c>
      <c r="Y28" s="132">
        <v>44595</v>
      </c>
      <c r="Z28" s="132"/>
      <c r="AA28" s="132"/>
      <c r="AB28" s="133"/>
      <c r="AC28" s="126" t="s">
        <v>64</v>
      </c>
      <c r="AD28" s="134" t="s">
        <v>468</v>
      </c>
      <c r="AE28" s="134"/>
      <c r="AF28" s="134"/>
      <c r="AG28" s="134">
        <v>44322</v>
      </c>
      <c r="AH28" s="134"/>
      <c r="AI28" s="134">
        <f t="shared" ca="1" si="1"/>
        <v>44963</v>
      </c>
      <c r="AJ28" s="126">
        <f t="shared" ca="1" si="2"/>
        <v>641</v>
      </c>
      <c r="AK28" s="126">
        <f t="shared" ca="1" si="3"/>
        <v>368</v>
      </c>
      <c r="AL28" s="134" t="s">
        <v>535</v>
      </c>
      <c r="AM28" s="143" t="s">
        <v>632</v>
      </c>
      <c r="AN28" s="129">
        <v>8.2289999999999992</v>
      </c>
      <c r="AO28" s="129">
        <v>8.2689999999999984</v>
      </c>
      <c r="AP28" s="129">
        <v>8.2939999999999969</v>
      </c>
      <c r="AQ28" s="129">
        <v>8.2989999999999977</v>
      </c>
      <c r="AR28" s="126">
        <f t="shared" ca="1" si="4"/>
        <v>393</v>
      </c>
      <c r="AU28" s="99" t="s">
        <v>136</v>
      </c>
    </row>
    <row r="29" spans="1:59" s="99" customFormat="1" ht="21" customHeight="1" x14ac:dyDescent="0.35">
      <c r="A29" s="99">
        <v>380</v>
      </c>
      <c r="B29" s="126" t="str">
        <f t="shared" si="0"/>
        <v>0-J3/2B-001X595</v>
      </c>
      <c r="C29" s="126" t="s">
        <v>3084</v>
      </c>
      <c r="D29" s="126" t="s">
        <v>358</v>
      </c>
      <c r="E29" s="143" t="s">
        <v>438</v>
      </c>
      <c r="F29" s="143" t="s">
        <v>439</v>
      </c>
      <c r="G29" s="126" t="s">
        <v>29</v>
      </c>
      <c r="H29" s="126" t="s">
        <v>116</v>
      </c>
      <c r="I29" s="127">
        <v>2.4</v>
      </c>
      <c r="J29" s="127">
        <v>1.4</v>
      </c>
      <c r="K29" s="149">
        <v>1.4</v>
      </c>
      <c r="L29" s="149">
        <v>1.43</v>
      </c>
      <c r="M29" s="144">
        <v>595</v>
      </c>
      <c r="N29" s="129">
        <v>7.8949999999999996</v>
      </c>
      <c r="O29" s="129">
        <v>7.87</v>
      </c>
      <c r="P29" s="129"/>
      <c r="Q29" s="129"/>
      <c r="R29" s="129" t="s">
        <v>116</v>
      </c>
      <c r="S29" s="284"/>
      <c r="T29" s="130" t="s">
        <v>412</v>
      </c>
      <c r="U29" s="130"/>
      <c r="V29" s="131"/>
      <c r="W29" s="132">
        <v>44570</v>
      </c>
      <c r="X29" s="132">
        <v>44571</v>
      </c>
      <c r="Y29" s="132">
        <v>44595</v>
      </c>
      <c r="Z29" s="132"/>
      <c r="AA29" s="132"/>
      <c r="AB29" s="133"/>
      <c r="AC29" s="126" t="s">
        <v>64</v>
      </c>
      <c r="AD29" s="134" t="s">
        <v>322</v>
      </c>
      <c r="AE29" s="134"/>
      <c r="AF29" s="134"/>
      <c r="AG29" s="134">
        <v>44309</v>
      </c>
      <c r="AH29" s="134"/>
      <c r="AI29" s="134">
        <f t="shared" ca="1" si="1"/>
        <v>44963</v>
      </c>
      <c r="AJ29" s="126">
        <f t="shared" ca="1" si="2"/>
        <v>654</v>
      </c>
      <c r="AK29" s="126">
        <f t="shared" ca="1" si="3"/>
        <v>368</v>
      </c>
      <c r="AL29" s="134" t="s">
        <v>436</v>
      </c>
      <c r="AM29" s="143" t="s">
        <v>440</v>
      </c>
      <c r="AN29" s="129">
        <v>7.8940000000000001</v>
      </c>
      <c r="AO29" s="129">
        <v>7.9340000000000002</v>
      </c>
      <c r="AP29" s="129">
        <v>7.9590000000000005</v>
      </c>
      <c r="AQ29" s="129">
        <v>7.9640000000000004</v>
      </c>
      <c r="AR29" s="126">
        <f t="shared" ca="1" si="4"/>
        <v>392</v>
      </c>
      <c r="AU29" s="99" t="s">
        <v>136</v>
      </c>
    </row>
    <row r="30" spans="1:59" s="99" customFormat="1" ht="21" customHeight="1" x14ac:dyDescent="0.35">
      <c r="A30" s="99">
        <v>406</v>
      </c>
      <c r="B30" s="126" t="str">
        <f t="shared" si="0"/>
        <v>0-J3/2B-001X640</v>
      </c>
      <c r="C30" s="126" t="s">
        <v>3084</v>
      </c>
      <c r="D30" s="126" t="s">
        <v>358</v>
      </c>
      <c r="E30" s="143" t="s">
        <v>3093</v>
      </c>
      <c r="F30" s="143" t="s">
        <v>3094</v>
      </c>
      <c r="G30" s="126" t="s">
        <v>29</v>
      </c>
      <c r="H30" s="126" t="s">
        <v>116</v>
      </c>
      <c r="I30" s="127">
        <v>2.4</v>
      </c>
      <c r="J30" s="127">
        <v>1.1000000000000001</v>
      </c>
      <c r="K30" s="149">
        <v>1.07</v>
      </c>
      <c r="L30" s="149">
        <v>1.0900000000000001</v>
      </c>
      <c r="M30" s="144">
        <v>640</v>
      </c>
      <c r="N30" s="129">
        <v>10.24</v>
      </c>
      <c r="O30" s="129">
        <v>10.210000000000001</v>
      </c>
      <c r="P30" s="129"/>
      <c r="Q30" s="129"/>
      <c r="R30" s="129" t="s">
        <v>116</v>
      </c>
      <c r="S30" s="284"/>
      <c r="T30" s="130" t="s">
        <v>412</v>
      </c>
      <c r="U30" s="130"/>
      <c r="V30" s="131"/>
      <c r="W30" s="132">
        <v>44571</v>
      </c>
      <c r="X30" s="132">
        <v>44572</v>
      </c>
      <c r="Y30" s="132">
        <v>44595</v>
      </c>
      <c r="Z30" s="132"/>
      <c r="AA30" s="132"/>
      <c r="AB30" s="133"/>
      <c r="AC30" s="126" t="s">
        <v>64</v>
      </c>
      <c r="AD30" s="134" t="s">
        <v>322</v>
      </c>
      <c r="AE30" s="134"/>
      <c r="AF30" s="134"/>
      <c r="AG30" s="134">
        <v>44396</v>
      </c>
      <c r="AH30" s="134"/>
      <c r="AI30" s="134">
        <f t="shared" ca="1" si="1"/>
        <v>44963</v>
      </c>
      <c r="AJ30" s="126">
        <f t="shared" ca="1" si="2"/>
        <v>567</v>
      </c>
      <c r="AK30" s="126">
        <f t="shared" ca="1" si="3"/>
        <v>368</v>
      </c>
      <c r="AL30" s="134" t="s">
        <v>881</v>
      </c>
      <c r="AM30" s="143" t="s">
        <v>3095</v>
      </c>
      <c r="AN30" s="129">
        <v>10.25</v>
      </c>
      <c r="AO30" s="129">
        <v>10.29</v>
      </c>
      <c r="AP30" s="129">
        <v>10.314999999999998</v>
      </c>
      <c r="AQ30" s="129">
        <v>10.319999999999999</v>
      </c>
      <c r="AR30" s="126">
        <f t="shared" ca="1" si="4"/>
        <v>391</v>
      </c>
      <c r="AU30" s="99" t="s">
        <v>136</v>
      </c>
    </row>
    <row r="31" spans="1:59" s="99" customFormat="1" ht="21" customHeight="1" x14ac:dyDescent="0.35">
      <c r="A31" s="99">
        <v>386</v>
      </c>
      <c r="B31" s="126" t="str">
        <f t="shared" si="0"/>
        <v>0-J3/2B-001X595</v>
      </c>
      <c r="C31" s="126" t="s">
        <v>3084</v>
      </c>
      <c r="D31" s="126" t="s">
        <v>358</v>
      </c>
      <c r="E31" s="143" t="s">
        <v>3096</v>
      </c>
      <c r="F31" s="143" t="s">
        <v>3097</v>
      </c>
      <c r="G31" s="126" t="s">
        <v>29</v>
      </c>
      <c r="H31" s="126" t="s">
        <v>116</v>
      </c>
      <c r="I31" s="127">
        <v>2.4</v>
      </c>
      <c r="J31" s="127">
        <v>0.95</v>
      </c>
      <c r="K31" s="149">
        <v>0.94</v>
      </c>
      <c r="L31" s="149">
        <v>0.96</v>
      </c>
      <c r="M31" s="144">
        <v>595</v>
      </c>
      <c r="N31" s="129">
        <v>8.2100000000000009</v>
      </c>
      <c r="O31" s="129">
        <v>8.1999999999999993</v>
      </c>
      <c r="P31" s="129"/>
      <c r="Q31" s="129"/>
      <c r="R31" s="129" t="s">
        <v>116</v>
      </c>
      <c r="S31" s="284"/>
      <c r="T31" s="130" t="s">
        <v>412</v>
      </c>
      <c r="U31" s="130"/>
      <c r="V31" s="131"/>
      <c r="W31" s="132">
        <v>44571</v>
      </c>
      <c r="X31" s="132">
        <v>44571</v>
      </c>
      <c r="Y31" s="132">
        <v>44595</v>
      </c>
      <c r="Z31" s="132"/>
      <c r="AA31" s="132"/>
      <c r="AB31" s="133"/>
      <c r="AC31" s="126" t="s">
        <v>64</v>
      </c>
      <c r="AD31" s="134" t="s">
        <v>468</v>
      </c>
      <c r="AE31" s="134"/>
      <c r="AF31" s="134"/>
      <c r="AG31" s="134">
        <v>44322</v>
      </c>
      <c r="AH31" s="134"/>
      <c r="AI31" s="134">
        <f t="shared" ca="1" si="1"/>
        <v>44963</v>
      </c>
      <c r="AJ31" s="126">
        <f t="shared" ca="1" si="2"/>
        <v>641</v>
      </c>
      <c r="AK31" s="126">
        <f t="shared" ca="1" si="3"/>
        <v>368</v>
      </c>
      <c r="AL31" s="134" t="s">
        <v>477</v>
      </c>
      <c r="AM31" s="143" t="s">
        <v>480</v>
      </c>
      <c r="AN31" s="129">
        <v>8.2309999999999999</v>
      </c>
      <c r="AO31" s="129">
        <v>8.270999999999999</v>
      </c>
      <c r="AP31" s="129">
        <v>8.2959999999999976</v>
      </c>
      <c r="AQ31" s="129">
        <v>8.3009999999999984</v>
      </c>
      <c r="AR31" s="126">
        <f t="shared" ca="1" si="4"/>
        <v>392</v>
      </c>
      <c r="AU31" s="99" t="s">
        <v>136</v>
      </c>
    </row>
    <row r="32" spans="1:59" s="99" customFormat="1" ht="21" customHeight="1" x14ac:dyDescent="0.35">
      <c r="A32" s="99">
        <v>386</v>
      </c>
      <c r="B32" s="126" t="str">
        <f t="shared" si="0"/>
        <v>0-J3/2B-001X595</v>
      </c>
      <c r="C32" s="126" t="s">
        <v>3098</v>
      </c>
      <c r="D32" s="126" t="s">
        <v>358</v>
      </c>
      <c r="E32" s="143" t="s">
        <v>3099</v>
      </c>
      <c r="F32" s="143" t="s">
        <v>3100</v>
      </c>
      <c r="G32" s="126" t="s">
        <v>29</v>
      </c>
      <c r="H32" s="126" t="s">
        <v>116</v>
      </c>
      <c r="I32" s="127">
        <v>2.4</v>
      </c>
      <c r="J32" s="127">
        <v>0.95</v>
      </c>
      <c r="K32" s="149">
        <v>0.94</v>
      </c>
      <c r="L32" s="149">
        <v>0.95</v>
      </c>
      <c r="M32" s="144">
        <v>595</v>
      </c>
      <c r="N32" s="129">
        <v>8.07</v>
      </c>
      <c r="O32" s="129">
        <v>8.0299999999999994</v>
      </c>
      <c r="P32" s="129"/>
      <c r="Q32" s="129"/>
      <c r="R32" s="129" t="s">
        <v>116</v>
      </c>
      <c r="S32" s="284"/>
      <c r="T32" s="130" t="s">
        <v>412</v>
      </c>
      <c r="U32" s="130"/>
      <c r="V32" s="131"/>
      <c r="W32" s="132">
        <v>44570</v>
      </c>
      <c r="X32" s="132">
        <v>44571</v>
      </c>
      <c r="Y32" s="132">
        <v>44596</v>
      </c>
      <c r="Z32" s="132"/>
      <c r="AA32" s="132"/>
      <c r="AB32" s="133"/>
      <c r="AC32" s="126" t="s">
        <v>64</v>
      </c>
      <c r="AD32" s="134" t="s">
        <v>468</v>
      </c>
      <c r="AE32" s="134"/>
      <c r="AF32" s="134"/>
      <c r="AG32" s="134">
        <v>44322</v>
      </c>
      <c r="AH32" s="134"/>
      <c r="AI32" s="134">
        <f t="shared" ca="1" si="1"/>
        <v>44963</v>
      </c>
      <c r="AJ32" s="126">
        <f t="shared" ca="1" si="2"/>
        <v>641</v>
      </c>
      <c r="AK32" s="126">
        <f t="shared" ca="1" si="3"/>
        <v>367</v>
      </c>
      <c r="AL32" s="134" t="s">
        <v>545</v>
      </c>
      <c r="AM32" s="143" t="s">
        <v>517</v>
      </c>
      <c r="AN32" s="129">
        <v>8.0749999999999993</v>
      </c>
      <c r="AO32" s="129">
        <v>8.1149999999999984</v>
      </c>
      <c r="AP32" s="129">
        <v>8.139999999999997</v>
      </c>
      <c r="AQ32" s="129">
        <v>8.1449999999999978</v>
      </c>
      <c r="AR32" s="126">
        <f t="shared" ca="1" si="4"/>
        <v>392</v>
      </c>
      <c r="AU32" s="99" t="s">
        <v>136</v>
      </c>
    </row>
    <row r="33" spans="1:59" s="99" customFormat="1" ht="21" customHeight="1" x14ac:dyDescent="0.35">
      <c r="A33" s="99">
        <v>395</v>
      </c>
      <c r="B33" s="126" t="str">
        <f t="shared" si="0"/>
        <v>0-J3/2B-001X620</v>
      </c>
      <c r="C33" s="126" t="s">
        <v>3098</v>
      </c>
      <c r="D33" s="126" t="s">
        <v>358</v>
      </c>
      <c r="E33" s="143" t="s">
        <v>688</v>
      </c>
      <c r="F33" s="143" t="s">
        <v>689</v>
      </c>
      <c r="G33" s="126" t="s">
        <v>29</v>
      </c>
      <c r="H33" s="126" t="s">
        <v>116</v>
      </c>
      <c r="I33" s="127">
        <v>2.4</v>
      </c>
      <c r="J33" s="127">
        <v>0.95</v>
      </c>
      <c r="K33" s="149">
        <v>0.95</v>
      </c>
      <c r="L33" s="149">
        <v>0.97</v>
      </c>
      <c r="M33" s="144">
        <v>620</v>
      </c>
      <c r="N33" s="129">
        <v>9.92</v>
      </c>
      <c r="O33" s="129">
        <v>9.9</v>
      </c>
      <c r="P33" s="129"/>
      <c r="Q33" s="129"/>
      <c r="R33" s="129" t="s">
        <v>116</v>
      </c>
      <c r="S33" s="284"/>
      <c r="T33" s="130" t="s">
        <v>412</v>
      </c>
      <c r="U33" s="130"/>
      <c r="V33" s="131"/>
      <c r="W33" s="132">
        <v>44558</v>
      </c>
      <c r="X33" s="132">
        <v>44571</v>
      </c>
      <c r="Y33" s="132">
        <v>44596</v>
      </c>
      <c r="Z33" s="132"/>
      <c r="AA33" s="132"/>
      <c r="AB33" s="133"/>
      <c r="AC33" s="126" t="s">
        <v>64</v>
      </c>
      <c r="AD33" s="134" t="s">
        <v>468</v>
      </c>
      <c r="AE33" s="134"/>
      <c r="AF33" s="134"/>
      <c r="AG33" s="134">
        <v>44370</v>
      </c>
      <c r="AH33" s="134"/>
      <c r="AI33" s="134">
        <f t="shared" ca="1" si="1"/>
        <v>44963</v>
      </c>
      <c r="AJ33" s="126">
        <f t="shared" ca="1" si="2"/>
        <v>593</v>
      </c>
      <c r="AK33" s="126">
        <f t="shared" ca="1" si="3"/>
        <v>367</v>
      </c>
      <c r="AL33" s="134" t="s">
        <v>690</v>
      </c>
      <c r="AM33" s="143" t="s">
        <v>691</v>
      </c>
      <c r="AN33" s="129">
        <v>9.9350000000000005</v>
      </c>
      <c r="AO33" s="129">
        <v>9.9749999999999996</v>
      </c>
      <c r="AP33" s="129">
        <v>9.9999999999999982</v>
      </c>
      <c r="AQ33" s="129">
        <v>10.004999999999999</v>
      </c>
      <c r="AR33" s="126">
        <f t="shared" ca="1" si="4"/>
        <v>392</v>
      </c>
      <c r="AU33" s="99" t="s">
        <v>136</v>
      </c>
    </row>
    <row r="34" spans="1:59" s="99" customFormat="1" ht="21" customHeight="1" x14ac:dyDescent="0.35">
      <c r="A34" s="99">
        <v>400</v>
      </c>
      <c r="B34" s="126" t="str">
        <f t="shared" si="0"/>
        <v>0-J3/2B-001X620</v>
      </c>
      <c r="C34" s="126" t="s">
        <v>3098</v>
      </c>
      <c r="D34" s="126" t="s">
        <v>358</v>
      </c>
      <c r="E34" s="143" t="s">
        <v>763</v>
      </c>
      <c r="F34" s="143" t="s">
        <v>764</v>
      </c>
      <c r="G34" s="126" t="s">
        <v>29</v>
      </c>
      <c r="H34" s="126" t="s">
        <v>116</v>
      </c>
      <c r="I34" s="127">
        <v>2.4</v>
      </c>
      <c r="J34" s="127">
        <v>1.1000000000000001</v>
      </c>
      <c r="K34" s="149">
        <v>1.08</v>
      </c>
      <c r="L34" s="149">
        <v>1.1000000000000001</v>
      </c>
      <c r="M34" s="144">
        <v>620</v>
      </c>
      <c r="N34" s="129">
        <v>10.02</v>
      </c>
      <c r="O34" s="129">
        <v>10</v>
      </c>
      <c r="P34" s="129"/>
      <c r="Q34" s="129"/>
      <c r="R34" s="129" t="s">
        <v>116</v>
      </c>
      <c r="S34" s="284"/>
      <c r="T34" s="130" t="s">
        <v>412</v>
      </c>
      <c r="U34" s="130"/>
      <c r="V34" s="131"/>
      <c r="W34" s="132">
        <v>44572</v>
      </c>
      <c r="X34" s="132">
        <v>44572</v>
      </c>
      <c r="Y34" s="132">
        <v>44596</v>
      </c>
      <c r="Z34" s="132"/>
      <c r="AA34" s="132"/>
      <c r="AB34" s="133"/>
      <c r="AC34" s="126" t="s">
        <v>64</v>
      </c>
      <c r="AD34" s="134" t="s">
        <v>322</v>
      </c>
      <c r="AE34" s="134"/>
      <c r="AF34" s="134"/>
      <c r="AG34" s="134">
        <v>44384</v>
      </c>
      <c r="AH34" s="134"/>
      <c r="AI34" s="134">
        <f t="shared" ca="1" si="1"/>
        <v>44963</v>
      </c>
      <c r="AJ34" s="126">
        <f t="shared" ca="1" si="2"/>
        <v>579</v>
      </c>
      <c r="AK34" s="126">
        <f t="shared" ca="1" si="3"/>
        <v>367</v>
      </c>
      <c r="AL34" s="134" t="s">
        <v>761</v>
      </c>
      <c r="AM34" s="143" t="s">
        <v>762</v>
      </c>
      <c r="AN34" s="129">
        <v>10.029999999999999</v>
      </c>
      <c r="AO34" s="129">
        <v>10.069999999999999</v>
      </c>
      <c r="AP34" s="129">
        <v>10.094999999999997</v>
      </c>
      <c r="AQ34" s="129">
        <v>10.099999999999998</v>
      </c>
      <c r="AR34" s="126">
        <f t="shared" ca="1" si="4"/>
        <v>391</v>
      </c>
      <c r="AU34" s="99" t="s">
        <v>136</v>
      </c>
    </row>
    <row r="35" spans="1:59" s="99" customFormat="1" ht="21" customHeight="1" x14ac:dyDescent="0.35">
      <c r="A35" s="99">
        <v>406</v>
      </c>
      <c r="B35" s="126" t="str">
        <f t="shared" si="0"/>
        <v>0-J3/2B-001X640</v>
      </c>
      <c r="C35" s="126" t="s">
        <v>3098</v>
      </c>
      <c r="D35" s="126" t="s">
        <v>358</v>
      </c>
      <c r="E35" s="143" t="s">
        <v>879</v>
      </c>
      <c r="F35" s="143" t="s">
        <v>880</v>
      </c>
      <c r="G35" s="126" t="s">
        <v>29</v>
      </c>
      <c r="H35" s="126" t="s">
        <v>116</v>
      </c>
      <c r="I35" s="127">
        <v>2.4</v>
      </c>
      <c r="J35" s="127">
        <v>0.95</v>
      </c>
      <c r="K35" s="127">
        <v>0.94</v>
      </c>
      <c r="L35" s="127">
        <v>0.96</v>
      </c>
      <c r="M35" s="144">
        <v>640</v>
      </c>
      <c r="N35" s="129">
        <v>10.220000000000001</v>
      </c>
      <c r="O35" s="129">
        <v>10.195</v>
      </c>
      <c r="P35" s="129"/>
      <c r="Q35" s="129"/>
      <c r="R35" s="129" t="s">
        <v>116</v>
      </c>
      <c r="S35" s="284"/>
      <c r="T35" s="130" t="s">
        <v>412</v>
      </c>
      <c r="U35" s="130"/>
      <c r="V35" s="131"/>
      <c r="W35" s="132">
        <v>44571</v>
      </c>
      <c r="X35" s="132">
        <v>44571</v>
      </c>
      <c r="Y35" s="132">
        <v>44596</v>
      </c>
      <c r="Z35" s="132"/>
      <c r="AA35" s="132"/>
      <c r="AB35" s="133"/>
      <c r="AC35" s="126" t="s">
        <v>64</v>
      </c>
      <c r="AD35" s="134" t="s">
        <v>322</v>
      </c>
      <c r="AE35" s="134"/>
      <c r="AF35" s="134"/>
      <c r="AG35" s="134">
        <v>44396</v>
      </c>
      <c r="AH35" s="134"/>
      <c r="AI35" s="134">
        <f t="shared" ca="1" si="1"/>
        <v>44963</v>
      </c>
      <c r="AJ35" s="126">
        <f t="shared" ca="1" si="2"/>
        <v>567</v>
      </c>
      <c r="AK35" s="126">
        <f t="shared" ca="1" si="3"/>
        <v>367</v>
      </c>
      <c r="AL35" s="134" t="s">
        <v>881</v>
      </c>
      <c r="AM35" s="143" t="s">
        <v>714</v>
      </c>
      <c r="AN35" s="129">
        <v>10.244999999999999</v>
      </c>
      <c r="AO35" s="129">
        <v>10.285</v>
      </c>
      <c r="AP35" s="129">
        <v>10.309999999999999</v>
      </c>
      <c r="AQ35" s="129">
        <v>10.315</v>
      </c>
      <c r="AR35" s="126">
        <f t="shared" ca="1" si="4"/>
        <v>392</v>
      </c>
      <c r="AU35" s="99" t="s">
        <v>136</v>
      </c>
    </row>
    <row r="36" spans="1:59" s="99" customFormat="1" ht="21" customHeight="1" x14ac:dyDescent="0.35">
      <c r="A36" s="99">
        <v>421</v>
      </c>
      <c r="B36" s="126" t="str">
        <f t="shared" si="0"/>
        <v>0-304/2B-001X770</v>
      </c>
      <c r="C36" s="126" t="s">
        <v>3101</v>
      </c>
      <c r="D36" s="126" t="s">
        <v>3026</v>
      </c>
      <c r="E36" s="143" t="s">
        <v>3102</v>
      </c>
      <c r="F36" s="143" t="s">
        <v>3103</v>
      </c>
      <c r="G36" s="126">
        <v>304</v>
      </c>
      <c r="H36" s="126" t="s">
        <v>116</v>
      </c>
      <c r="I36" s="127">
        <v>3.01</v>
      </c>
      <c r="J36" s="127">
        <v>1</v>
      </c>
      <c r="K36" s="149">
        <v>1</v>
      </c>
      <c r="L36" s="149">
        <v>1.01</v>
      </c>
      <c r="M36" s="144">
        <v>770</v>
      </c>
      <c r="N36" s="129">
        <v>10.445</v>
      </c>
      <c r="O36" s="129">
        <f>5.27+5.125</f>
        <v>10.395</v>
      </c>
      <c r="P36" s="129"/>
      <c r="Q36" s="129"/>
      <c r="R36" s="129" t="s">
        <v>116</v>
      </c>
      <c r="S36" s="284" t="s">
        <v>3104</v>
      </c>
      <c r="T36" s="130" t="s">
        <v>1206</v>
      </c>
      <c r="U36" s="130" t="s">
        <v>3063</v>
      </c>
      <c r="V36" s="131"/>
      <c r="W36" s="132">
        <v>44516</v>
      </c>
      <c r="X36" s="132">
        <v>44516</v>
      </c>
      <c r="Y36" s="132"/>
      <c r="Z36" s="132"/>
      <c r="AA36" s="132"/>
      <c r="AB36" s="133"/>
      <c r="AC36" s="126" t="s">
        <v>64</v>
      </c>
      <c r="AD36" s="134" t="s">
        <v>154</v>
      </c>
      <c r="AE36" s="134" t="s">
        <v>1246</v>
      </c>
      <c r="AF36" s="134"/>
      <c r="AG36" s="134">
        <v>44496</v>
      </c>
      <c r="AH36" s="134"/>
      <c r="AI36" s="134">
        <f t="shared" ca="1" si="1"/>
        <v>44963</v>
      </c>
      <c r="AJ36" s="126">
        <f t="shared" ca="1" si="2"/>
        <v>467</v>
      </c>
      <c r="AK36" s="126" t="str">
        <f t="shared" si="3"/>
        <v/>
      </c>
      <c r="AL36" s="134"/>
      <c r="AM36" s="143" t="s">
        <v>3105</v>
      </c>
      <c r="AN36" s="129">
        <v>10.43</v>
      </c>
      <c r="AO36" s="129">
        <v>10.44</v>
      </c>
      <c r="AP36" s="129">
        <v>10.464999999999998</v>
      </c>
      <c r="AQ36" s="129">
        <v>10.469999999999999</v>
      </c>
      <c r="AR36" s="126">
        <f t="shared" ca="1" si="4"/>
        <v>447</v>
      </c>
      <c r="AU36" s="99" t="s">
        <v>136</v>
      </c>
      <c r="BG36" s="99" t="s">
        <v>465</v>
      </c>
    </row>
    <row r="37" spans="1:59" s="99" customFormat="1" ht="21" customHeight="1" x14ac:dyDescent="0.35">
      <c r="A37" s="99">
        <v>422</v>
      </c>
      <c r="B37" s="126" t="str">
        <f t="shared" si="0"/>
        <v>0-304L/2B-001X767</v>
      </c>
      <c r="C37" s="126" t="s">
        <v>3101</v>
      </c>
      <c r="D37" s="126" t="s">
        <v>3026</v>
      </c>
      <c r="E37" s="143" t="s">
        <v>3106</v>
      </c>
      <c r="F37" s="143" t="s">
        <v>3107</v>
      </c>
      <c r="G37" s="126" t="s">
        <v>230</v>
      </c>
      <c r="H37" s="126" t="s">
        <v>116</v>
      </c>
      <c r="I37" s="127">
        <v>3.8</v>
      </c>
      <c r="J37" s="127">
        <v>1.2</v>
      </c>
      <c r="K37" s="149">
        <v>1.1599999999999999</v>
      </c>
      <c r="L37" s="149">
        <v>1.18</v>
      </c>
      <c r="M37" s="144">
        <v>767</v>
      </c>
      <c r="N37" s="129">
        <v>10.324999999999999</v>
      </c>
      <c r="O37" s="129">
        <f>5.185+5.085</f>
        <v>10.27</v>
      </c>
      <c r="P37" s="129"/>
      <c r="Q37" s="129"/>
      <c r="R37" s="129" t="s">
        <v>116</v>
      </c>
      <c r="S37" s="284" t="s">
        <v>3104</v>
      </c>
      <c r="T37" s="130" t="s">
        <v>1206</v>
      </c>
      <c r="U37" s="130" t="s">
        <v>3063</v>
      </c>
      <c r="V37" s="131"/>
      <c r="W37" s="132">
        <v>44574</v>
      </c>
      <c r="X37" s="132">
        <v>44575</v>
      </c>
      <c r="Y37" s="132"/>
      <c r="Z37" s="132"/>
      <c r="AA37" s="132"/>
      <c r="AB37" s="133"/>
      <c r="AC37" s="126" t="s">
        <v>64</v>
      </c>
      <c r="AD37" s="134" t="s">
        <v>154</v>
      </c>
      <c r="AE37" s="134" t="s">
        <v>1330</v>
      </c>
      <c r="AF37" s="134"/>
      <c r="AG37" s="134">
        <v>44516</v>
      </c>
      <c r="AH37" s="134"/>
      <c r="AI37" s="134">
        <f t="shared" ca="1" si="1"/>
        <v>44963</v>
      </c>
      <c r="AJ37" s="126">
        <f t="shared" ca="1" si="2"/>
        <v>447</v>
      </c>
      <c r="AK37" s="126" t="str">
        <f t="shared" si="3"/>
        <v/>
      </c>
      <c r="AL37" s="134"/>
      <c r="AM37" s="143" t="s">
        <v>3077</v>
      </c>
      <c r="AN37" s="129">
        <v>10.315</v>
      </c>
      <c r="AO37" s="129">
        <v>10.324999999999999</v>
      </c>
      <c r="AP37" s="129">
        <v>10.349999999999998</v>
      </c>
      <c r="AQ37" s="129">
        <v>10.354999999999999</v>
      </c>
      <c r="AR37" s="126">
        <f t="shared" ca="1" si="4"/>
        <v>388</v>
      </c>
      <c r="AU37" s="99" t="s">
        <v>136</v>
      </c>
    </row>
    <row r="38" spans="1:59" s="724" customFormat="1" ht="21" customHeight="1" x14ac:dyDescent="0.35">
      <c r="A38" s="724">
        <v>422</v>
      </c>
      <c r="B38" s="725" t="str">
        <f t="shared" si="0"/>
        <v>0-304L/2B-002X767</v>
      </c>
      <c r="C38" s="725" t="s">
        <v>3101</v>
      </c>
      <c r="D38" s="725" t="s">
        <v>3026</v>
      </c>
      <c r="E38" s="726" t="s">
        <v>3108</v>
      </c>
      <c r="F38" s="726" t="s">
        <v>3109</v>
      </c>
      <c r="G38" s="725" t="s">
        <v>230</v>
      </c>
      <c r="H38" s="725" t="s">
        <v>116</v>
      </c>
      <c r="I38" s="727">
        <v>3.47</v>
      </c>
      <c r="J38" s="727">
        <v>1.5</v>
      </c>
      <c r="K38" s="728">
        <v>1.46</v>
      </c>
      <c r="L38" s="728">
        <v>1.5</v>
      </c>
      <c r="M38" s="729">
        <v>767</v>
      </c>
      <c r="N38" s="820">
        <v>10.365</v>
      </c>
      <c r="O38" s="730">
        <v>6.06</v>
      </c>
      <c r="P38" s="730"/>
      <c r="Q38" s="730"/>
      <c r="R38" s="730" t="s">
        <v>116</v>
      </c>
      <c r="S38" s="731" t="s">
        <v>3104</v>
      </c>
      <c r="T38" s="732" t="s">
        <v>1206</v>
      </c>
      <c r="U38" s="732" t="s">
        <v>3063</v>
      </c>
      <c r="V38" s="733"/>
      <c r="W38" s="734">
        <v>44575</v>
      </c>
      <c r="X38" s="734">
        <v>44576</v>
      </c>
      <c r="Y38" s="734"/>
      <c r="Z38" s="734"/>
      <c r="AA38" s="734"/>
      <c r="AB38" s="735"/>
      <c r="AC38" s="725" t="s">
        <v>64</v>
      </c>
      <c r="AD38" s="736" t="s">
        <v>154</v>
      </c>
      <c r="AE38" s="736" t="s">
        <v>1330</v>
      </c>
      <c r="AF38" s="736"/>
      <c r="AG38" s="736">
        <v>44516</v>
      </c>
      <c r="AH38" s="736"/>
      <c r="AI38" s="736">
        <f t="shared" ca="1" si="1"/>
        <v>44963</v>
      </c>
      <c r="AJ38" s="725">
        <f t="shared" ca="1" si="2"/>
        <v>447</v>
      </c>
      <c r="AK38" s="725" t="str">
        <f t="shared" si="3"/>
        <v/>
      </c>
      <c r="AL38" s="736"/>
      <c r="AM38" s="726" t="s">
        <v>3110</v>
      </c>
      <c r="AN38" s="730">
        <v>10.38</v>
      </c>
      <c r="AO38" s="730">
        <v>10.39</v>
      </c>
      <c r="AP38" s="730">
        <v>10.414999999999999</v>
      </c>
      <c r="AQ38" s="730">
        <v>10.42</v>
      </c>
      <c r="AR38" s="725">
        <f t="shared" ca="1" si="4"/>
        <v>387</v>
      </c>
      <c r="AU38" s="724" t="s">
        <v>136</v>
      </c>
    </row>
    <row r="39" spans="1:59" s="724" customFormat="1" ht="21" customHeight="1" x14ac:dyDescent="0.35">
      <c r="A39" s="724">
        <v>422</v>
      </c>
      <c r="B39" s="725" t="str">
        <f t="shared" si="0"/>
        <v>0-304L/2B-002X767</v>
      </c>
      <c r="C39" s="725" t="s">
        <v>3098</v>
      </c>
      <c r="D39" s="725" t="s">
        <v>358</v>
      </c>
      <c r="E39" s="726" t="s">
        <v>3108</v>
      </c>
      <c r="F39" s="726" t="s">
        <v>3111</v>
      </c>
      <c r="G39" s="725" t="s">
        <v>230</v>
      </c>
      <c r="H39" s="725" t="s">
        <v>116</v>
      </c>
      <c r="I39" s="727">
        <v>3.47</v>
      </c>
      <c r="J39" s="727">
        <v>1.5</v>
      </c>
      <c r="K39" s="728">
        <v>1.46</v>
      </c>
      <c r="L39" s="728">
        <v>1.5</v>
      </c>
      <c r="M39" s="729">
        <v>767</v>
      </c>
      <c r="N39" s="821"/>
      <c r="O39" s="730">
        <v>4.2750000000000004</v>
      </c>
      <c r="P39" s="730"/>
      <c r="Q39" s="730"/>
      <c r="R39" s="730" t="s">
        <v>116</v>
      </c>
      <c r="S39" s="731"/>
      <c r="T39" s="732" t="s">
        <v>3063</v>
      </c>
      <c r="U39" s="732"/>
      <c r="V39" s="733"/>
      <c r="W39" s="734">
        <v>44575</v>
      </c>
      <c r="X39" s="734">
        <v>44576</v>
      </c>
      <c r="Y39" s="734">
        <v>44596</v>
      </c>
      <c r="Z39" s="734"/>
      <c r="AA39" s="734"/>
      <c r="AB39" s="735"/>
      <c r="AC39" s="725" t="s">
        <v>64</v>
      </c>
      <c r="AD39" s="736" t="s">
        <v>154</v>
      </c>
      <c r="AE39" s="736" t="s">
        <v>1330</v>
      </c>
      <c r="AF39" s="736"/>
      <c r="AG39" s="736">
        <v>44516</v>
      </c>
      <c r="AH39" s="736"/>
      <c r="AI39" s="736">
        <f t="shared" ca="1" si="1"/>
        <v>44963</v>
      </c>
      <c r="AJ39" s="725">
        <f t="shared" ca="1" si="2"/>
        <v>447</v>
      </c>
      <c r="AK39" s="725">
        <f t="shared" ca="1" si="3"/>
        <v>367</v>
      </c>
      <c r="AL39" s="736"/>
      <c r="AM39" s="726" t="s">
        <v>3110</v>
      </c>
      <c r="AN39" s="730">
        <v>10.38</v>
      </c>
      <c r="AO39" s="730">
        <v>10.39</v>
      </c>
      <c r="AP39" s="730">
        <v>10.414999999999999</v>
      </c>
      <c r="AQ39" s="730">
        <v>10.42</v>
      </c>
      <c r="AR39" s="725">
        <f t="shared" ca="1" si="4"/>
        <v>387</v>
      </c>
      <c r="AU39" s="724" t="s">
        <v>136</v>
      </c>
    </row>
    <row r="40" spans="1:59" s="99" customFormat="1" ht="21" customHeight="1" x14ac:dyDescent="0.35">
      <c r="A40" s="99">
        <v>422</v>
      </c>
      <c r="B40" s="126" t="str">
        <f t="shared" si="0"/>
        <v>0-304L/2B-001X770</v>
      </c>
      <c r="C40" s="126" t="s">
        <v>3101</v>
      </c>
      <c r="D40" s="126" t="s">
        <v>3026</v>
      </c>
      <c r="E40" s="143" t="s">
        <v>3112</v>
      </c>
      <c r="F40" s="143" t="s">
        <v>3113</v>
      </c>
      <c r="G40" s="126" t="s">
        <v>230</v>
      </c>
      <c r="H40" s="126" t="s">
        <v>116</v>
      </c>
      <c r="I40" s="127">
        <v>2.92</v>
      </c>
      <c r="J40" s="127">
        <v>1</v>
      </c>
      <c r="K40" s="149">
        <v>0.96</v>
      </c>
      <c r="L40" s="149">
        <v>1</v>
      </c>
      <c r="M40" s="144">
        <v>770</v>
      </c>
      <c r="N40" s="129">
        <v>10.45</v>
      </c>
      <c r="O40" s="129">
        <f>5.22+5.195</f>
        <v>10.414999999999999</v>
      </c>
      <c r="P40" s="129"/>
      <c r="Q40" s="129">
        <v>5.0000000000000001E-3</v>
      </c>
      <c r="R40" s="129" t="s">
        <v>116</v>
      </c>
      <c r="S40" s="284" t="s">
        <v>3104</v>
      </c>
      <c r="T40" s="130" t="s">
        <v>1206</v>
      </c>
      <c r="U40" s="130" t="s">
        <v>3063</v>
      </c>
      <c r="V40" s="131"/>
      <c r="W40" s="132">
        <v>44575</v>
      </c>
      <c r="X40" s="132">
        <v>44575</v>
      </c>
      <c r="Y40" s="132"/>
      <c r="Z40" s="132"/>
      <c r="AA40" s="132"/>
      <c r="AB40" s="133"/>
      <c r="AC40" s="126" t="s">
        <v>64</v>
      </c>
      <c r="AD40" s="134" t="s">
        <v>154</v>
      </c>
      <c r="AE40" s="134" t="s">
        <v>1296</v>
      </c>
      <c r="AF40" s="134"/>
      <c r="AG40" s="134">
        <v>44516</v>
      </c>
      <c r="AH40" s="134"/>
      <c r="AI40" s="134">
        <f t="shared" ca="1" si="1"/>
        <v>44963</v>
      </c>
      <c r="AJ40" s="126">
        <f t="shared" ca="1" si="2"/>
        <v>447</v>
      </c>
      <c r="AK40" s="126" t="str">
        <f t="shared" si="3"/>
        <v/>
      </c>
      <c r="AL40" s="134"/>
      <c r="AM40" s="143" t="s">
        <v>3114</v>
      </c>
      <c r="AN40" s="129">
        <v>10.44</v>
      </c>
      <c r="AO40" s="129">
        <v>10.45</v>
      </c>
      <c r="AP40" s="129">
        <v>10.474999999999998</v>
      </c>
      <c r="AQ40" s="129">
        <v>10.479999999999999</v>
      </c>
      <c r="AR40" s="126">
        <f t="shared" ca="1" si="4"/>
        <v>388</v>
      </c>
      <c r="AU40" s="99" t="s">
        <v>136</v>
      </c>
    </row>
    <row r="41" spans="1:59" s="99" customFormat="1" ht="21" customHeight="1" x14ac:dyDescent="0.35">
      <c r="A41" s="99">
        <v>421</v>
      </c>
      <c r="B41" s="126" t="str">
        <f t="shared" si="0"/>
        <v>0-304L/2B-1.20/1.50X770</v>
      </c>
      <c r="C41" s="126" t="s">
        <v>3101</v>
      </c>
      <c r="D41" s="126" t="s">
        <v>3026</v>
      </c>
      <c r="E41" s="143" t="s">
        <v>3115</v>
      </c>
      <c r="F41" s="143" t="s">
        <v>3116</v>
      </c>
      <c r="G41" s="126" t="s">
        <v>230</v>
      </c>
      <c r="H41" s="126" t="s">
        <v>116</v>
      </c>
      <c r="I41" s="127">
        <v>3.75</v>
      </c>
      <c r="J41" s="127" t="s">
        <v>3117</v>
      </c>
      <c r="K41" s="149" t="s">
        <v>3118</v>
      </c>
      <c r="L41" s="149" t="s">
        <v>3119</v>
      </c>
      <c r="M41" s="144">
        <v>770</v>
      </c>
      <c r="N41" s="129">
        <v>10.195</v>
      </c>
      <c r="O41" s="129">
        <f>4.95+5.19</f>
        <v>10.14</v>
      </c>
      <c r="P41" s="129"/>
      <c r="Q41" s="129">
        <v>8.9999999999999993E-3</v>
      </c>
      <c r="R41" s="129" t="s">
        <v>116</v>
      </c>
      <c r="S41" s="284" t="s">
        <v>3104</v>
      </c>
      <c r="T41" s="130" t="s">
        <v>1206</v>
      </c>
      <c r="U41" s="130" t="s">
        <v>3063</v>
      </c>
      <c r="V41" s="131"/>
      <c r="W41" s="132">
        <v>44516</v>
      </c>
      <c r="X41" s="132">
        <v>44517</v>
      </c>
      <c r="Y41" s="132"/>
      <c r="Z41" s="132"/>
      <c r="AA41" s="132"/>
      <c r="AB41" s="133"/>
      <c r="AC41" s="126" t="s">
        <v>64</v>
      </c>
      <c r="AD41" s="134" t="s">
        <v>154</v>
      </c>
      <c r="AE41" s="134" t="s">
        <v>1246</v>
      </c>
      <c r="AF41" s="134"/>
      <c r="AG41" s="134">
        <v>44496</v>
      </c>
      <c r="AH41" s="134"/>
      <c r="AI41" s="134">
        <f t="shared" ca="1" si="1"/>
        <v>44963</v>
      </c>
      <c r="AJ41" s="126">
        <f t="shared" ca="1" si="2"/>
        <v>467</v>
      </c>
      <c r="AK41" s="126" t="str">
        <f t="shared" si="3"/>
        <v/>
      </c>
      <c r="AL41" s="134"/>
      <c r="AM41" s="143" t="s">
        <v>3120</v>
      </c>
      <c r="AN41" s="129">
        <v>10.175000000000001</v>
      </c>
      <c r="AO41" s="129">
        <v>10.185</v>
      </c>
      <c r="AP41" s="129">
        <v>10.209999999999999</v>
      </c>
      <c r="AQ41" s="129">
        <v>10.215</v>
      </c>
      <c r="AR41" s="126">
        <f t="shared" ca="1" si="4"/>
        <v>446</v>
      </c>
      <c r="AU41" s="99" t="s">
        <v>136</v>
      </c>
      <c r="BG41" s="99" t="s">
        <v>1150</v>
      </c>
    </row>
    <row r="42" spans="1:59" s="99" customFormat="1" ht="21" customHeight="1" x14ac:dyDescent="0.35">
      <c r="A42" s="99">
        <v>421</v>
      </c>
      <c r="B42" s="126" t="str">
        <f t="shared" si="0"/>
        <v>0-304/2B-001X770</v>
      </c>
      <c r="C42" s="126" t="s">
        <v>3121</v>
      </c>
      <c r="D42" s="126" t="s">
        <v>3026</v>
      </c>
      <c r="E42" s="143" t="s">
        <v>3122</v>
      </c>
      <c r="F42" s="143" t="s">
        <v>3123</v>
      </c>
      <c r="G42" s="126">
        <v>304</v>
      </c>
      <c r="H42" s="126" t="s">
        <v>116</v>
      </c>
      <c r="I42" s="127">
        <v>3</v>
      </c>
      <c r="J42" s="127">
        <v>1</v>
      </c>
      <c r="K42" s="149">
        <v>1</v>
      </c>
      <c r="L42" s="149">
        <v>1.03</v>
      </c>
      <c r="M42" s="144">
        <v>770</v>
      </c>
      <c r="N42" s="129">
        <v>10.515000000000001</v>
      </c>
      <c r="O42" s="129">
        <f>5.315+5.145</f>
        <v>10.46</v>
      </c>
      <c r="P42" s="129"/>
      <c r="Q42" s="129">
        <v>6.0000000000000001E-3</v>
      </c>
      <c r="R42" s="129" t="s">
        <v>116</v>
      </c>
      <c r="S42" s="284" t="s">
        <v>3104</v>
      </c>
      <c r="T42" s="130" t="s">
        <v>1206</v>
      </c>
      <c r="U42" s="130" t="s">
        <v>3063</v>
      </c>
      <c r="V42" s="131"/>
      <c r="W42" s="132">
        <v>44516</v>
      </c>
      <c r="X42" s="132">
        <v>44516</v>
      </c>
      <c r="Y42" s="132"/>
      <c r="Z42" s="132"/>
      <c r="AA42" s="132"/>
      <c r="AB42" s="133"/>
      <c r="AC42" s="126" t="s">
        <v>64</v>
      </c>
      <c r="AD42" s="134" t="s">
        <v>154</v>
      </c>
      <c r="AE42" s="134" t="s">
        <v>1239</v>
      </c>
      <c r="AF42" s="134"/>
      <c r="AG42" s="134">
        <v>44496</v>
      </c>
      <c r="AH42" s="134"/>
      <c r="AI42" s="134">
        <f ca="1">TODAY()</f>
        <v>44963</v>
      </c>
      <c r="AJ42" s="126">
        <f ca="1">IF(AG42&lt;&gt;0,AI42-AG42,0)</f>
        <v>467</v>
      </c>
      <c r="AK42" s="126" t="str">
        <f t="shared" si="3"/>
        <v/>
      </c>
      <c r="AL42" s="134"/>
      <c r="AM42" s="143" t="s">
        <v>3124</v>
      </c>
      <c r="AN42" s="129">
        <v>10.5</v>
      </c>
      <c r="AO42" s="129">
        <v>10.51</v>
      </c>
      <c r="AP42" s="129">
        <v>10.534999999999998</v>
      </c>
      <c r="AQ42" s="129">
        <v>10.54</v>
      </c>
      <c r="AR42" s="126">
        <f t="shared" ca="1" si="4"/>
        <v>447</v>
      </c>
      <c r="AU42" s="99" t="s">
        <v>136</v>
      </c>
      <c r="BG42" s="99" t="s">
        <v>3125</v>
      </c>
    </row>
    <row r="43" spans="1:59" s="99" customFormat="1" ht="21" customHeight="1" x14ac:dyDescent="0.35">
      <c r="A43" s="99">
        <v>422</v>
      </c>
      <c r="B43" s="126" t="str">
        <f t="shared" si="0"/>
        <v>0-304/2B-001X770</v>
      </c>
      <c r="C43" s="126" t="s">
        <v>3126</v>
      </c>
      <c r="D43" s="126" t="s">
        <v>358</v>
      </c>
      <c r="E43" s="143" t="s">
        <v>1336</v>
      </c>
      <c r="F43" s="143" t="s">
        <v>1337</v>
      </c>
      <c r="G43" s="126">
        <v>304</v>
      </c>
      <c r="H43" s="126" t="s">
        <v>116</v>
      </c>
      <c r="I43" s="127">
        <v>3.29</v>
      </c>
      <c r="J43" s="127">
        <v>1.1499999999999999</v>
      </c>
      <c r="K43" s="149">
        <v>1.1399999999999999</v>
      </c>
      <c r="L43" s="149">
        <v>1.1599999999999999</v>
      </c>
      <c r="M43" s="144">
        <v>770</v>
      </c>
      <c r="N43" s="129">
        <v>10.765000000000001</v>
      </c>
      <c r="O43" s="129">
        <v>10.73</v>
      </c>
      <c r="P43" s="129"/>
      <c r="Q43" s="129"/>
      <c r="R43" s="129" t="s">
        <v>116</v>
      </c>
      <c r="S43" s="284"/>
      <c r="T43" s="130" t="s">
        <v>446</v>
      </c>
      <c r="U43" s="130"/>
      <c r="V43" s="131"/>
      <c r="W43" s="132">
        <v>44566</v>
      </c>
      <c r="X43" s="132">
        <v>44566</v>
      </c>
      <c r="Y43" s="132">
        <v>44597</v>
      </c>
      <c r="Z43" s="132"/>
      <c r="AA43" s="132"/>
      <c r="AB43" s="133"/>
      <c r="AC43" s="126" t="s">
        <v>64</v>
      </c>
      <c r="AD43" s="134" t="s">
        <v>154</v>
      </c>
      <c r="AE43" s="134" t="s">
        <v>1330</v>
      </c>
      <c r="AF43" s="134"/>
      <c r="AG43" s="134">
        <v>44516</v>
      </c>
      <c r="AH43" s="134"/>
      <c r="AI43" s="134">
        <f ca="1">TODAY()</f>
        <v>44963</v>
      </c>
      <c r="AJ43" s="126">
        <f t="shared" ref="AJ43:AJ80" ca="1" si="5">IF(AG43&lt;&gt;0,AI43-AG43,0)</f>
        <v>447</v>
      </c>
      <c r="AK43" s="126">
        <f t="shared" ca="1" si="3"/>
        <v>366</v>
      </c>
      <c r="AL43" s="134"/>
      <c r="AM43" s="143" t="s">
        <v>1338</v>
      </c>
      <c r="AN43" s="129">
        <v>10.744999999999999</v>
      </c>
      <c r="AO43" s="129">
        <v>10.755000000000001</v>
      </c>
      <c r="AP43" s="129">
        <v>10.78</v>
      </c>
      <c r="AQ43" s="129">
        <v>10.785</v>
      </c>
      <c r="AR43" s="126">
        <f t="shared" ca="1" si="4"/>
        <v>397</v>
      </c>
      <c r="AU43" s="99" t="s">
        <v>136</v>
      </c>
    </row>
    <row r="44" spans="1:59" s="99" customFormat="1" ht="21" customHeight="1" x14ac:dyDescent="0.35">
      <c r="A44" s="99">
        <v>422</v>
      </c>
      <c r="B44" s="126" t="str">
        <f t="shared" si="0"/>
        <v>0-304L/2B-001X768</v>
      </c>
      <c r="C44" s="126" t="s">
        <v>3126</v>
      </c>
      <c r="D44" s="126" t="s">
        <v>358</v>
      </c>
      <c r="E44" s="143" t="s">
        <v>3127</v>
      </c>
      <c r="F44" s="143" t="s">
        <v>3128</v>
      </c>
      <c r="G44" s="126" t="s">
        <v>230</v>
      </c>
      <c r="H44" s="126" t="s">
        <v>116</v>
      </c>
      <c r="I44" s="127">
        <v>3.44</v>
      </c>
      <c r="J44" s="127">
        <v>1.1499999999999999</v>
      </c>
      <c r="K44" s="149">
        <v>1.1200000000000001</v>
      </c>
      <c r="L44" s="149">
        <v>1.1399999999999999</v>
      </c>
      <c r="M44" s="144">
        <v>768</v>
      </c>
      <c r="N44" s="129">
        <v>12.24</v>
      </c>
      <c r="O44" s="129">
        <v>12.195</v>
      </c>
      <c r="P44" s="129"/>
      <c r="Q44" s="129"/>
      <c r="R44" s="129" t="s">
        <v>116</v>
      </c>
      <c r="S44" s="284"/>
      <c r="T44" s="130" t="s">
        <v>446</v>
      </c>
      <c r="U44" s="130"/>
      <c r="V44" s="131"/>
      <c r="W44" s="132">
        <v>44569</v>
      </c>
      <c r="X44" s="132">
        <v>44570</v>
      </c>
      <c r="Y44" s="132">
        <v>44597</v>
      </c>
      <c r="Z44" s="132"/>
      <c r="AA44" s="132"/>
      <c r="AB44" s="133"/>
      <c r="AC44" s="126" t="s">
        <v>64</v>
      </c>
      <c r="AD44" s="134" t="s">
        <v>154</v>
      </c>
      <c r="AE44" s="134" t="s">
        <v>1296</v>
      </c>
      <c r="AF44" s="134"/>
      <c r="AG44" s="134">
        <v>44516</v>
      </c>
      <c r="AH44" s="134"/>
      <c r="AI44" s="134">
        <f ca="1">TODAY()</f>
        <v>44963</v>
      </c>
      <c r="AJ44" s="126">
        <f t="shared" ca="1" si="5"/>
        <v>447</v>
      </c>
      <c r="AK44" s="126">
        <f t="shared" ca="1" si="3"/>
        <v>366</v>
      </c>
      <c r="AL44" s="134"/>
      <c r="AM44" s="143" t="s">
        <v>3129</v>
      </c>
      <c r="AN44" s="129">
        <v>12.215</v>
      </c>
      <c r="AO44" s="129">
        <v>12.225</v>
      </c>
      <c r="AP44" s="129">
        <v>12.249999999999998</v>
      </c>
      <c r="AQ44" s="129">
        <v>12.254999999999999</v>
      </c>
      <c r="AR44" s="126">
        <f t="shared" ca="1" si="4"/>
        <v>393</v>
      </c>
      <c r="AU44" s="99" t="s">
        <v>136</v>
      </c>
    </row>
    <row r="45" spans="1:59" s="99" customFormat="1" ht="21" customHeight="1" x14ac:dyDescent="0.35">
      <c r="A45" s="99">
        <v>395</v>
      </c>
      <c r="B45" s="126" t="str">
        <f t="shared" si="0"/>
        <v>0-J3/2B-001X620</v>
      </c>
      <c r="C45" s="126" t="s">
        <v>3126</v>
      </c>
      <c r="D45" s="126" t="s">
        <v>358</v>
      </c>
      <c r="E45" s="143" t="s">
        <v>3130</v>
      </c>
      <c r="F45" s="143" t="s">
        <v>3131</v>
      </c>
      <c r="G45" s="126" t="s">
        <v>29</v>
      </c>
      <c r="H45" s="126" t="s">
        <v>116</v>
      </c>
      <c r="I45" s="127">
        <v>2.4</v>
      </c>
      <c r="J45" s="127">
        <v>0.92</v>
      </c>
      <c r="K45" s="149">
        <v>0.9</v>
      </c>
      <c r="L45" s="149">
        <v>0.92</v>
      </c>
      <c r="M45" s="144">
        <v>620</v>
      </c>
      <c r="N45" s="129">
        <v>9.94</v>
      </c>
      <c r="O45" s="129">
        <v>9.94</v>
      </c>
      <c r="P45" s="129"/>
      <c r="Q45" s="129"/>
      <c r="R45" s="129" t="s">
        <v>116</v>
      </c>
      <c r="S45" s="284"/>
      <c r="T45" s="130" t="s">
        <v>446</v>
      </c>
      <c r="U45" s="130"/>
      <c r="V45" s="131"/>
      <c r="W45" s="132">
        <v>44573</v>
      </c>
      <c r="X45" s="132">
        <v>44573</v>
      </c>
      <c r="Y45" s="132">
        <v>44597</v>
      </c>
      <c r="Z45" s="132"/>
      <c r="AA45" s="132"/>
      <c r="AB45" s="133"/>
      <c r="AC45" s="126" t="s">
        <v>64</v>
      </c>
      <c r="AD45" s="134" t="s">
        <v>468</v>
      </c>
      <c r="AE45" s="134"/>
      <c r="AF45" s="134"/>
      <c r="AG45" s="134">
        <v>44370</v>
      </c>
      <c r="AH45" s="134"/>
      <c r="AI45" s="134">
        <f t="shared" ref="AI45:AI80" ca="1" si="6">TODAY()</f>
        <v>44963</v>
      </c>
      <c r="AJ45" s="126">
        <f t="shared" ca="1" si="5"/>
        <v>593</v>
      </c>
      <c r="AK45" s="126">
        <f t="shared" ca="1" si="3"/>
        <v>366</v>
      </c>
      <c r="AL45" s="134" t="s">
        <v>3132</v>
      </c>
      <c r="AM45" s="143" t="s">
        <v>691</v>
      </c>
      <c r="AN45" s="129">
        <v>9.9649999999999999</v>
      </c>
      <c r="AO45" s="129">
        <v>10.004999999999999</v>
      </c>
      <c r="AP45" s="129">
        <v>10.029999999999998</v>
      </c>
      <c r="AQ45" s="129">
        <v>10.034999999999998</v>
      </c>
      <c r="AR45" s="126">
        <f t="shared" ca="1" si="4"/>
        <v>390</v>
      </c>
      <c r="AU45" s="99" t="s">
        <v>136</v>
      </c>
    </row>
    <row r="46" spans="1:59" s="99" customFormat="1" ht="21" customHeight="1" x14ac:dyDescent="0.35">
      <c r="A46" s="99">
        <v>386</v>
      </c>
      <c r="B46" s="126" t="str">
        <f t="shared" si="0"/>
        <v>0-J3/2B-001X595</v>
      </c>
      <c r="C46" s="126" t="s">
        <v>3126</v>
      </c>
      <c r="D46" s="126" t="s">
        <v>358</v>
      </c>
      <c r="E46" s="143" t="s">
        <v>3133</v>
      </c>
      <c r="F46" s="143" t="s">
        <v>3134</v>
      </c>
      <c r="G46" s="126" t="s">
        <v>29</v>
      </c>
      <c r="H46" s="126" t="s">
        <v>116</v>
      </c>
      <c r="I46" s="127">
        <v>2.4</v>
      </c>
      <c r="J46" s="127">
        <v>1.1200000000000001</v>
      </c>
      <c r="K46" s="149">
        <v>1.1000000000000001</v>
      </c>
      <c r="L46" s="149">
        <v>1.1299999999999999</v>
      </c>
      <c r="M46" s="144">
        <v>595</v>
      </c>
      <c r="N46" s="129">
        <v>8.19</v>
      </c>
      <c r="O46" s="129">
        <v>8.1850000000000005</v>
      </c>
      <c r="P46" s="129"/>
      <c r="Q46" s="129"/>
      <c r="R46" s="129" t="s">
        <v>116</v>
      </c>
      <c r="S46" s="284"/>
      <c r="T46" s="130" t="s">
        <v>446</v>
      </c>
      <c r="U46" s="130"/>
      <c r="V46" s="131"/>
      <c r="W46" s="132">
        <v>44573</v>
      </c>
      <c r="X46" s="132">
        <v>44573</v>
      </c>
      <c r="Y46" s="132">
        <v>44597</v>
      </c>
      <c r="Z46" s="132"/>
      <c r="AA46" s="132"/>
      <c r="AB46" s="133"/>
      <c r="AC46" s="126" t="s">
        <v>64</v>
      </c>
      <c r="AD46" s="134" t="s">
        <v>468</v>
      </c>
      <c r="AE46" s="134"/>
      <c r="AF46" s="134"/>
      <c r="AG46" s="134">
        <v>44322</v>
      </c>
      <c r="AH46" s="134"/>
      <c r="AI46" s="134">
        <f t="shared" ca="1" si="6"/>
        <v>44963</v>
      </c>
      <c r="AJ46" s="126">
        <f t="shared" ca="1" si="5"/>
        <v>641</v>
      </c>
      <c r="AK46" s="126">
        <f t="shared" ca="1" si="3"/>
        <v>366</v>
      </c>
      <c r="AL46" s="134" t="s">
        <v>516</v>
      </c>
      <c r="AM46" s="143" t="s">
        <v>3135</v>
      </c>
      <c r="AN46" s="129">
        <v>8.2149999999999999</v>
      </c>
      <c r="AO46" s="129">
        <v>8.254999999999999</v>
      </c>
      <c r="AP46" s="129">
        <v>8.2799999999999976</v>
      </c>
      <c r="AQ46" s="129">
        <v>8.2849999999999984</v>
      </c>
      <c r="AR46" s="126">
        <f t="shared" ca="1" si="4"/>
        <v>390</v>
      </c>
      <c r="AU46" s="99" t="s">
        <v>136</v>
      </c>
    </row>
    <row r="47" spans="1:59" s="99" customFormat="1" ht="21" customHeight="1" x14ac:dyDescent="0.35">
      <c r="A47" s="99">
        <v>389</v>
      </c>
      <c r="B47" s="126" t="str">
        <f t="shared" si="0"/>
        <v>0-J3/2B-001X595</v>
      </c>
      <c r="C47" s="126" t="s">
        <v>3126</v>
      </c>
      <c r="D47" s="126" t="s">
        <v>358</v>
      </c>
      <c r="E47" s="143" t="s">
        <v>589</v>
      </c>
      <c r="F47" s="143" t="s">
        <v>590</v>
      </c>
      <c r="G47" s="126" t="s">
        <v>29</v>
      </c>
      <c r="H47" s="126" t="s">
        <v>116</v>
      </c>
      <c r="I47" s="127">
        <v>2.4</v>
      </c>
      <c r="J47" s="127">
        <v>1.1200000000000001</v>
      </c>
      <c r="K47" s="149">
        <v>1.1100000000000001</v>
      </c>
      <c r="L47" s="149">
        <v>1.1299999999999999</v>
      </c>
      <c r="M47" s="144">
        <v>595</v>
      </c>
      <c r="N47" s="129">
        <v>8.1950000000000003</v>
      </c>
      <c r="O47" s="129">
        <v>8.18</v>
      </c>
      <c r="P47" s="129"/>
      <c r="Q47" s="129"/>
      <c r="R47" s="129" t="s">
        <v>116</v>
      </c>
      <c r="S47" s="284"/>
      <c r="T47" s="130" t="s">
        <v>446</v>
      </c>
      <c r="U47" s="130"/>
      <c r="V47" s="131"/>
      <c r="W47" s="132">
        <v>44572</v>
      </c>
      <c r="X47" s="132">
        <v>44572</v>
      </c>
      <c r="Y47" s="132">
        <v>44597</v>
      </c>
      <c r="Z47" s="132"/>
      <c r="AA47" s="132"/>
      <c r="AB47" s="133"/>
      <c r="AC47" s="126" t="s">
        <v>64</v>
      </c>
      <c r="AD47" s="134" t="s">
        <v>132</v>
      </c>
      <c r="AE47" s="134" t="s">
        <v>580</v>
      </c>
      <c r="AF47" s="134">
        <v>44303</v>
      </c>
      <c r="AG47" s="134">
        <v>44327</v>
      </c>
      <c r="AH47" s="134"/>
      <c r="AI47" s="134">
        <f t="shared" ca="1" si="6"/>
        <v>44963</v>
      </c>
      <c r="AJ47" s="126">
        <f t="shared" ca="1" si="5"/>
        <v>636</v>
      </c>
      <c r="AK47" s="126">
        <f t="shared" ca="1" si="3"/>
        <v>366</v>
      </c>
      <c r="AL47" s="134" t="s">
        <v>581</v>
      </c>
      <c r="AM47" s="143" t="s">
        <v>495</v>
      </c>
      <c r="AN47" s="129">
        <v>8.2170000000000005</v>
      </c>
      <c r="AO47" s="129">
        <v>8.2320000000000011</v>
      </c>
      <c r="AP47" s="129">
        <v>8.2569999999999997</v>
      </c>
      <c r="AQ47" s="129">
        <v>8.2620000000000005</v>
      </c>
      <c r="AR47" s="126">
        <f t="shared" ca="1" si="4"/>
        <v>391</v>
      </c>
      <c r="AU47" s="99" t="s">
        <v>136</v>
      </c>
    </row>
    <row r="48" spans="1:59" s="99" customFormat="1" ht="21" customHeight="1" x14ac:dyDescent="0.35">
      <c r="A48" s="99">
        <v>386</v>
      </c>
      <c r="B48" s="126" t="str">
        <f t="shared" si="0"/>
        <v>0-J3/2B-001X595</v>
      </c>
      <c r="C48" s="126" t="s">
        <v>3126</v>
      </c>
      <c r="D48" s="126" t="s">
        <v>358</v>
      </c>
      <c r="E48" s="143" t="s">
        <v>514</v>
      </c>
      <c r="F48" s="143" t="s">
        <v>515</v>
      </c>
      <c r="G48" s="126" t="s">
        <v>29</v>
      </c>
      <c r="H48" s="126" t="s">
        <v>116</v>
      </c>
      <c r="I48" s="127">
        <v>2.4</v>
      </c>
      <c r="J48" s="127">
        <v>1.1200000000000001</v>
      </c>
      <c r="K48" s="149">
        <v>1.1100000000000001</v>
      </c>
      <c r="L48" s="149">
        <v>1.1499999999999999</v>
      </c>
      <c r="M48" s="144">
        <v>595</v>
      </c>
      <c r="N48" s="129">
        <v>8.0649999999999995</v>
      </c>
      <c r="O48" s="129">
        <v>8.0500000000000007</v>
      </c>
      <c r="P48" s="129"/>
      <c r="Q48" s="129"/>
      <c r="R48" s="129" t="s">
        <v>116</v>
      </c>
      <c r="S48" s="284"/>
      <c r="T48" s="130" t="s">
        <v>446</v>
      </c>
      <c r="U48" s="130"/>
      <c r="V48" s="131"/>
      <c r="W48" s="132">
        <v>44572</v>
      </c>
      <c r="X48" s="132">
        <v>44572</v>
      </c>
      <c r="Y48" s="132">
        <v>44597</v>
      </c>
      <c r="Z48" s="132"/>
      <c r="AA48" s="132"/>
      <c r="AB48" s="133"/>
      <c r="AC48" s="126" t="s">
        <v>64</v>
      </c>
      <c r="AD48" s="134" t="s">
        <v>468</v>
      </c>
      <c r="AE48" s="134"/>
      <c r="AF48" s="134"/>
      <c r="AG48" s="134">
        <v>44322</v>
      </c>
      <c r="AH48" s="134"/>
      <c r="AI48" s="134">
        <f t="shared" ca="1" si="6"/>
        <v>44963</v>
      </c>
      <c r="AJ48" s="126">
        <f t="shared" ca="1" si="5"/>
        <v>641</v>
      </c>
      <c r="AK48" s="126">
        <f t="shared" ca="1" si="3"/>
        <v>366</v>
      </c>
      <c r="AL48" s="134" t="s">
        <v>516</v>
      </c>
      <c r="AM48" s="143" t="s">
        <v>517</v>
      </c>
      <c r="AN48" s="129">
        <v>8.0890000000000004</v>
      </c>
      <c r="AO48" s="129">
        <v>8.1289999999999996</v>
      </c>
      <c r="AP48" s="129">
        <v>8.1539999999999981</v>
      </c>
      <c r="AQ48" s="129">
        <v>8.1589999999999989</v>
      </c>
      <c r="AR48" s="126">
        <f t="shared" ca="1" si="4"/>
        <v>391</v>
      </c>
      <c r="AU48" s="99" t="s">
        <v>136</v>
      </c>
    </row>
    <row r="49" spans="1:59" s="99" customFormat="1" ht="21" customHeight="1" x14ac:dyDescent="0.35">
      <c r="A49" s="99">
        <v>397</v>
      </c>
      <c r="B49" s="126" t="str">
        <f t="shared" si="0"/>
        <v>0-J3/2B-001X595</v>
      </c>
      <c r="C49" s="126" t="s">
        <v>3126</v>
      </c>
      <c r="D49" s="126" t="s">
        <v>358</v>
      </c>
      <c r="E49" s="143" t="s">
        <v>3136</v>
      </c>
      <c r="F49" s="143" t="s">
        <v>3137</v>
      </c>
      <c r="G49" s="126" t="s">
        <v>29</v>
      </c>
      <c r="H49" s="126" t="s">
        <v>116</v>
      </c>
      <c r="I49" s="127">
        <v>2.4</v>
      </c>
      <c r="J49" s="127">
        <v>0.92</v>
      </c>
      <c r="K49" s="149">
        <v>0.9</v>
      </c>
      <c r="L49" s="149">
        <v>0.92</v>
      </c>
      <c r="M49" s="144">
        <v>595</v>
      </c>
      <c r="N49" s="129">
        <v>8.0250000000000004</v>
      </c>
      <c r="O49" s="129">
        <v>8.0050000000000008</v>
      </c>
      <c r="P49" s="129"/>
      <c r="Q49" s="129"/>
      <c r="R49" s="129" t="s">
        <v>116</v>
      </c>
      <c r="S49" s="284"/>
      <c r="T49" s="130" t="s">
        <v>446</v>
      </c>
      <c r="U49" s="130"/>
      <c r="V49" s="131"/>
      <c r="W49" s="132">
        <v>44572</v>
      </c>
      <c r="X49" s="132">
        <v>44572</v>
      </c>
      <c r="Y49" s="132">
        <v>44597</v>
      </c>
      <c r="Z49" s="132"/>
      <c r="AA49" s="132"/>
      <c r="AB49" s="133"/>
      <c r="AC49" s="126" t="s">
        <v>64</v>
      </c>
      <c r="AD49" s="134" t="s">
        <v>468</v>
      </c>
      <c r="AE49" s="134"/>
      <c r="AF49" s="134"/>
      <c r="AG49" s="134">
        <v>44373</v>
      </c>
      <c r="AH49" s="134"/>
      <c r="AI49" s="134">
        <f t="shared" ca="1" si="6"/>
        <v>44963</v>
      </c>
      <c r="AJ49" s="126">
        <f t="shared" ca="1" si="5"/>
        <v>590</v>
      </c>
      <c r="AK49" s="126">
        <f t="shared" ca="1" si="3"/>
        <v>366</v>
      </c>
      <c r="AL49" s="134" t="s">
        <v>733</v>
      </c>
      <c r="AM49" s="143" t="s">
        <v>3138</v>
      </c>
      <c r="AN49" s="129">
        <v>8.0389999999999997</v>
      </c>
      <c r="AO49" s="129">
        <v>8.0790000000000006</v>
      </c>
      <c r="AP49" s="129">
        <v>8.1039999999999992</v>
      </c>
      <c r="AQ49" s="129">
        <v>8.109</v>
      </c>
      <c r="AR49" s="126">
        <f t="shared" ca="1" si="4"/>
        <v>391</v>
      </c>
      <c r="AU49" s="99" t="s">
        <v>136</v>
      </c>
    </row>
    <row r="50" spans="1:59" s="99" customFormat="1" ht="21" customHeight="1" x14ac:dyDescent="0.35">
      <c r="A50" s="99">
        <v>386</v>
      </c>
      <c r="B50" s="126" t="str">
        <f t="shared" si="0"/>
        <v>0-J3/2B-001X595</v>
      </c>
      <c r="C50" s="126" t="s">
        <v>3126</v>
      </c>
      <c r="D50" s="126" t="s">
        <v>358</v>
      </c>
      <c r="E50" s="143" t="s">
        <v>3139</v>
      </c>
      <c r="F50" s="143" t="s">
        <v>3140</v>
      </c>
      <c r="G50" s="126" t="s">
        <v>29</v>
      </c>
      <c r="H50" s="126" t="s">
        <v>116</v>
      </c>
      <c r="I50" s="127">
        <v>2.4</v>
      </c>
      <c r="J50" s="127">
        <v>0.92</v>
      </c>
      <c r="K50" s="149">
        <v>0.92</v>
      </c>
      <c r="L50" s="149">
        <v>0.94</v>
      </c>
      <c r="M50" s="144">
        <v>595</v>
      </c>
      <c r="N50" s="129">
        <v>8.2100000000000009</v>
      </c>
      <c r="O50" s="129">
        <v>8.18</v>
      </c>
      <c r="P50" s="129"/>
      <c r="Q50" s="129"/>
      <c r="R50" s="129" t="s">
        <v>116</v>
      </c>
      <c r="S50" s="284"/>
      <c r="T50" s="130" t="s">
        <v>446</v>
      </c>
      <c r="U50" s="130"/>
      <c r="V50" s="131"/>
      <c r="W50" s="132">
        <v>44573</v>
      </c>
      <c r="X50" s="132">
        <v>44573</v>
      </c>
      <c r="Y50" s="132">
        <v>44597</v>
      </c>
      <c r="Z50" s="132"/>
      <c r="AA50" s="132"/>
      <c r="AB50" s="133"/>
      <c r="AC50" s="126" t="s">
        <v>64</v>
      </c>
      <c r="AD50" s="134" t="s">
        <v>468</v>
      </c>
      <c r="AE50" s="134"/>
      <c r="AF50" s="134"/>
      <c r="AG50" s="134">
        <v>44322</v>
      </c>
      <c r="AH50" s="134"/>
      <c r="AI50" s="134">
        <f t="shared" ca="1" si="6"/>
        <v>44963</v>
      </c>
      <c r="AJ50" s="126">
        <f t="shared" ca="1" si="5"/>
        <v>641</v>
      </c>
      <c r="AK50" s="126">
        <f t="shared" ca="1" si="3"/>
        <v>366</v>
      </c>
      <c r="AL50" s="134" t="s">
        <v>512</v>
      </c>
      <c r="AM50" s="143" t="s">
        <v>513</v>
      </c>
      <c r="AN50" s="129">
        <v>8.2249999999999996</v>
      </c>
      <c r="AO50" s="129">
        <v>8.2649999999999988</v>
      </c>
      <c r="AP50" s="129">
        <v>8.2899999999999974</v>
      </c>
      <c r="AQ50" s="129">
        <v>8.2949999999999982</v>
      </c>
      <c r="AR50" s="126">
        <f t="shared" ca="1" si="4"/>
        <v>390</v>
      </c>
      <c r="AU50" s="99" t="s">
        <v>136</v>
      </c>
    </row>
    <row r="51" spans="1:59" s="99" customFormat="1" ht="21" customHeight="1" x14ac:dyDescent="0.35">
      <c r="A51" s="99">
        <v>386</v>
      </c>
      <c r="B51" s="126" t="str">
        <f t="shared" si="0"/>
        <v>0-J3/2B-001X595</v>
      </c>
      <c r="C51" s="126" t="s">
        <v>3141</v>
      </c>
      <c r="D51" s="126" t="s">
        <v>358</v>
      </c>
      <c r="E51" s="143" t="s">
        <v>3142</v>
      </c>
      <c r="F51" s="143" t="s">
        <v>3143</v>
      </c>
      <c r="G51" s="126" t="s">
        <v>29</v>
      </c>
      <c r="H51" s="126" t="s">
        <v>116</v>
      </c>
      <c r="I51" s="127">
        <v>2.4</v>
      </c>
      <c r="J51" s="127">
        <v>0.92</v>
      </c>
      <c r="K51" s="149">
        <v>0.91</v>
      </c>
      <c r="L51" s="149">
        <v>0.93</v>
      </c>
      <c r="M51" s="144">
        <v>595</v>
      </c>
      <c r="N51" s="129">
        <v>8.1850000000000005</v>
      </c>
      <c r="O51" s="129">
        <v>8.17</v>
      </c>
      <c r="P51" s="129"/>
      <c r="Q51" s="129"/>
      <c r="R51" s="129" t="s">
        <v>116</v>
      </c>
      <c r="S51" s="284"/>
      <c r="T51" s="130" t="s">
        <v>446</v>
      </c>
      <c r="U51" s="130"/>
      <c r="V51" s="131"/>
      <c r="W51" s="132">
        <v>44573</v>
      </c>
      <c r="X51" s="132">
        <v>44573</v>
      </c>
      <c r="Y51" s="132">
        <v>44598</v>
      </c>
      <c r="Z51" s="132"/>
      <c r="AA51" s="132"/>
      <c r="AB51" s="133"/>
      <c r="AC51" s="126" t="s">
        <v>64</v>
      </c>
      <c r="AD51" s="134" t="s">
        <v>468</v>
      </c>
      <c r="AE51" s="134"/>
      <c r="AF51" s="134"/>
      <c r="AG51" s="134">
        <v>44322</v>
      </c>
      <c r="AH51" s="134"/>
      <c r="AI51" s="134">
        <f t="shared" ca="1" si="6"/>
        <v>44963</v>
      </c>
      <c r="AJ51" s="126">
        <f t="shared" ca="1" si="5"/>
        <v>641</v>
      </c>
      <c r="AK51" s="126">
        <f t="shared" ca="1" si="3"/>
        <v>365</v>
      </c>
      <c r="AL51" s="134" t="s">
        <v>516</v>
      </c>
      <c r="AM51" s="143" t="s">
        <v>3135</v>
      </c>
      <c r="AN51" s="129">
        <v>8.2050000000000001</v>
      </c>
      <c r="AO51" s="129">
        <v>8.2449999999999992</v>
      </c>
      <c r="AP51" s="129">
        <v>8.2699999999999978</v>
      </c>
      <c r="AQ51" s="129">
        <v>8.2749999999999986</v>
      </c>
      <c r="AR51" s="126">
        <f t="shared" ca="1" si="4"/>
        <v>390</v>
      </c>
      <c r="AU51" s="99" t="s">
        <v>136</v>
      </c>
    </row>
    <row r="52" spans="1:59" s="99" customFormat="1" ht="21" customHeight="1" x14ac:dyDescent="0.35">
      <c r="A52" s="99">
        <v>395</v>
      </c>
      <c r="B52" s="126" t="str">
        <f t="shared" si="0"/>
        <v>0-J3/2B-001X600</v>
      </c>
      <c r="C52" s="126" t="s">
        <v>3141</v>
      </c>
      <c r="D52" s="126" t="s">
        <v>358</v>
      </c>
      <c r="E52" s="143" t="s">
        <v>3144</v>
      </c>
      <c r="F52" s="143" t="s">
        <v>3145</v>
      </c>
      <c r="G52" s="126" t="s">
        <v>29</v>
      </c>
      <c r="H52" s="126" t="s">
        <v>116</v>
      </c>
      <c r="I52" s="127">
        <v>2.2000000000000002</v>
      </c>
      <c r="J52" s="127">
        <v>0.73</v>
      </c>
      <c r="K52" s="149">
        <v>0.71</v>
      </c>
      <c r="L52" s="149">
        <v>0.74</v>
      </c>
      <c r="M52" s="144">
        <v>600</v>
      </c>
      <c r="N52" s="129">
        <v>9.6199999999999992</v>
      </c>
      <c r="O52" s="129">
        <v>9.6150000000000002</v>
      </c>
      <c r="P52" s="129"/>
      <c r="Q52" s="129"/>
      <c r="R52" s="129" t="s">
        <v>116</v>
      </c>
      <c r="S52" s="284"/>
      <c r="T52" s="130" t="s">
        <v>446</v>
      </c>
      <c r="U52" s="130"/>
      <c r="V52" s="131"/>
      <c r="W52" s="132">
        <v>44572</v>
      </c>
      <c r="X52" s="132">
        <v>44573</v>
      </c>
      <c r="Y52" s="132">
        <v>44598</v>
      </c>
      <c r="Z52" s="132"/>
      <c r="AA52" s="132"/>
      <c r="AB52" s="133"/>
      <c r="AC52" s="126" t="s">
        <v>64</v>
      </c>
      <c r="AD52" s="134" t="s">
        <v>468</v>
      </c>
      <c r="AE52" s="134"/>
      <c r="AF52" s="134"/>
      <c r="AG52" s="134">
        <v>44370</v>
      </c>
      <c r="AH52" s="134"/>
      <c r="AI52" s="134">
        <f t="shared" ca="1" si="6"/>
        <v>44963</v>
      </c>
      <c r="AJ52" s="126">
        <f t="shared" ca="1" si="5"/>
        <v>593</v>
      </c>
      <c r="AK52" s="126">
        <f t="shared" ca="1" si="3"/>
        <v>365</v>
      </c>
      <c r="AL52" s="134" t="s">
        <v>3146</v>
      </c>
      <c r="AM52" s="143" t="s">
        <v>3147</v>
      </c>
      <c r="AN52" s="129">
        <v>9.6419999999999995</v>
      </c>
      <c r="AO52" s="129">
        <v>9.6819999999999986</v>
      </c>
      <c r="AP52" s="129">
        <v>9.7069999999999972</v>
      </c>
      <c r="AQ52" s="129">
        <v>9.711999999999998</v>
      </c>
      <c r="AR52" s="126">
        <f t="shared" ca="1" si="4"/>
        <v>390</v>
      </c>
      <c r="AU52" s="99" t="s">
        <v>136</v>
      </c>
    </row>
    <row r="53" spans="1:59" s="99" customFormat="1" ht="21" customHeight="1" x14ac:dyDescent="0.35">
      <c r="A53" s="99">
        <v>408</v>
      </c>
      <c r="B53" s="126" t="str">
        <f>IF(C53="HOLD RM","HOLD RM",IF(C53="BAL","WIP",IF(C53="HOLD SLT","HOLD SLT",IF(C53="MILL","RM",IF(C53="RE SLT","WIP",IF(C53="RM","RM",IF(C53="RM BAL","RM",IF(C53="RM SLT","RM",IF(C53="RR","WIP",IF(C53="SKP","WIP",IF(C53="SLT","WIP",IF(C53="CTL","WIP",IF(C53="RM SLT RUST","RM SLT RUST",0)))))))))))))&amp;"-"&amp;G53&amp;"/"&amp;IF(H53="2B","2B",IF(H53="NO.1","1D",IF(H53="FH","FH",0)))&amp;"-"&amp;IF(J53="",(TEXT(I53,"0.00")),TEXT(J53,"0.00"))&amp;"X"&amp;M53</f>
        <v>0-J3/2B-000X722</v>
      </c>
      <c r="C53" s="126" t="s">
        <v>3141</v>
      </c>
      <c r="D53" s="126" t="s">
        <v>358</v>
      </c>
      <c r="E53" s="143" t="s">
        <v>959</v>
      </c>
      <c r="F53" s="143" t="s">
        <v>960</v>
      </c>
      <c r="G53" s="126" t="s">
        <v>29</v>
      </c>
      <c r="H53" s="126" t="s">
        <v>116</v>
      </c>
      <c r="I53" s="127">
        <v>0.75</v>
      </c>
      <c r="J53" s="127">
        <v>0.45</v>
      </c>
      <c r="K53" s="149">
        <v>0.45</v>
      </c>
      <c r="L53" s="149">
        <v>0.46</v>
      </c>
      <c r="M53" s="144">
        <v>722</v>
      </c>
      <c r="N53" s="129">
        <v>5.875</v>
      </c>
      <c r="O53" s="129">
        <v>5.84</v>
      </c>
      <c r="P53" s="129"/>
      <c r="Q53" s="129"/>
      <c r="R53" s="129" t="s">
        <v>116</v>
      </c>
      <c r="S53" s="284"/>
      <c r="T53" s="130" t="s">
        <v>446</v>
      </c>
      <c r="U53" s="130" t="s">
        <v>954</v>
      </c>
      <c r="V53" s="131" t="s">
        <v>955</v>
      </c>
      <c r="W53" s="132">
        <v>44574</v>
      </c>
      <c r="X53" s="132">
        <v>44576</v>
      </c>
      <c r="Y53" s="132">
        <v>44598</v>
      </c>
      <c r="Z53" s="132">
        <v>44458</v>
      </c>
      <c r="AA53" s="132"/>
      <c r="AB53" s="133"/>
      <c r="AC53" s="126" t="s">
        <v>116</v>
      </c>
      <c r="AD53" s="134" t="s">
        <v>322</v>
      </c>
      <c r="AE53" s="134"/>
      <c r="AF53" s="134"/>
      <c r="AG53" s="134">
        <v>44398</v>
      </c>
      <c r="AH53" s="134"/>
      <c r="AI53" s="134">
        <f t="shared" ca="1" si="6"/>
        <v>44963</v>
      </c>
      <c r="AJ53" s="126">
        <f t="shared" ca="1" si="5"/>
        <v>565</v>
      </c>
      <c r="AK53" s="126">
        <f t="shared" ca="1" si="3"/>
        <v>365</v>
      </c>
      <c r="AL53" s="134" t="s">
        <v>930</v>
      </c>
      <c r="AM53" s="143" t="s">
        <v>961</v>
      </c>
      <c r="AN53" s="129">
        <v>5.9470000000000001</v>
      </c>
      <c r="AO53" s="129">
        <v>5.9870000000000001</v>
      </c>
      <c r="AP53" s="129">
        <v>6.0120000000000005</v>
      </c>
      <c r="AQ53" s="129">
        <v>6.0170000000000003</v>
      </c>
      <c r="AR53" s="126">
        <f t="shared" ca="1" si="4"/>
        <v>387</v>
      </c>
      <c r="AU53" s="99" t="s">
        <v>136</v>
      </c>
    </row>
    <row r="54" spans="1:59" s="99" customFormat="1" ht="21" customHeight="1" x14ac:dyDescent="0.35">
      <c r="A54" s="99">
        <v>408</v>
      </c>
      <c r="B54" s="126" t="str">
        <f>IF(C54="HOLD RM","HOLD RM",IF(C54="BAL","WIP",IF(C54="HOLD SLT","HOLD SLT",IF(C54="MILL","RM",IF(C54="RE SLT","WIP",IF(C54="RM","RM",IF(C54="RM BAL","RM",IF(C54="RM SLT","RM",IF(C54="RR","WIP",IF(C54="SKP","WIP",IF(C54="SLT","WIP",IF(C54="CTL","WIP",IF(C54="RM SLT RUST","RM SLT RUST",0)))))))))))))&amp;"-"&amp;G54&amp;"/"&amp;IF(H54="2B","2B",IF(H54="NO.1","1D",IF(H54="FH","FH",0)))&amp;"-"&amp;IF(J54="",(TEXT(I54,"0.00")),TEXT(J54,"0.00"))&amp;"X"&amp;M54</f>
        <v>0-J3/2B-000X722</v>
      </c>
      <c r="C54" s="126" t="s">
        <v>3141</v>
      </c>
      <c r="D54" s="126" t="s">
        <v>358</v>
      </c>
      <c r="E54" s="143" t="s">
        <v>994</v>
      </c>
      <c r="F54" s="143" t="s">
        <v>995</v>
      </c>
      <c r="G54" s="126" t="s">
        <v>29</v>
      </c>
      <c r="H54" s="126" t="s">
        <v>116</v>
      </c>
      <c r="I54" s="127">
        <v>0.75</v>
      </c>
      <c r="J54" s="127">
        <v>0.45</v>
      </c>
      <c r="K54" s="149">
        <v>0.45</v>
      </c>
      <c r="L54" s="149">
        <v>0.46</v>
      </c>
      <c r="M54" s="144">
        <v>722</v>
      </c>
      <c r="N54" s="129">
        <v>5.25</v>
      </c>
      <c r="O54" s="129">
        <v>5.0650000000000004</v>
      </c>
      <c r="P54" s="129"/>
      <c r="Q54" s="129"/>
      <c r="R54" s="129" t="s">
        <v>116</v>
      </c>
      <c r="S54" s="284"/>
      <c r="T54" s="130" t="s">
        <v>446</v>
      </c>
      <c r="U54" s="130" t="s">
        <v>954</v>
      </c>
      <c r="V54" s="131" t="s">
        <v>955</v>
      </c>
      <c r="W54" s="132">
        <v>44574</v>
      </c>
      <c r="X54" s="132">
        <v>44575</v>
      </c>
      <c r="Y54" s="132">
        <v>44598</v>
      </c>
      <c r="Z54" s="132" t="s">
        <v>996</v>
      </c>
      <c r="AA54" s="132"/>
      <c r="AB54" s="133"/>
      <c r="AC54" s="126" t="s">
        <v>116</v>
      </c>
      <c r="AD54" s="134" t="s">
        <v>322</v>
      </c>
      <c r="AE54" s="134"/>
      <c r="AF54" s="134"/>
      <c r="AG54" s="134">
        <v>44398</v>
      </c>
      <c r="AH54" s="134"/>
      <c r="AI54" s="134">
        <f t="shared" ca="1" si="6"/>
        <v>44963</v>
      </c>
      <c r="AJ54" s="126">
        <f t="shared" ca="1" si="5"/>
        <v>565</v>
      </c>
      <c r="AK54" s="126">
        <f t="shared" ca="1" si="3"/>
        <v>365</v>
      </c>
      <c r="AL54" s="134"/>
      <c r="AM54" s="143" t="s">
        <v>961</v>
      </c>
      <c r="AN54" s="129">
        <v>5.1349999999999998</v>
      </c>
      <c r="AO54" s="129">
        <v>5.1749999999999998</v>
      </c>
      <c r="AP54" s="129">
        <v>5.2</v>
      </c>
      <c r="AQ54" s="129">
        <v>5.2050000000000001</v>
      </c>
      <c r="AR54" s="126">
        <f t="shared" ca="1" si="4"/>
        <v>388</v>
      </c>
      <c r="AU54" s="99" t="s">
        <v>136</v>
      </c>
    </row>
    <row r="55" spans="1:59" s="99" customFormat="1" ht="21" customHeight="1" x14ac:dyDescent="0.35">
      <c r="A55" s="99">
        <v>389</v>
      </c>
      <c r="B55" s="126" t="str">
        <f t="shared" ref="B55:B80" si="7">IF(C55="HOLD RM","HOLD RM",IF(C55="BAL","WIP",IF(C55="HOLD SLT","HOLD SLT",IF(C55="MILL","RM",IF(C55="RE SLT","WIP",IF(C55="RM","RM",IF(C55="RM BAL","RM",IF(C55="RM SLT","RM",IF(C55="RR","WIP",IF(C55="SKP","WIP",IF(C55="SLT","WIP",IF(C55="CTL","WIP",IF(C55="RM SLT RUST","RM SLT RUST",0)))))))))))))&amp;"-"&amp;G55&amp;"/"&amp;IF(H55="2B","2B",IF(H55="NO.1","1D",IF(H55="FH","FH",0)))&amp;"-"&amp;IF(J55="",(TEXT(I55,"0.00")),TEXT(J55,"0.00"))&amp;"X"&amp;M55</f>
        <v>0-J3/2B-001X595</v>
      </c>
      <c r="C55" s="126" t="s">
        <v>3141</v>
      </c>
      <c r="D55" s="126" t="s">
        <v>358</v>
      </c>
      <c r="E55" s="143" t="s">
        <v>3148</v>
      </c>
      <c r="F55" s="143" t="s">
        <v>3149</v>
      </c>
      <c r="G55" s="126" t="s">
        <v>29</v>
      </c>
      <c r="H55" s="126" t="s">
        <v>116</v>
      </c>
      <c r="I55" s="127">
        <v>2.2000000000000002</v>
      </c>
      <c r="J55" s="127">
        <v>0.73</v>
      </c>
      <c r="K55" s="149">
        <v>0.71</v>
      </c>
      <c r="L55" s="149">
        <v>0.73</v>
      </c>
      <c r="M55" s="144">
        <v>595</v>
      </c>
      <c r="N55" s="129">
        <v>8.2349999999999994</v>
      </c>
      <c r="O55" s="129">
        <v>8.2249999999999996</v>
      </c>
      <c r="P55" s="129"/>
      <c r="Q55" s="129"/>
      <c r="R55" s="129" t="s">
        <v>116</v>
      </c>
      <c r="S55" s="284"/>
      <c r="T55" s="130" t="s">
        <v>446</v>
      </c>
      <c r="U55" s="130" t="s">
        <v>291</v>
      </c>
      <c r="V55" s="131"/>
      <c r="W55" s="132">
        <v>44431</v>
      </c>
      <c r="X55" s="132">
        <v>44431</v>
      </c>
      <c r="Y55" s="132">
        <v>44598</v>
      </c>
      <c r="Z55" s="132"/>
      <c r="AA55" s="132"/>
      <c r="AB55" s="133"/>
      <c r="AC55" s="126" t="s">
        <v>64</v>
      </c>
      <c r="AD55" s="134" t="s">
        <v>132</v>
      </c>
      <c r="AE55" s="134" t="s">
        <v>580</v>
      </c>
      <c r="AF55" s="134">
        <v>44303</v>
      </c>
      <c r="AG55" s="134">
        <v>44327</v>
      </c>
      <c r="AH55" s="134"/>
      <c r="AI55" s="134">
        <f t="shared" ca="1" si="6"/>
        <v>44963</v>
      </c>
      <c r="AJ55" s="126">
        <f t="shared" ca="1" si="5"/>
        <v>636</v>
      </c>
      <c r="AK55" s="126">
        <f t="shared" ca="1" si="3"/>
        <v>365</v>
      </c>
      <c r="AL55" s="134" t="s">
        <v>3150</v>
      </c>
      <c r="AM55" s="143" t="s">
        <v>3151</v>
      </c>
      <c r="AN55" s="129">
        <v>8.2530000000000001</v>
      </c>
      <c r="AO55" s="129">
        <v>8.2680000000000007</v>
      </c>
      <c r="AP55" s="129">
        <v>8.2929999999999993</v>
      </c>
      <c r="AQ55" s="129">
        <v>8.298</v>
      </c>
      <c r="AR55" s="126">
        <f t="shared" ca="1" si="4"/>
        <v>532</v>
      </c>
      <c r="AU55" s="99" t="s">
        <v>136</v>
      </c>
      <c r="BG55" s="99" t="s">
        <v>427</v>
      </c>
    </row>
    <row r="56" spans="1:59" s="99" customFormat="1" ht="21" customHeight="1" x14ac:dyDescent="0.35">
      <c r="A56" s="99">
        <v>389</v>
      </c>
      <c r="B56" s="126" t="str">
        <f t="shared" si="7"/>
        <v>0-J3/2B-001X595</v>
      </c>
      <c r="C56" s="126" t="s">
        <v>3141</v>
      </c>
      <c r="D56" s="126" t="s">
        <v>358</v>
      </c>
      <c r="E56" s="143" t="s">
        <v>3152</v>
      </c>
      <c r="F56" s="143" t="s">
        <v>3153</v>
      </c>
      <c r="G56" s="126" t="s">
        <v>29</v>
      </c>
      <c r="H56" s="126" t="s">
        <v>116</v>
      </c>
      <c r="I56" s="127">
        <v>2.4</v>
      </c>
      <c r="J56" s="127">
        <v>0.92</v>
      </c>
      <c r="K56" s="149">
        <v>0.91</v>
      </c>
      <c r="L56" s="149">
        <v>0.94</v>
      </c>
      <c r="M56" s="144">
        <v>595</v>
      </c>
      <c r="N56" s="129">
        <v>8.2050000000000001</v>
      </c>
      <c r="O56" s="129">
        <v>8.1850000000000005</v>
      </c>
      <c r="P56" s="129"/>
      <c r="Q56" s="129"/>
      <c r="R56" s="129" t="s">
        <v>116</v>
      </c>
      <c r="S56" s="284"/>
      <c r="T56" s="130" t="s">
        <v>446</v>
      </c>
      <c r="U56" s="130"/>
      <c r="V56" s="131"/>
      <c r="W56" s="132">
        <v>44572</v>
      </c>
      <c r="X56" s="132">
        <v>44573</v>
      </c>
      <c r="Y56" s="132">
        <v>44598</v>
      </c>
      <c r="Z56" s="132"/>
      <c r="AA56" s="132"/>
      <c r="AB56" s="133"/>
      <c r="AC56" s="126" t="s">
        <v>64</v>
      </c>
      <c r="AD56" s="134" t="s">
        <v>132</v>
      </c>
      <c r="AE56" s="134" t="s">
        <v>580</v>
      </c>
      <c r="AF56" s="134">
        <v>44303</v>
      </c>
      <c r="AG56" s="134">
        <v>44327</v>
      </c>
      <c r="AH56" s="134"/>
      <c r="AI56" s="134">
        <f t="shared" ca="1" si="6"/>
        <v>44963</v>
      </c>
      <c r="AJ56" s="126">
        <f t="shared" ca="1" si="5"/>
        <v>636</v>
      </c>
      <c r="AK56" s="126">
        <f t="shared" ca="1" si="3"/>
        <v>365</v>
      </c>
      <c r="AL56" s="134" t="s">
        <v>585</v>
      </c>
      <c r="AM56" s="143" t="s">
        <v>3154</v>
      </c>
      <c r="AN56" s="129">
        <v>8.2249999999999996</v>
      </c>
      <c r="AO56" s="129">
        <v>8.24</v>
      </c>
      <c r="AP56" s="129">
        <v>8.2649999999999988</v>
      </c>
      <c r="AQ56" s="129">
        <v>8.27</v>
      </c>
      <c r="AR56" s="126">
        <f t="shared" ca="1" si="4"/>
        <v>390</v>
      </c>
      <c r="AU56" s="99" t="s">
        <v>136</v>
      </c>
    </row>
    <row r="57" spans="1:59" s="99" customFormat="1" ht="21" customHeight="1" x14ac:dyDescent="0.35">
      <c r="A57" s="99">
        <v>389</v>
      </c>
      <c r="B57" s="126" t="str">
        <f t="shared" si="7"/>
        <v>0-J3/2B-001X595</v>
      </c>
      <c r="C57" s="126" t="s">
        <v>3141</v>
      </c>
      <c r="D57" s="126" t="s">
        <v>358</v>
      </c>
      <c r="E57" s="143" t="s">
        <v>3155</v>
      </c>
      <c r="F57" s="143" t="s">
        <v>3156</v>
      </c>
      <c r="G57" s="126" t="s">
        <v>29</v>
      </c>
      <c r="H57" s="126" t="s">
        <v>116</v>
      </c>
      <c r="I57" s="127">
        <v>2.4</v>
      </c>
      <c r="J57" s="127">
        <v>0.92</v>
      </c>
      <c r="K57" s="149">
        <v>0.9</v>
      </c>
      <c r="L57" s="149">
        <v>0.93</v>
      </c>
      <c r="M57" s="144">
        <v>595</v>
      </c>
      <c r="N57" s="129">
        <v>8.23</v>
      </c>
      <c r="O57" s="129">
        <v>8.2200000000000006</v>
      </c>
      <c r="P57" s="129"/>
      <c r="Q57" s="129"/>
      <c r="R57" s="129" t="s">
        <v>116</v>
      </c>
      <c r="S57" s="284"/>
      <c r="T57" s="130" t="s">
        <v>446</v>
      </c>
      <c r="U57" s="130"/>
      <c r="V57" s="131"/>
      <c r="W57" s="132">
        <v>44572</v>
      </c>
      <c r="X57" s="132">
        <v>44572</v>
      </c>
      <c r="Y57" s="132">
        <v>44598</v>
      </c>
      <c r="Z57" s="132"/>
      <c r="AA57" s="132"/>
      <c r="AB57" s="133"/>
      <c r="AC57" s="126" t="s">
        <v>64</v>
      </c>
      <c r="AD57" s="134" t="s">
        <v>132</v>
      </c>
      <c r="AE57" s="134" t="s">
        <v>580</v>
      </c>
      <c r="AF57" s="134">
        <v>44303</v>
      </c>
      <c r="AG57" s="134">
        <v>44327</v>
      </c>
      <c r="AH57" s="134"/>
      <c r="AI57" s="134">
        <f t="shared" ca="1" si="6"/>
        <v>44963</v>
      </c>
      <c r="AJ57" s="126">
        <f t="shared" ca="1" si="5"/>
        <v>636</v>
      </c>
      <c r="AK57" s="126">
        <f t="shared" ca="1" si="3"/>
        <v>365</v>
      </c>
      <c r="AL57" s="134" t="s">
        <v>3157</v>
      </c>
      <c r="AM57" s="143" t="s">
        <v>3158</v>
      </c>
      <c r="AN57" s="129">
        <v>8.2550000000000008</v>
      </c>
      <c r="AO57" s="129">
        <v>8.2700000000000014</v>
      </c>
      <c r="AP57" s="129">
        <v>8.2949999999999999</v>
      </c>
      <c r="AQ57" s="129">
        <v>8.3000000000000007</v>
      </c>
      <c r="AR57" s="126">
        <f t="shared" ca="1" si="4"/>
        <v>391</v>
      </c>
      <c r="AU57" s="99" t="s">
        <v>136</v>
      </c>
    </row>
    <row r="58" spans="1:59" s="99" customFormat="1" ht="21" customHeight="1" x14ac:dyDescent="0.35">
      <c r="A58" s="99">
        <v>380</v>
      </c>
      <c r="B58" s="126" t="str">
        <f t="shared" si="7"/>
        <v>0-J3/2B-001X595</v>
      </c>
      <c r="C58" s="126" t="s">
        <v>3141</v>
      </c>
      <c r="D58" s="126" t="s">
        <v>358</v>
      </c>
      <c r="E58" s="143" t="s">
        <v>3159</v>
      </c>
      <c r="F58" s="143" t="s">
        <v>3160</v>
      </c>
      <c r="G58" s="126" t="s">
        <v>29</v>
      </c>
      <c r="H58" s="126" t="s">
        <v>116</v>
      </c>
      <c r="I58" s="127">
        <v>2.4</v>
      </c>
      <c r="J58" s="127">
        <v>0.92</v>
      </c>
      <c r="K58" s="149">
        <v>0.9</v>
      </c>
      <c r="L58" s="149">
        <v>0.92</v>
      </c>
      <c r="M58" s="144">
        <v>595</v>
      </c>
      <c r="N58" s="129">
        <v>8.0549999999999997</v>
      </c>
      <c r="O58" s="129">
        <v>8.0500000000000007</v>
      </c>
      <c r="P58" s="129"/>
      <c r="Q58" s="129"/>
      <c r="R58" s="129" t="s">
        <v>116</v>
      </c>
      <c r="S58" s="284"/>
      <c r="T58" s="130" t="s">
        <v>446</v>
      </c>
      <c r="U58" s="130"/>
      <c r="V58" s="131"/>
      <c r="W58" s="132">
        <v>44573</v>
      </c>
      <c r="X58" s="132">
        <v>44573</v>
      </c>
      <c r="Y58" s="132">
        <v>44598</v>
      </c>
      <c r="Z58" s="132"/>
      <c r="AA58" s="132"/>
      <c r="AB58" s="133"/>
      <c r="AC58" s="126" t="s">
        <v>64</v>
      </c>
      <c r="AD58" s="134" t="s">
        <v>322</v>
      </c>
      <c r="AE58" s="134"/>
      <c r="AF58" s="134"/>
      <c r="AG58" s="134">
        <v>44309</v>
      </c>
      <c r="AH58" s="134"/>
      <c r="AI58" s="134">
        <f t="shared" ca="1" si="6"/>
        <v>44963</v>
      </c>
      <c r="AJ58" s="126">
        <f t="shared" ca="1" si="5"/>
        <v>654</v>
      </c>
      <c r="AK58" s="126">
        <f t="shared" ca="1" si="3"/>
        <v>365</v>
      </c>
      <c r="AL58" s="134" t="s">
        <v>443</v>
      </c>
      <c r="AM58" s="143" t="s">
        <v>3161</v>
      </c>
      <c r="AN58" s="129">
        <v>8.0760000000000005</v>
      </c>
      <c r="AO58" s="129">
        <v>8.1159999999999997</v>
      </c>
      <c r="AP58" s="129">
        <v>8.1409999999999982</v>
      </c>
      <c r="AQ58" s="129">
        <v>8.145999999999999</v>
      </c>
      <c r="AR58" s="126">
        <f t="shared" ca="1" si="4"/>
        <v>390</v>
      </c>
      <c r="AU58" s="99" t="s">
        <v>136</v>
      </c>
    </row>
    <row r="59" spans="1:59" s="99" customFormat="1" ht="21" customHeight="1" x14ac:dyDescent="0.35">
      <c r="A59" s="99">
        <v>380</v>
      </c>
      <c r="B59" s="126" t="str">
        <f t="shared" si="7"/>
        <v>0-J3/2B-001X595</v>
      </c>
      <c r="C59" s="126" t="s">
        <v>3141</v>
      </c>
      <c r="D59" s="126" t="s">
        <v>358</v>
      </c>
      <c r="E59" s="143" t="s">
        <v>3162</v>
      </c>
      <c r="F59" s="143" t="s">
        <v>3163</v>
      </c>
      <c r="G59" s="126" t="s">
        <v>29</v>
      </c>
      <c r="H59" s="126" t="s">
        <v>116</v>
      </c>
      <c r="I59" s="127">
        <v>2.4</v>
      </c>
      <c r="J59" s="127">
        <v>0.92</v>
      </c>
      <c r="K59" s="149">
        <v>0.91</v>
      </c>
      <c r="L59" s="149">
        <v>0.93</v>
      </c>
      <c r="M59" s="144">
        <v>595</v>
      </c>
      <c r="N59" s="129">
        <v>8.2050000000000001</v>
      </c>
      <c r="O59" s="129">
        <v>8.18</v>
      </c>
      <c r="P59" s="129"/>
      <c r="Q59" s="129"/>
      <c r="R59" s="129" t="s">
        <v>116</v>
      </c>
      <c r="S59" s="284"/>
      <c r="T59" s="130" t="s">
        <v>446</v>
      </c>
      <c r="U59" s="130"/>
      <c r="V59" s="131"/>
      <c r="W59" s="132">
        <v>44573</v>
      </c>
      <c r="X59" s="132">
        <v>44573</v>
      </c>
      <c r="Y59" s="132">
        <v>44598</v>
      </c>
      <c r="Z59" s="132"/>
      <c r="AA59" s="132"/>
      <c r="AB59" s="133"/>
      <c r="AC59" s="126" t="s">
        <v>64</v>
      </c>
      <c r="AD59" s="134" t="s">
        <v>322</v>
      </c>
      <c r="AE59" s="134"/>
      <c r="AF59" s="134"/>
      <c r="AG59" s="134">
        <v>44309</v>
      </c>
      <c r="AH59" s="134"/>
      <c r="AI59" s="134">
        <f t="shared" ca="1" si="6"/>
        <v>44963</v>
      </c>
      <c r="AJ59" s="126">
        <f t="shared" ca="1" si="5"/>
        <v>654</v>
      </c>
      <c r="AK59" s="126">
        <f t="shared" ca="1" si="3"/>
        <v>365</v>
      </c>
      <c r="AL59" s="134" t="s">
        <v>436</v>
      </c>
      <c r="AM59" s="143" t="s">
        <v>437</v>
      </c>
      <c r="AN59" s="129">
        <v>8.2059999999999995</v>
      </c>
      <c r="AO59" s="129">
        <v>8.2459999999999987</v>
      </c>
      <c r="AP59" s="129">
        <v>8.2709999999999972</v>
      </c>
      <c r="AQ59" s="129">
        <v>8.275999999999998</v>
      </c>
      <c r="AR59" s="126">
        <f t="shared" ca="1" si="4"/>
        <v>390</v>
      </c>
      <c r="AU59" s="99" t="s">
        <v>136</v>
      </c>
    </row>
    <row r="60" spans="1:59" s="99" customFormat="1" ht="21" customHeight="1" x14ac:dyDescent="0.35">
      <c r="A60" s="99">
        <v>394</v>
      </c>
      <c r="B60" s="126" t="str">
        <f t="shared" si="7"/>
        <v>0-J3/2B-001X595</v>
      </c>
      <c r="C60" s="126" t="s">
        <v>3164</v>
      </c>
      <c r="D60" s="126" t="s">
        <v>358</v>
      </c>
      <c r="E60" s="143" t="s">
        <v>3165</v>
      </c>
      <c r="F60" s="143" t="s">
        <v>3166</v>
      </c>
      <c r="G60" s="126" t="s">
        <v>29</v>
      </c>
      <c r="H60" s="126" t="s">
        <v>116</v>
      </c>
      <c r="I60" s="127">
        <v>2.4</v>
      </c>
      <c r="J60" s="127">
        <v>0.92</v>
      </c>
      <c r="K60" s="149">
        <v>0.9</v>
      </c>
      <c r="L60" s="149">
        <v>0.92</v>
      </c>
      <c r="M60" s="144">
        <v>595</v>
      </c>
      <c r="N60" s="129">
        <v>8.16</v>
      </c>
      <c r="O60" s="129">
        <v>8.14</v>
      </c>
      <c r="P60" s="129"/>
      <c r="Q60" s="129"/>
      <c r="R60" s="129" t="s">
        <v>116</v>
      </c>
      <c r="S60" s="284"/>
      <c r="T60" s="130" t="s">
        <v>446</v>
      </c>
      <c r="U60" s="130"/>
      <c r="V60" s="131"/>
      <c r="W60" s="132">
        <v>44573</v>
      </c>
      <c r="X60" s="132">
        <v>44573</v>
      </c>
      <c r="Y60" s="132">
        <v>44599</v>
      </c>
      <c r="Z60" s="132"/>
      <c r="AA60" s="132"/>
      <c r="AB60" s="133"/>
      <c r="AC60" s="126" t="s">
        <v>64</v>
      </c>
      <c r="AD60" s="134" t="s">
        <v>322</v>
      </c>
      <c r="AE60" s="134" t="s">
        <v>635</v>
      </c>
      <c r="AF60" s="134">
        <v>44315</v>
      </c>
      <c r="AG60" s="134">
        <v>44352</v>
      </c>
      <c r="AH60" s="134"/>
      <c r="AI60" s="134">
        <f t="shared" ca="1" si="6"/>
        <v>44963</v>
      </c>
      <c r="AJ60" s="126">
        <f t="shared" ca="1" si="5"/>
        <v>611</v>
      </c>
      <c r="AK60" s="126">
        <f t="shared" ca="1" si="3"/>
        <v>364</v>
      </c>
      <c r="AL60" s="134" t="s">
        <v>640</v>
      </c>
      <c r="AM60" s="143" t="s">
        <v>3167</v>
      </c>
      <c r="AN60" s="129">
        <v>8.1850000000000005</v>
      </c>
      <c r="AO60" s="129">
        <v>8.2249999999999996</v>
      </c>
      <c r="AP60" s="129">
        <v>8.2499999999999982</v>
      </c>
      <c r="AQ60" s="129">
        <v>8.254999999999999</v>
      </c>
      <c r="AR60" s="126">
        <f t="shared" ca="1" si="4"/>
        <v>390</v>
      </c>
      <c r="AU60" s="99" t="s">
        <v>136</v>
      </c>
    </row>
    <row r="61" spans="1:59" s="99" customFormat="1" ht="21" customHeight="1" x14ac:dyDescent="0.35">
      <c r="A61" s="99">
        <v>389</v>
      </c>
      <c r="B61" s="126" t="str">
        <f t="shared" si="7"/>
        <v>0-J3/2B-001X595</v>
      </c>
      <c r="C61" s="126" t="s">
        <v>3164</v>
      </c>
      <c r="D61" s="126" t="s">
        <v>358</v>
      </c>
      <c r="E61" s="143" t="s">
        <v>3168</v>
      </c>
      <c r="F61" s="143" t="s">
        <v>3169</v>
      </c>
      <c r="G61" s="126" t="s">
        <v>29</v>
      </c>
      <c r="H61" s="126" t="s">
        <v>116</v>
      </c>
      <c r="I61" s="127">
        <v>2.4</v>
      </c>
      <c r="J61" s="127">
        <v>0.92</v>
      </c>
      <c r="K61" s="149">
        <v>0.9</v>
      </c>
      <c r="L61" s="149">
        <v>0.92</v>
      </c>
      <c r="M61" s="144">
        <v>595</v>
      </c>
      <c r="N61" s="129">
        <v>8.2349999999999994</v>
      </c>
      <c r="O61" s="129">
        <v>8.2200000000000006</v>
      </c>
      <c r="P61" s="129"/>
      <c r="Q61" s="129"/>
      <c r="R61" s="129" t="s">
        <v>116</v>
      </c>
      <c r="S61" s="284"/>
      <c r="T61" s="130" t="s">
        <v>446</v>
      </c>
      <c r="U61" s="130"/>
      <c r="V61" s="131"/>
      <c r="W61" s="132">
        <v>44573</v>
      </c>
      <c r="X61" s="132">
        <v>44573</v>
      </c>
      <c r="Y61" s="132">
        <v>44599</v>
      </c>
      <c r="Z61" s="132"/>
      <c r="AA61" s="132"/>
      <c r="AB61" s="133"/>
      <c r="AC61" s="126" t="s">
        <v>64</v>
      </c>
      <c r="AD61" s="134" t="s">
        <v>132</v>
      </c>
      <c r="AE61" s="134" t="s">
        <v>580</v>
      </c>
      <c r="AF61" s="134">
        <v>44303</v>
      </c>
      <c r="AG61" s="134">
        <v>44327</v>
      </c>
      <c r="AH61" s="134"/>
      <c r="AI61" s="134">
        <f t="shared" ca="1" si="6"/>
        <v>44963</v>
      </c>
      <c r="AJ61" s="126">
        <f t="shared" ca="1" si="5"/>
        <v>636</v>
      </c>
      <c r="AK61" s="126">
        <f t="shared" ca="1" si="3"/>
        <v>364</v>
      </c>
      <c r="AL61" s="134" t="s">
        <v>3157</v>
      </c>
      <c r="AM61" s="143" t="s">
        <v>586</v>
      </c>
      <c r="AN61" s="129">
        <v>8.2550000000000008</v>
      </c>
      <c r="AO61" s="129">
        <v>8.2700000000000014</v>
      </c>
      <c r="AP61" s="129">
        <v>8.2949999999999999</v>
      </c>
      <c r="AQ61" s="129">
        <v>8.3000000000000007</v>
      </c>
      <c r="AR61" s="126">
        <f t="shared" ca="1" si="4"/>
        <v>390</v>
      </c>
      <c r="AU61" s="99" t="s">
        <v>136</v>
      </c>
    </row>
    <row r="62" spans="1:59" s="99" customFormat="1" ht="21" customHeight="1" x14ac:dyDescent="0.35">
      <c r="A62" s="99">
        <v>397</v>
      </c>
      <c r="B62" s="126" t="str">
        <f t="shared" si="7"/>
        <v>0-J3/2B-001X595</v>
      </c>
      <c r="C62" s="126" t="s">
        <v>3164</v>
      </c>
      <c r="D62" s="126" t="s">
        <v>358</v>
      </c>
      <c r="E62" s="143" t="s">
        <v>3170</v>
      </c>
      <c r="F62" s="143" t="s">
        <v>3171</v>
      </c>
      <c r="G62" s="126" t="s">
        <v>29</v>
      </c>
      <c r="H62" s="126" t="s">
        <v>116</v>
      </c>
      <c r="I62" s="127">
        <v>2.2000000000000002</v>
      </c>
      <c r="J62" s="127">
        <v>0.73</v>
      </c>
      <c r="K62" s="149">
        <v>0.72</v>
      </c>
      <c r="L62" s="149">
        <v>0.74</v>
      </c>
      <c r="M62" s="144">
        <v>595</v>
      </c>
      <c r="N62" s="129">
        <v>8.2149999999999999</v>
      </c>
      <c r="O62" s="129">
        <v>8.1950000000000003</v>
      </c>
      <c r="P62" s="129"/>
      <c r="Q62" s="129"/>
      <c r="R62" s="129" t="s">
        <v>116</v>
      </c>
      <c r="S62" s="284"/>
      <c r="T62" s="130" t="s">
        <v>446</v>
      </c>
      <c r="U62" s="130" t="s">
        <v>291</v>
      </c>
      <c r="V62" s="131"/>
      <c r="W62" s="132">
        <v>44431</v>
      </c>
      <c r="X62" s="132">
        <v>44431</v>
      </c>
      <c r="Y62" s="132">
        <v>44599</v>
      </c>
      <c r="Z62" s="132"/>
      <c r="AA62" s="132"/>
      <c r="AB62" s="133"/>
      <c r="AC62" s="126" t="s">
        <v>64</v>
      </c>
      <c r="AD62" s="134" t="s">
        <v>468</v>
      </c>
      <c r="AE62" s="134"/>
      <c r="AF62" s="134"/>
      <c r="AG62" s="134">
        <v>44373</v>
      </c>
      <c r="AH62" s="134"/>
      <c r="AI62" s="134">
        <f t="shared" ca="1" si="6"/>
        <v>44963</v>
      </c>
      <c r="AJ62" s="126">
        <f t="shared" ca="1" si="5"/>
        <v>590</v>
      </c>
      <c r="AK62" s="126">
        <f t="shared" ca="1" si="3"/>
        <v>364</v>
      </c>
      <c r="AL62" s="134" t="s">
        <v>3172</v>
      </c>
      <c r="AM62" s="143" t="s">
        <v>722</v>
      </c>
      <c r="AN62" s="129">
        <v>8.2390000000000008</v>
      </c>
      <c r="AO62" s="129">
        <v>8.2789999999999999</v>
      </c>
      <c r="AP62" s="129">
        <v>8.3039999999999985</v>
      </c>
      <c r="AQ62" s="129">
        <v>8.3089999999999993</v>
      </c>
      <c r="AR62" s="126">
        <f t="shared" ca="1" si="4"/>
        <v>532</v>
      </c>
      <c r="AU62" s="99" t="s">
        <v>136</v>
      </c>
      <c r="BG62" s="99" t="s">
        <v>750</v>
      </c>
    </row>
    <row r="63" spans="1:59" s="99" customFormat="1" ht="21" customHeight="1" x14ac:dyDescent="0.35">
      <c r="A63" s="99">
        <v>389</v>
      </c>
      <c r="B63" s="126" t="str">
        <f t="shared" si="7"/>
        <v>0-J3/2B-001X595</v>
      </c>
      <c r="C63" s="126" t="s">
        <v>3164</v>
      </c>
      <c r="D63" s="126" t="s">
        <v>358</v>
      </c>
      <c r="E63" s="143" t="s">
        <v>3173</v>
      </c>
      <c r="F63" s="143" t="s">
        <v>3174</v>
      </c>
      <c r="G63" s="126" t="s">
        <v>29</v>
      </c>
      <c r="H63" s="126" t="s">
        <v>116</v>
      </c>
      <c r="I63" s="127">
        <v>2.4</v>
      </c>
      <c r="J63" s="127">
        <v>0.92</v>
      </c>
      <c r="K63" s="149">
        <v>0.9</v>
      </c>
      <c r="L63" s="149">
        <v>0.92</v>
      </c>
      <c r="M63" s="144">
        <v>595</v>
      </c>
      <c r="N63" s="129">
        <v>8.17</v>
      </c>
      <c r="O63" s="129">
        <v>8.1449999999999996</v>
      </c>
      <c r="P63" s="129"/>
      <c r="Q63" s="129"/>
      <c r="R63" s="129" t="s">
        <v>116</v>
      </c>
      <c r="S63" s="284"/>
      <c r="T63" s="130" t="s">
        <v>446</v>
      </c>
      <c r="U63" s="130"/>
      <c r="V63" s="131"/>
      <c r="W63" s="132">
        <v>44573</v>
      </c>
      <c r="X63" s="132">
        <v>44573</v>
      </c>
      <c r="Y63" s="132">
        <v>44599</v>
      </c>
      <c r="Z63" s="132"/>
      <c r="AA63" s="132"/>
      <c r="AB63" s="133"/>
      <c r="AC63" s="126" t="s">
        <v>64</v>
      </c>
      <c r="AD63" s="134" t="s">
        <v>132</v>
      </c>
      <c r="AE63" s="134" t="s">
        <v>580</v>
      </c>
      <c r="AF63" s="134">
        <v>44303</v>
      </c>
      <c r="AG63" s="134">
        <v>44327</v>
      </c>
      <c r="AH63" s="134"/>
      <c r="AI63" s="134">
        <f t="shared" ca="1" si="6"/>
        <v>44963</v>
      </c>
      <c r="AJ63" s="126">
        <f t="shared" ca="1" si="5"/>
        <v>636</v>
      </c>
      <c r="AK63" s="126">
        <f t="shared" ca="1" si="3"/>
        <v>364</v>
      </c>
      <c r="AL63" s="134" t="s">
        <v>3175</v>
      </c>
      <c r="AM63" s="143" t="s">
        <v>611</v>
      </c>
      <c r="AN63" s="129">
        <v>8.1790000000000003</v>
      </c>
      <c r="AO63" s="129">
        <v>8.1940000000000008</v>
      </c>
      <c r="AP63" s="129">
        <v>8.2189999999999994</v>
      </c>
      <c r="AQ63" s="129">
        <v>8.2240000000000002</v>
      </c>
      <c r="AR63" s="126">
        <f t="shared" ca="1" si="4"/>
        <v>390</v>
      </c>
      <c r="AU63" s="99" t="s">
        <v>136</v>
      </c>
    </row>
    <row r="64" spans="1:59" s="99" customFormat="1" ht="21" customHeight="1" x14ac:dyDescent="0.35">
      <c r="A64" s="99">
        <v>406</v>
      </c>
      <c r="B64" s="126" t="str">
        <f t="shared" si="7"/>
        <v>0-J3/2B-001X620</v>
      </c>
      <c r="C64" s="126" t="s">
        <v>3164</v>
      </c>
      <c r="D64" s="126" t="s">
        <v>358</v>
      </c>
      <c r="E64" s="143" t="s">
        <v>3176</v>
      </c>
      <c r="F64" s="143" t="s">
        <v>3177</v>
      </c>
      <c r="G64" s="126" t="s">
        <v>29</v>
      </c>
      <c r="H64" s="126" t="s">
        <v>116</v>
      </c>
      <c r="I64" s="127">
        <v>2.2000000000000002</v>
      </c>
      <c r="J64" s="127">
        <v>0.73</v>
      </c>
      <c r="K64" s="149">
        <v>0.7</v>
      </c>
      <c r="L64" s="149">
        <v>0.72</v>
      </c>
      <c r="M64" s="144">
        <v>620</v>
      </c>
      <c r="N64" s="129">
        <v>9.93</v>
      </c>
      <c r="O64" s="129">
        <v>9.92</v>
      </c>
      <c r="P64" s="129"/>
      <c r="Q64" s="129"/>
      <c r="R64" s="129" t="s">
        <v>116</v>
      </c>
      <c r="S64" s="284"/>
      <c r="T64" s="130" t="s">
        <v>446</v>
      </c>
      <c r="U64" s="130"/>
      <c r="V64" s="131"/>
      <c r="W64" s="132">
        <v>44572</v>
      </c>
      <c r="X64" s="132">
        <v>44574</v>
      </c>
      <c r="Y64" s="132">
        <v>44599</v>
      </c>
      <c r="Z64" s="132"/>
      <c r="AA64" s="132"/>
      <c r="AB64" s="133"/>
      <c r="AC64" s="126" t="s">
        <v>64</v>
      </c>
      <c r="AD64" s="134" t="s">
        <v>322</v>
      </c>
      <c r="AE64" s="134"/>
      <c r="AF64" s="134"/>
      <c r="AG64" s="134">
        <v>44396</v>
      </c>
      <c r="AH64" s="134"/>
      <c r="AI64" s="134">
        <f t="shared" ca="1" si="6"/>
        <v>44963</v>
      </c>
      <c r="AJ64" s="126">
        <f t="shared" ca="1" si="5"/>
        <v>567</v>
      </c>
      <c r="AK64" s="126">
        <f t="shared" ca="1" si="3"/>
        <v>364</v>
      </c>
      <c r="AL64" s="134" t="s">
        <v>891</v>
      </c>
      <c r="AM64" s="143" t="s">
        <v>798</v>
      </c>
      <c r="AN64" s="129">
        <v>9.9649999999999999</v>
      </c>
      <c r="AO64" s="129">
        <v>10.005000000000001</v>
      </c>
      <c r="AP64" s="129">
        <v>10.029999999999999</v>
      </c>
      <c r="AQ64" s="129">
        <v>10.035</v>
      </c>
      <c r="AR64" s="126">
        <f t="shared" ca="1" si="4"/>
        <v>389</v>
      </c>
      <c r="AU64" s="99" t="s">
        <v>136</v>
      </c>
    </row>
    <row r="65" spans="1:47" s="99" customFormat="1" ht="21" customHeight="1" x14ac:dyDescent="0.35">
      <c r="A65" s="99">
        <v>386</v>
      </c>
      <c r="B65" s="126" t="str">
        <f t="shared" si="7"/>
        <v>0-J3/2B-001X595</v>
      </c>
      <c r="C65" s="126" t="s">
        <v>3164</v>
      </c>
      <c r="D65" s="126" t="s">
        <v>358</v>
      </c>
      <c r="E65" s="143" t="s">
        <v>3178</v>
      </c>
      <c r="F65" s="143" t="s">
        <v>3179</v>
      </c>
      <c r="G65" s="126" t="s">
        <v>29</v>
      </c>
      <c r="H65" s="126" t="s">
        <v>116</v>
      </c>
      <c r="I65" s="127">
        <v>2.4</v>
      </c>
      <c r="J65" s="127">
        <v>0.95</v>
      </c>
      <c r="K65" s="149">
        <v>0.95</v>
      </c>
      <c r="L65" s="149">
        <v>0.96</v>
      </c>
      <c r="M65" s="144">
        <v>595</v>
      </c>
      <c r="N65" s="129">
        <v>8.1449999999999996</v>
      </c>
      <c r="O65" s="129">
        <v>8.14</v>
      </c>
      <c r="P65" s="129"/>
      <c r="Q65" s="129"/>
      <c r="R65" s="129" t="s">
        <v>116</v>
      </c>
      <c r="S65" s="284"/>
      <c r="T65" s="130" t="s">
        <v>412</v>
      </c>
      <c r="U65" s="130"/>
      <c r="V65" s="131"/>
      <c r="W65" s="132">
        <v>44571</v>
      </c>
      <c r="X65" s="132">
        <v>44571</v>
      </c>
      <c r="Y65" s="132">
        <v>44599</v>
      </c>
      <c r="Z65" s="132"/>
      <c r="AA65" s="132"/>
      <c r="AB65" s="133"/>
      <c r="AC65" s="126" t="s">
        <v>64</v>
      </c>
      <c r="AD65" s="134" t="s">
        <v>468</v>
      </c>
      <c r="AE65" s="134"/>
      <c r="AF65" s="134"/>
      <c r="AG65" s="134">
        <v>44322</v>
      </c>
      <c r="AH65" s="134"/>
      <c r="AI65" s="134">
        <f t="shared" ca="1" si="6"/>
        <v>44963</v>
      </c>
      <c r="AJ65" s="126">
        <f t="shared" ca="1" si="5"/>
        <v>641</v>
      </c>
      <c r="AK65" s="126">
        <f t="shared" ca="1" si="3"/>
        <v>364</v>
      </c>
      <c r="AL65" s="134" t="s">
        <v>541</v>
      </c>
      <c r="AM65" s="143" t="s">
        <v>542</v>
      </c>
      <c r="AN65" s="129">
        <v>8.1750000000000007</v>
      </c>
      <c r="AO65" s="129">
        <v>8.2149999999999999</v>
      </c>
      <c r="AP65" s="129">
        <v>8.2399999999999984</v>
      </c>
      <c r="AQ65" s="129">
        <v>8.2449999999999992</v>
      </c>
      <c r="AR65" s="126">
        <f t="shared" ca="1" si="4"/>
        <v>392</v>
      </c>
      <c r="AU65" s="99" t="s">
        <v>136</v>
      </c>
    </row>
    <row r="66" spans="1:47" s="99" customFormat="1" ht="21" customHeight="1" x14ac:dyDescent="0.35">
      <c r="A66" s="99">
        <v>386</v>
      </c>
      <c r="B66" s="126" t="str">
        <f t="shared" si="7"/>
        <v>0-J3/2B-001X595</v>
      </c>
      <c r="C66" s="126" t="s">
        <v>3164</v>
      </c>
      <c r="D66" s="126" t="s">
        <v>358</v>
      </c>
      <c r="E66" s="143" t="s">
        <v>3180</v>
      </c>
      <c r="F66" s="143" t="s">
        <v>3181</v>
      </c>
      <c r="G66" s="126" t="s">
        <v>29</v>
      </c>
      <c r="H66" s="126" t="s">
        <v>116</v>
      </c>
      <c r="I66" s="127">
        <v>2.4</v>
      </c>
      <c r="J66" s="127">
        <v>0.95</v>
      </c>
      <c r="K66" s="149">
        <v>0.94</v>
      </c>
      <c r="L66" s="149">
        <v>0.95</v>
      </c>
      <c r="M66" s="144">
        <v>595</v>
      </c>
      <c r="N66" s="129">
        <v>8.2050000000000001</v>
      </c>
      <c r="O66" s="129">
        <v>8.19</v>
      </c>
      <c r="P66" s="129"/>
      <c r="Q66" s="129"/>
      <c r="R66" s="129" t="s">
        <v>116</v>
      </c>
      <c r="S66" s="284"/>
      <c r="T66" s="130" t="s">
        <v>412</v>
      </c>
      <c r="U66" s="130"/>
      <c r="V66" s="131"/>
      <c r="W66" s="132">
        <v>44571</v>
      </c>
      <c r="X66" s="132">
        <v>44571</v>
      </c>
      <c r="Y66" s="132">
        <v>44599</v>
      </c>
      <c r="Z66" s="132"/>
      <c r="AA66" s="132"/>
      <c r="AB66" s="133"/>
      <c r="AC66" s="126" t="s">
        <v>64</v>
      </c>
      <c r="AD66" s="134" t="s">
        <v>468</v>
      </c>
      <c r="AE66" s="134"/>
      <c r="AF66" s="134"/>
      <c r="AG66" s="134">
        <v>44322</v>
      </c>
      <c r="AH66" s="134"/>
      <c r="AI66" s="134">
        <f t="shared" ca="1" si="6"/>
        <v>44963</v>
      </c>
      <c r="AJ66" s="126">
        <f t="shared" ca="1" si="5"/>
        <v>641</v>
      </c>
      <c r="AK66" s="126">
        <f t="shared" ca="1" si="3"/>
        <v>364</v>
      </c>
      <c r="AL66" s="134" t="s">
        <v>531</v>
      </c>
      <c r="AM66" s="143" t="s">
        <v>632</v>
      </c>
      <c r="AN66" s="129">
        <v>8.2289999999999992</v>
      </c>
      <c r="AO66" s="129">
        <v>8.2689999999999984</v>
      </c>
      <c r="AP66" s="129">
        <v>8.2939999999999969</v>
      </c>
      <c r="AQ66" s="129">
        <v>8.2989999999999977</v>
      </c>
      <c r="AR66" s="126">
        <f t="shared" ca="1" si="4"/>
        <v>392</v>
      </c>
      <c r="AU66" s="99" t="s">
        <v>136</v>
      </c>
    </row>
    <row r="67" spans="1:47" s="99" customFormat="1" ht="21" customHeight="1" x14ac:dyDescent="0.35">
      <c r="A67" s="99">
        <v>400</v>
      </c>
      <c r="B67" s="126" t="str">
        <f t="shared" si="7"/>
        <v>0-J3/2B-001X620</v>
      </c>
      <c r="C67" s="126" t="s">
        <v>3164</v>
      </c>
      <c r="D67" s="126" t="s">
        <v>358</v>
      </c>
      <c r="E67" s="143" t="s">
        <v>3182</v>
      </c>
      <c r="F67" s="143" t="s">
        <v>3183</v>
      </c>
      <c r="G67" s="126" t="s">
        <v>29</v>
      </c>
      <c r="H67" s="126" t="s">
        <v>116</v>
      </c>
      <c r="I67" s="127">
        <v>2.4</v>
      </c>
      <c r="J67" s="127">
        <v>1.1000000000000001</v>
      </c>
      <c r="K67" s="149">
        <v>1.0900000000000001</v>
      </c>
      <c r="L67" s="149">
        <v>1.1000000000000001</v>
      </c>
      <c r="M67" s="144">
        <v>620</v>
      </c>
      <c r="N67" s="129">
        <v>9.91</v>
      </c>
      <c r="O67" s="129">
        <v>9.8800000000000008</v>
      </c>
      <c r="P67" s="129"/>
      <c r="Q67" s="129"/>
      <c r="R67" s="129" t="s">
        <v>116</v>
      </c>
      <c r="S67" s="284"/>
      <c r="T67" s="130" t="s">
        <v>412</v>
      </c>
      <c r="U67" s="130"/>
      <c r="V67" s="131"/>
      <c r="W67" s="132">
        <v>44570</v>
      </c>
      <c r="X67" s="132">
        <v>44570</v>
      </c>
      <c r="Y67" s="132">
        <v>44599</v>
      </c>
      <c r="Z67" s="132"/>
      <c r="AA67" s="132"/>
      <c r="AB67" s="133"/>
      <c r="AC67" s="126" t="s">
        <v>64</v>
      </c>
      <c r="AD67" s="134" t="s">
        <v>322</v>
      </c>
      <c r="AE67" s="134"/>
      <c r="AF67" s="134"/>
      <c r="AG67" s="134">
        <v>44384</v>
      </c>
      <c r="AH67" s="134"/>
      <c r="AI67" s="134">
        <f t="shared" ca="1" si="6"/>
        <v>44963</v>
      </c>
      <c r="AJ67" s="126">
        <f t="shared" ca="1" si="5"/>
        <v>579</v>
      </c>
      <c r="AK67" s="126">
        <f t="shared" ca="1" si="3"/>
        <v>364</v>
      </c>
      <c r="AL67" s="134" t="s">
        <v>757</v>
      </c>
      <c r="AM67" s="143" t="s">
        <v>758</v>
      </c>
      <c r="AN67" s="129">
        <v>9.93</v>
      </c>
      <c r="AO67" s="129">
        <v>9.9699999999999989</v>
      </c>
      <c r="AP67" s="129">
        <v>9.9949999999999974</v>
      </c>
      <c r="AQ67" s="129">
        <v>9.9999999999999982</v>
      </c>
      <c r="AR67" s="126">
        <f t="shared" ca="1" si="4"/>
        <v>393</v>
      </c>
      <c r="AU67" s="99" t="s">
        <v>136</v>
      </c>
    </row>
    <row r="68" spans="1:47" s="99" customFormat="1" ht="21" customHeight="1" x14ac:dyDescent="0.35">
      <c r="A68" s="99">
        <v>422</v>
      </c>
      <c r="B68" s="126" t="str">
        <f t="shared" si="7"/>
        <v>0-304L/2B-001X768</v>
      </c>
      <c r="C68" s="126" t="s">
        <v>3164</v>
      </c>
      <c r="D68" s="126" t="s">
        <v>358</v>
      </c>
      <c r="E68" s="143" t="s">
        <v>3184</v>
      </c>
      <c r="F68" s="143" t="s">
        <v>3185</v>
      </c>
      <c r="G68" s="126" t="s">
        <v>230</v>
      </c>
      <c r="H68" s="126" t="s">
        <v>116</v>
      </c>
      <c r="I68" s="127">
        <v>2.98</v>
      </c>
      <c r="J68" s="127">
        <v>0.95</v>
      </c>
      <c r="K68" s="149">
        <v>0.9</v>
      </c>
      <c r="L68" s="149">
        <v>0.93</v>
      </c>
      <c r="M68" s="144">
        <v>768</v>
      </c>
      <c r="N68" s="129">
        <v>10.18</v>
      </c>
      <c r="O68" s="129">
        <v>10.135</v>
      </c>
      <c r="P68" s="129"/>
      <c r="Q68" s="129"/>
      <c r="R68" s="129" t="s">
        <v>116</v>
      </c>
      <c r="S68" s="284"/>
      <c r="T68" s="130" t="s">
        <v>412</v>
      </c>
      <c r="U68" s="130"/>
      <c r="V68" s="131"/>
      <c r="W68" s="132">
        <v>44565</v>
      </c>
      <c r="X68" s="132">
        <v>44566</v>
      </c>
      <c r="Y68" s="132">
        <v>44599</v>
      </c>
      <c r="Z68" s="132"/>
      <c r="AA68" s="132"/>
      <c r="AB68" s="133"/>
      <c r="AC68" s="126" t="s">
        <v>64</v>
      </c>
      <c r="AD68" s="134" t="s">
        <v>154</v>
      </c>
      <c r="AE68" s="134" t="s">
        <v>1330</v>
      </c>
      <c r="AF68" s="134"/>
      <c r="AG68" s="134">
        <v>44516</v>
      </c>
      <c r="AH68" s="134"/>
      <c r="AI68" s="134">
        <f t="shared" ca="1" si="6"/>
        <v>44963</v>
      </c>
      <c r="AJ68" s="126">
        <f t="shared" ca="1" si="5"/>
        <v>447</v>
      </c>
      <c r="AK68" s="126">
        <f t="shared" ref="AK68:AK80" ca="1" si="8">IF(ISNUMBER(Y68)=TRUE,AI68-Y68,IF(Y68="","",(AI68)-(MID(RIGHT(Y68,10),4,2)&amp;"/"&amp;LEFT((RIGHT(Y68,10)),2)&amp;"/"&amp;RIGHT(Y68,4))))</f>
        <v>364</v>
      </c>
      <c r="AL68" s="134"/>
      <c r="AM68" s="143" t="s">
        <v>3186</v>
      </c>
      <c r="AN68" s="129">
        <v>10.164999999999999</v>
      </c>
      <c r="AO68" s="129">
        <v>10.175000000000001</v>
      </c>
      <c r="AP68" s="129">
        <v>10.199999999999999</v>
      </c>
      <c r="AQ68" s="129">
        <v>10.205</v>
      </c>
      <c r="AR68" s="126">
        <f t="shared" ref="AR68:AR80" ca="1" si="9">IF(ISNUMBER(X68)=TRUE,AI68-X68,IF(X68="","",(AI68)-(MID(RIGHT(X68,10),4,2)&amp;"/"&amp;LEFT((RIGHT(X68,10)),2)&amp;"/"&amp;RIGHT(X68,4))))</f>
        <v>397</v>
      </c>
      <c r="AU68" s="99" t="s">
        <v>136</v>
      </c>
    </row>
    <row r="69" spans="1:47" s="99" customFormat="1" ht="21" customHeight="1" x14ac:dyDescent="0.35">
      <c r="A69" s="99">
        <v>422</v>
      </c>
      <c r="B69" s="126" t="str">
        <f t="shared" si="7"/>
        <v>0-304/2B-001X768</v>
      </c>
      <c r="C69" s="126" t="s">
        <v>3187</v>
      </c>
      <c r="D69" s="126" t="s">
        <v>358</v>
      </c>
      <c r="E69" s="143" t="s">
        <v>3188</v>
      </c>
      <c r="F69" s="143" t="s">
        <v>3189</v>
      </c>
      <c r="G69" s="126">
        <v>304</v>
      </c>
      <c r="H69" s="126" t="s">
        <v>116</v>
      </c>
      <c r="I69" s="127">
        <v>3</v>
      </c>
      <c r="J69" s="127">
        <v>0.95</v>
      </c>
      <c r="K69" s="149">
        <v>0.95</v>
      </c>
      <c r="L69" s="149">
        <v>0.97</v>
      </c>
      <c r="M69" s="144">
        <v>768</v>
      </c>
      <c r="N69" s="129">
        <v>10.5</v>
      </c>
      <c r="O69" s="129">
        <v>10.47</v>
      </c>
      <c r="P69" s="129"/>
      <c r="Q69" s="129"/>
      <c r="R69" s="129" t="s">
        <v>116</v>
      </c>
      <c r="S69" s="284"/>
      <c r="T69" s="130" t="s">
        <v>412</v>
      </c>
      <c r="U69" s="130"/>
      <c r="V69" s="131"/>
      <c r="W69" s="132">
        <v>44565</v>
      </c>
      <c r="X69" s="132">
        <v>44565</v>
      </c>
      <c r="Y69" s="132">
        <v>44600</v>
      </c>
      <c r="Z69" s="132"/>
      <c r="AA69" s="132"/>
      <c r="AB69" s="133"/>
      <c r="AC69" s="126" t="s">
        <v>64</v>
      </c>
      <c r="AD69" s="134" t="s">
        <v>154</v>
      </c>
      <c r="AE69" s="134" t="s">
        <v>1296</v>
      </c>
      <c r="AF69" s="134"/>
      <c r="AG69" s="134">
        <v>44516</v>
      </c>
      <c r="AH69" s="134"/>
      <c r="AI69" s="134">
        <f t="shared" ca="1" si="6"/>
        <v>44963</v>
      </c>
      <c r="AJ69" s="126">
        <f t="shared" ca="1" si="5"/>
        <v>447</v>
      </c>
      <c r="AK69" s="126">
        <f t="shared" ca="1" si="8"/>
        <v>363</v>
      </c>
      <c r="AL69" s="134"/>
      <c r="AM69" s="143" t="s">
        <v>2881</v>
      </c>
      <c r="AN69" s="129">
        <v>10.484999999999999</v>
      </c>
      <c r="AO69" s="129">
        <v>10.494999999999999</v>
      </c>
      <c r="AP69" s="129">
        <v>10.519999999999998</v>
      </c>
      <c r="AQ69" s="129">
        <v>10.524999999999999</v>
      </c>
      <c r="AR69" s="126">
        <f t="shared" ca="1" si="9"/>
        <v>398</v>
      </c>
      <c r="AU69" s="99" t="s">
        <v>136</v>
      </c>
    </row>
    <row r="70" spans="1:47" s="99" customFormat="1" ht="21" customHeight="1" x14ac:dyDescent="0.35">
      <c r="A70" s="99">
        <v>422</v>
      </c>
      <c r="B70" s="126" t="str">
        <f t="shared" si="7"/>
        <v>0-304L/2B-001X766</v>
      </c>
      <c r="C70" s="126" t="s">
        <v>3187</v>
      </c>
      <c r="D70" s="126" t="s">
        <v>358</v>
      </c>
      <c r="E70" s="143" t="s">
        <v>1342</v>
      </c>
      <c r="F70" s="143" t="s">
        <v>1343</v>
      </c>
      <c r="G70" s="126" t="s">
        <v>230</v>
      </c>
      <c r="H70" s="126" t="s">
        <v>116</v>
      </c>
      <c r="I70" s="127">
        <v>3.18</v>
      </c>
      <c r="J70" s="127">
        <v>1.1000000000000001</v>
      </c>
      <c r="K70" s="149">
        <v>1.0900000000000001</v>
      </c>
      <c r="L70" s="149">
        <v>1.1000000000000001</v>
      </c>
      <c r="M70" s="144">
        <v>766</v>
      </c>
      <c r="N70" s="129">
        <v>10.505000000000001</v>
      </c>
      <c r="O70" s="129">
        <v>10.46</v>
      </c>
      <c r="P70" s="129"/>
      <c r="Q70" s="129"/>
      <c r="R70" s="129" t="s">
        <v>116</v>
      </c>
      <c r="S70" s="284"/>
      <c r="T70" s="130" t="s">
        <v>412</v>
      </c>
      <c r="U70" s="130"/>
      <c r="V70" s="131"/>
      <c r="W70" s="132">
        <v>44570</v>
      </c>
      <c r="X70" s="132">
        <v>44570</v>
      </c>
      <c r="Y70" s="132">
        <v>44600</v>
      </c>
      <c r="Z70" s="132"/>
      <c r="AA70" s="132"/>
      <c r="AB70" s="133"/>
      <c r="AC70" s="126" t="s">
        <v>64</v>
      </c>
      <c r="AD70" s="134" t="s">
        <v>154</v>
      </c>
      <c r="AE70" s="134" t="s">
        <v>1330</v>
      </c>
      <c r="AF70" s="134"/>
      <c r="AG70" s="134">
        <v>44516</v>
      </c>
      <c r="AH70" s="134"/>
      <c r="AI70" s="134">
        <f t="shared" ca="1" si="6"/>
        <v>44963</v>
      </c>
      <c r="AJ70" s="126">
        <f t="shared" ca="1" si="5"/>
        <v>447</v>
      </c>
      <c r="AK70" s="126">
        <f t="shared" ca="1" si="8"/>
        <v>363</v>
      </c>
      <c r="AL70" s="134"/>
      <c r="AM70" s="143" t="s">
        <v>1344</v>
      </c>
      <c r="AN70" s="129">
        <v>10.494999999999999</v>
      </c>
      <c r="AO70" s="129">
        <v>10.505000000000001</v>
      </c>
      <c r="AP70" s="129">
        <v>10.53</v>
      </c>
      <c r="AQ70" s="129">
        <v>10.535</v>
      </c>
      <c r="AR70" s="126">
        <f t="shared" ca="1" si="9"/>
        <v>393</v>
      </c>
      <c r="AU70" s="99" t="s">
        <v>136</v>
      </c>
    </row>
    <row r="71" spans="1:47" s="99" customFormat="1" ht="21" customHeight="1" x14ac:dyDescent="0.35">
      <c r="A71" s="99">
        <v>422</v>
      </c>
      <c r="B71" s="126" t="str">
        <f t="shared" si="7"/>
        <v>0-304L/2B-001X771</v>
      </c>
      <c r="C71" s="126" t="s">
        <v>3190</v>
      </c>
      <c r="D71" s="126" t="s">
        <v>3026</v>
      </c>
      <c r="E71" s="143" t="s">
        <v>2590</v>
      </c>
      <c r="F71" s="143" t="s">
        <v>3191</v>
      </c>
      <c r="G71" s="126" t="s">
        <v>230</v>
      </c>
      <c r="H71" s="126" t="s">
        <v>116</v>
      </c>
      <c r="I71" s="127">
        <v>3.82</v>
      </c>
      <c r="J71" s="127">
        <v>1.39</v>
      </c>
      <c r="K71" s="149">
        <v>1.38</v>
      </c>
      <c r="L71" s="149">
        <v>1.4</v>
      </c>
      <c r="M71" s="144">
        <v>771</v>
      </c>
      <c r="N71" s="129">
        <v>12.16</v>
      </c>
      <c r="O71" s="129">
        <f>4.01+4.045+4.07</f>
        <v>12.125</v>
      </c>
      <c r="P71" s="129"/>
      <c r="Q71" s="129"/>
      <c r="R71" s="129" t="s">
        <v>116</v>
      </c>
      <c r="S71" s="284" t="s">
        <v>3192</v>
      </c>
      <c r="T71" s="130" t="s">
        <v>1313</v>
      </c>
      <c r="U71" s="130"/>
      <c r="V71" s="131"/>
      <c r="W71" s="132">
        <v>44599</v>
      </c>
      <c r="X71" s="132">
        <v>44599</v>
      </c>
      <c r="Y71" s="132"/>
      <c r="Z71" s="132"/>
      <c r="AA71" s="132"/>
      <c r="AB71" s="133"/>
      <c r="AC71" s="126" t="s">
        <v>64</v>
      </c>
      <c r="AD71" s="134" t="s">
        <v>154</v>
      </c>
      <c r="AE71" s="134" t="s">
        <v>1296</v>
      </c>
      <c r="AF71" s="134"/>
      <c r="AG71" s="134">
        <v>44516</v>
      </c>
      <c r="AH71" s="134"/>
      <c r="AI71" s="134">
        <f t="shared" ca="1" si="6"/>
        <v>44963</v>
      </c>
      <c r="AJ71" s="126">
        <f t="shared" ca="1" si="5"/>
        <v>447</v>
      </c>
      <c r="AK71" s="126" t="str">
        <f t="shared" si="8"/>
        <v/>
      </c>
      <c r="AL71" s="134"/>
      <c r="AM71" s="143" t="s">
        <v>2592</v>
      </c>
      <c r="AN71" s="129">
        <v>12.164999999999999</v>
      </c>
      <c r="AO71" s="129">
        <v>12.175000000000001</v>
      </c>
      <c r="AP71" s="129">
        <v>12.2</v>
      </c>
      <c r="AQ71" s="129">
        <v>12.205</v>
      </c>
      <c r="AR71" s="126">
        <f t="shared" ca="1" si="9"/>
        <v>364</v>
      </c>
      <c r="AU71" s="99" t="s">
        <v>136</v>
      </c>
    </row>
    <row r="72" spans="1:47" s="99" customFormat="1" ht="21" customHeight="1" x14ac:dyDescent="0.35">
      <c r="A72" s="99">
        <v>422</v>
      </c>
      <c r="B72" s="126" t="str">
        <f t="shared" si="7"/>
        <v>0-304L/2B-002X766</v>
      </c>
      <c r="C72" s="126" t="s">
        <v>3190</v>
      </c>
      <c r="D72" s="126" t="s">
        <v>3026</v>
      </c>
      <c r="E72" s="143" t="s">
        <v>2574</v>
      </c>
      <c r="F72" s="143" t="s">
        <v>3193</v>
      </c>
      <c r="G72" s="126" t="s">
        <v>230</v>
      </c>
      <c r="H72" s="126" t="s">
        <v>116</v>
      </c>
      <c r="I72" s="127">
        <v>3.81</v>
      </c>
      <c r="J72" s="127">
        <v>1.89</v>
      </c>
      <c r="K72" s="149">
        <v>1.1879999999999999</v>
      </c>
      <c r="L72" s="149">
        <v>1.91</v>
      </c>
      <c r="M72" s="144">
        <v>766</v>
      </c>
      <c r="N72" s="129">
        <v>10.255000000000001</v>
      </c>
      <c r="O72" s="129">
        <f>5.68+4.515</f>
        <v>10.195</v>
      </c>
      <c r="P72" s="129"/>
      <c r="Q72" s="129"/>
      <c r="R72" s="129" t="s">
        <v>116</v>
      </c>
      <c r="S72" s="284" t="s">
        <v>3192</v>
      </c>
      <c r="T72" s="130" t="s">
        <v>1313</v>
      </c>
      <c r="U72" s="130"/>
      <c r="V72" s="131"/>
      <c r="W72" s="132">
        <v>44599</v>
      </c>
      <c r="X72" s="132">
        <v>44599</v>
      </c>
      <c r="Y72" s="132"/>
      <c r="Z72" s="132"/>
      <c r="AA72" s="132"/>
      <c r="AB72" s="133"/>
      <c r="AC72" s="126" t="s">
        <v>64</v>
      </c>
      <c r="AD72" s="134" t="s">
        <v>154</v>
      </c>
      <c r="AE72" s="134" t="s">
        <v>1330</v>
      </c>
      <c r="AF72" s="134"/>
      <c r="AG72" s="134">
        <v>44516</v>
      </c>
      <c r="AH72" s="134"/>
      <c r="AI72" s="134">
        <f t="shared" ca="1" si="6"/>
        <v>44963</v>
      </c>
      <c r="AJ72" s="126">
        <f t="shared" ca="1" si="5"/>
        <v>447</v>
      </c>
      <c r="AK72" s="126" t="str">
        <f t="shared" si="8"/>
        <v/>
      </c>
      <c r="AL72" s="134"/>
      <c r="AM72" s="143" t="s">
        <v>2576</v>
      </c>
      <c r="AN72" s="129">
        <v>10.24</v>
      </c>
      <c r="AO72" s="129">
        <v>10.25</v>
      </c>
      <c r="AP72" s="129">
        <v>10.274999999999999</v>
      </c>
      <c r="AQ72" s="129">
        <v>10.28</v>
      </c>
      <c r="AR72" s="126">
        <f t="shared" ca="1" si="9"/>
        <v>364</v>
      </c>
      <c r="AU72" s="99" t="s">
        <v>136</v>
      </c>
    </row>
    <row r="73" spans="1:47" s="99" customFormat="1" ht="21" customHeight="1" x14ac:dyDescent="0.35">
      <c r="A73" s="99">
        <v>421</v>
      </c>
      <c r="B73" s="126" t="str">
        <f t="shared" si="7"/>
        <v>0-304L/2B-001X770</v>
      </c>
      <c r="C73" s="126" t="s">
        <v>3190</v>
      </c>
      <c r="D73" s="126" t="s">
        <v>3026</v>
      </c>
      <c r="E73" s="143" t="s">
        <v>2587</v>
      </c>
      <c r="F73" s="143" t="s">
        <v>3194</v>
      </c>
      <c r="G73" s="126" t="s">
        <v>230</v>
      </c>
      <c r="H73" s="126" t="s">
        <v>116</v>
      </c>
      <c r="I73" s="127">
        <v>3.48</v>
      </c>
      <c r="J73" s="127">
        <v>1.29</v>
      </c>
      <c r="K73" s="149">
        <v>1.27</v>
      </c>
      <c r="L73" s="149">
        <v>1.29</v>
      </c>
      <c r="M73" s="144">
        <v>770</v>
      </c>
      <c r="N73" s="129">
        <v>10.42</v>
      </c>
      <c r="O73" s="129">
        <f>5.19+5.185</f>
        <v>10.375</v>
      </c>
      <c r="P73" s="129"/>
      <c r="Q73" s="129"/>
      <c r="R73" s="129" t="s">
        <v>116</v>
      </c>
      <c r="S73" s="284" t="s">
        <v>3192</v>
      </c>
      <c r="T73" s="130" t="s">
        <v>1313</v>
      </c>
      <c r="U73" s="130"/>
      <c r="V73" s="131"/>
      <c r="W73" s="132">
        <v>44599</v>
      </c>
      <c r="X73" s="132">
        <v>44599</v>
      </c>
      <c r="Y73" s="132"/>
      <c r="Z73" s="132"/>
      <c r="AA73" s="132"/>
      <c r="AB73" s="133"/>
      <c r="AC73" s="126" t="s">
        <v>64</v>
      </c>
      <c r="AD73" s="134" t="s">
        <v>154</v>
      </c>
      <c r="AE73" s="134" t="s">
        <v>1256</v>
      </c>
      <c r="AF73" s="134"/>
      <c r="AG73" s="134">
        <v>44496</v>
      </c>
      <c r="AH73" s="134"/>
      <c r="AI73" s="134">
        <f t="shared" ca="1" si="6"/>
        <v>44963</v>
      </c>
      <c r="AJ73" s="126">
        <f t="shared" ca="1" si="5"/>
        <v>467</v>
      </c>
      <c r="AK73" s="126" t="str">
        <f t="shared" si="8"/>
        <v/>
      </c>
      <c r="AL73" s="134"/>
      <c r="AM73" s="143" t="s">
        <v>2589</v>
      </c>
      <c r="AN73" s="129">
        <v>10.42</v>
      </c>
      <c r="AO73" s="129">
        <v>10.43</v>
      </c>
      <c r="AP73" s="129">
        <v>10.454999999999998</v>
      </c>
      <c r="AQ73" s="129">
        <v>10.459999999999999</v>
      </c>
      <c r="AR73" s="126">
        <f t="shared" ca="1" si="9"/>
        <v>364</v>
      </c>
      <c r="AU73" s="99" t="s">
        <v>136</v>
      </c>
    </row>
    <row r="74" spans="1:47" s="724" customFormat="1" ht="21" customHeight="1" x14ac:dyDescent="0.35">
      <c r="A74" s="724">
        <v>422</v>
      </c>
      <c r="B74" s="725" t="str">
        <f t="shared" si="7"/>
        <v>0-304L/2B-002X767</v>
      </c>
      <c r="C74" s="725" t="s">
        <v>3190</v>
      </c>
      <c r="D74" s="725" t="s">
        <v>3026</v>
      </c>
      <c r="E74" s="726" t="s">
        <v>1311</v>
      </c>
      <c r="F74" s="726" t="s">
        <v>3195</v>
      </c>
      <c r="G74" s="725" t="s">
        <v>230</v>
      </c>
      <c r="H74" s="725" t="s">
        <v>116</v>
      </c>
      <c r="I74" s="727">
        <v>3.81</v>
      </c>
      <c r="J74" s="727">
        <v>1.89</v>
      </c>
      <c r="K74" s="728">
        <v>1.87</v>
      </c>
      <c r="L74" s="728">
        <v>1.89</v>
      </c>
      <c r="M74" s="729">
        <v>767</v>
      </c>
      <c r="N74" s="820">
        <v>10.455</v>
      </c>
      <c r="O74" s="730">
        <v>4.0049999999999999</v>
      </c>
      <c r="P74" s="730"/>
      <c r="Q74" s="730"/>
      <c r="R74" s="730" t="s">
        <v>116</v>
      </c>
      <c r="S74" s="731" t="s">
        <v>3192</v>
      </c>
      <c r="T74" s="732" t="s">
        <v>1313</v>
      </c>
      <c r="U74" s="732"/>
      <c r="V74" s="733"/>
      <c r="W74" s="734">
        <v>44599</v>
      </c>
      <c r="X74" s="734">
        <v>44599</v>
      </c>
      <c r="Y74" s="734"/>
      <c r="Z74" s="734"/>
      <c r="AA74" s="734"/>
      <c r="AB74" s="735"/>
      <c r="AC74" s="725" t="s">
        <v>64</v>
      </c>
      <c r="AD74" s="736" t="s">
        <v>154</v>
      </c>
      <c r="AE74" s="736" t="s">
        <v>1296</v>
      </c>
      <c r="AF74" s="736"/>
      <c r="AG74" s="736">
        <v>44516</v>
      </c>
      <c r="AH74" s="736"/>
      <c r="AI74" s="736">
        <f t="shared" ca="1" si="6"/>
        <v>44963</v>
      </c>
      <c r="AJ74" s="725">
        <f t="shared" ca="1" si="5"/>
        <v>447</v>
      </c>
      <c r="AK74" s="725" t="str">
        <f t="shared" si="8"/>
        <v/>
      </c>
      <c r="AL74" s="736"/>
      <c r="AM74" s="726" t="s">
        <v>1314</v>
      </c>
      <c r="AN74" s="730">
        <v>10.43</v>
      </c>
      <c r="AO74" s="730">
        <v>10.44</v>
      </c>
      <c r="AP74" s="730">
        <v>10.464999999999998</v>
      </c>
      <c r="AQ74" s="730">
        <v>10.469999999999999</v>
      </c>
      <c r="AR74" s="725">
        <f t="shared" ca="1" si="9"/>
        <v>364</v>
      </c>
      <c r="AU74" s="724" t="s">
        <v>136</v>
      </c>
    </row>
    <row r="75" spans="1:47" s="724" customFormat="1" ht="21" customHeight="1" x14ac:dyDescent="0.35">
      <c r="A75" s="724">
        <v>422</v>
      </c>
      <c r="B75" s="725" t="str">
        <f t="shared" si="7"/>
        <v>0-304L/2B-002X767</v>
      </c>
      <c r="C75" s="725" t="s">
        <v>3187</v>
      </c>
      <c r="D75" s="725" t="s">
        <v>358</v>
      </c>
      <c r="E75" s="726" t="s">
        <v>1311</v>
      </c>
      <c r="F75" s="726" t="s">
        <v>1312</v>
      </c>
      <c r="G75" s="725" t="s">
        <v>230</v>
      </c>
      <c r="H75" s="725" t="s">
        <v>116</v>
      </c>
      <c r="I75" s="727">
        <v>3.81</v>
      </c>
      <c r="J75" s="727">
        <v>1.89</v>
      </c>
      <c r="K75" s="728">
        <v>1.87</v>
      </c>
      <c r="L75" s="728">
        <v>1.89</v>
      </c>
      <c r="M75" s="729">
        <v>767</v>
      </c>
      <c r="N75" s="821"/>
      <c r="O75" s="730">
        <v>6.3849999999999998</v>
      </c>
      <c r="P75" s="730"/>
      <c r="Q75" s="730"/>
      <c r="R75" s="730" t="s">
        <v>116</v>
      </c>
      <c r="S75" s="731"/>
      <c r="T75" s="732" t="s">
        <v>117</v>
      </c>
      <c r="U75" s="732" t="s">
        <v>1313</v>
      </c>
      <c r="V75" s="733"/>
      <c r="W75" s="734">
        <v>44599</v>
      </c>
      <c r="X75" s="734">
        <v>44599</v>
      </c>
      <c r="Y75" s="734">
        <v>44600</v>
      </c>
      <c r="Z75" s="734"/>
      <c r="AA75" s="734"/>
      <c r="AB75" s="735"/>
      <c r="AC75" s="725" t="s">
        <v>64</v>
      </c>
      <c r="AD75" s="736" t="s">
        <v>154</v>
      </c>
      <c r="AE75" s="736" t="s">
        <v>1296</v>
      </c>
      <c r="AF75" s="736"/>
      <c r="AG75" s="736">
        <v>44516</v>
      </c>
      <c r="AH75" s="736"/>
      <c r="AI75" s="736">
        <f t="shared" ca="1" si="6"/>
        <v>44963</v>
      </c>
      <c r="AJ75" s="725">
        <f t="shared" ca="1" si="5"/>
        <v>447</v>
      </c>
      <c r="AK75" s="725">
        <f t="shared" ca="1" si="8"/>
        <v>363</v>
      </c>
      <c r="AL75" s="736"/>
      <c r="AM75" s="726" t="s">
        <v>1314</v>
      </c>
      <c r="AN75" s="730">
        <v>10.43</v>
      </c>
      <c r="AO75" s="730">
        <v>10.44</v>
      </c>
      <c r="AP75" s="730">
        <v>10.464999999999998</v>
      </c>
      <c r="AQ75" s="730">
        <v>10.469999999999999</v>
      </c>
      <c r="AR75" s="725">
        <f t="shared" ca="1" si="9"/>
        <v>364</v>
      </c>
      <c r="AU75" s="724" t="s">
        <v>136</v>
      </c>
    </row>
    <row r="76" spans="1:47" s="99" customFormat="1" ht="21" customHeight="1" x14ac:dyDescent="0.35">
      <c r="A76" s="99">
        <v>422</v>
      </c>
      <c r="B76" s="126" t="str">
        <f t="shared" si="7"/>
        <v>0-304L/2B-001X770</v>
      </c>
      <c r="C76" s="126" t="s">
        <v>3190</v>
      </c>
      <c r="D76" s="126" t="s">
        <v>3026</v>
      </c>
      <c r="E76" s="143" t="s">
        <v>2583</v>
      </c>
      <c r="F76" s="143" t="s">
        <v>3196</v>
      </c>
      <c r="G76" s="126" t="s">
        <v>230</v>
      </c>
      <c r="H76" s="126" t="s">
        <v>116</v>
      </c>
      <c r="I76" s="127">
        <v>3.79</v>
      </c>
      <c r="J76" s="127">
        <v>1.39</v>
      </c>
      <c r="K76" s="149">
        <v>1.3</v>
      </c>
      <c r="L76" s="149">
        <v>1.37</v>
      </c>
      <c r="M76" s="144">
        <v>770</v>
      </c>
      <c r="N76" s="814">
        <v>11.87</v>
      </c>
      <c r="O76" s="129">
        <v>5.875</v>
      </c>
      <c r="P76" s="129"/>
      <c r="Q76" s="129"/>
      <c r="R76" s="129" t="s">
        <v>116</v>
      </c>
      <c r="S76" s="284" t="s">
        <v>3192</v>
      </c>
      <c r="T76" s="130" t="s">
        <v>1313</v>
      </c>
      <c r="U76" s="130"/>
      <c r="V76" s="131" t="s">
        <v>3197</v>
      </c>
      <c r="W76" s="132">
        <v>44599</v>
      </c>
      <c r="X76" s="132">
        <v>44599</v>
      </c>
      <c r="Y76" s="132">
        <v>44600</v>
      </c>
      <c r="Z76" s="132"/>
      <c r="AA76" s="132"/>
      <c r="AB76" s="133"/>
      <c r="AC76" s="126" t="s">
        <v>64</v>
      </c>
      <c r="AD76" s="134" t="s">
        <v>154</v>
      </c>
      <c r="AE76" s="134" t="s">
        <v>1330</v>
      </c>
      <c r="AF76" s="134"/>
      <c r="AG76" s="134">
        <v>44516</v>
      </c>
      <c r="AH76" s="134"/>
      <c r="AI76" s="134">
        <f t="shared" ca="1" si="6"/>
        <v>44963</v>
      </c>
      <c r="AJ76" s="126">
        <f t="shared" ca="1" si="5"/>
        <v>447</v>
      </c>
      <c r="AK76" s="126">
        <f t="shared" ca="1" si="8"/>
        <v>363</v>
      </c>
      <c r="AL76" s="134"/>
      <c r="AM76" s="143" t="s">
        <v>2585</v>
      </c>
      <c r="AN76" s="129">
        <v>11.845000000000001</v>
      </c>
      <c r="AO76" s="129">
        <v>11.855</v>
      </c>
      <c r="AP76" s="129">
        <v>11.879999999999999</v>
      </c>
      <c r="AQ76" s="129">
        <v>11.885</v>
      </c>
      <c r="AR76" s="126">
        <f t="shared" ca="1" si="9"/>
        <v>364</v>
      </c>
      <c r="AU76" s="99" t="s">
        <v>136</v>
      </c>
    </row>
    <row r="77" spans="1:47" s="99" customFormat="1" ht="21" customHeight="1" x14ac:dyDescent="0.35">
      <c r="A77" s="99">
        <v>422</v>
      </c>
      <c r="B77" s="126" t="str">
        <f t="shared" si="7"/>
        <v>0-304L/2B-001X770</v>
      </c>
      <c r="C77" s="126" t="s">
        <v>3190</v>
      </c>
      <c r="D77" s="126" t="s">
        <v>3026</v>
      </c>
      <c r="E77" s="143" t="s">
        <v>2583</v>
      </c>
      <c r="F77" s="143" t="s">
        <v>3198</v>
      </c>
      <c r="G77" s="126" t="s">
        <v>230</v>
      </c>
      <c r="H77" s="126" t="s">
        <v>116</v>
      </c>
      <c r="I77" s="127">
        <v>3.79</v>
      </c>
      <c r="J77" s="127">
        <v>1.39</v>
      </c>
      <c r="K77" s="149">
        <v>1.35</v>
      </c>
      <c r="L77" s="149">
        <v>1.37</v>
      </c>
      <c r="M77" s="144">
        <v>770</v>
      </c>
      <c r="N77" s="815"/>
      <c r="O77" s="129">
        <v>5.9050000000000002</v>
      </c>
      <c r="P77" s="129"/>
      <c r="Q77" s="129">
        <v>2.5000000000000001E-2</v>
      </c>
      <c r="R77" s="129" t="s">
        <v>116</v>
      </c>
      <c r="S77" s="284" t="s">
        <v>3192</v>
      </c>
      <c r="T77" s="130" t="s">
        <v>1313</v>
      </c>
      <c r="U77" s="130"/>
      <c r="V77" s="131"/>
      <c r="W77" s="132">
        <v>44599</v>
      </c>
      <c r="X77" s="132">
        <v>44599</v>
      </c>
      <c r="Y77" s="132"/>
      <c r="Z77" s="132"/>
      <c r="AA77" s="132"/>
      <c r="AB77" s="133"/>
      <c r="AC77" s="126" t="s">
        <v>64</v>
      </c>
      <c r="AD77" s="134" t="s">
        <v>154</v>
      </c>
      <c r="AE77" s="134" t="s">
        <v>1330</v>
      </c>
      <c r="AF77" s="134"/>
      <c r="AG77" s="134">
        <v>44516</v>
      </c>
      <c r="AH77" s="134"/>
      <c r="AI77" s="134">
        <f t="shared" ca="1" si="6"/>
        <v>44963</v>
      </c>
      <c r="AJ77" s="126">
        <f t="shared" ca="1" si="5"/>
        <v>447</v>
      </c>
      <c r="AK77" s="126" t="str">
        <f t="shared" si="8"/>
        <v/>
      </c>
      <c r="AL77" s="134"/>
      <c r="AM77" s="143" t="s">
        <v>2585</v>
      </c>
      <c r="AN77" s="129">
        <v>11.845000000000001</v>
      </c>
      <c r="AO77" s="129">
        <v>11.855</v>
      </c>
      <c r="AP77" s="129">
        <v>11.879999999999999</v>
      </c>
      <c r="AQ77" s="129">
        <v>11.885</v>
      </c>
      <c r="AR77" s="126">
        <f t="shared" ca="1" si="9"/>
        <v>364</v>
      </c>
      <c r="AU77" s="99" t="s">
        <v>136</v>
      </c>
    </row>
    <row r="78" spans="1:47" s="99" customFormat="1" ht="21" customHeight="1" x14ac:dyDescent="0.35">
      <c r="A78" s="99">
        <v>422</v>
      </c>
      <c r="B78" s="126" t="str">
        <f t="shared" si="7"/>
        <v>0-304L/2B-001X768</v>
      </c>
      <c r="C78" s="126" t="s">
        <v>3190</v>
      </c>
      <c r="D78" s="126" t="s">
        <v>3026</v>
      </c>
      <c r="E78" s="143" t="s">
        <v>2565</v>
      </c>
      <c r="F78" s="143" t="s">
        <v>3199</v>
      </c>
      <c r="G78" s="126" t="s">
        <v>230</v>
      </c>
      <c r="H78" s="126" t="s">
        <v>116</v>
      </c>
      <c r="I78" s="127">
        <v>3</v>
      </c>
      <c r="J78" s="127">
        <v>1.0900000000000001</v>
      </c>
      <c r="K78" s="149">
        <v>1.1000000000000001</v>
      </c>
      <c r="L78" s="149">
        <v>1.1299999999999999</v>
      </c>
      <c r="M78" s="144">
        <v>768</v>
      </c>
      <c r="N78" s="129">
        <v>9.9649999999999999</v>
      </c>
      <c r="O78" s="129">
        <f>4.1+5.81</f>
        <v>9.91</v>
      </c>
      <c r="P78" s="129"/>
      <c r="Q78" s="129">
        <v>6.0000000000000001E-3</v>
      </c>
      <c r="R78" s="129" t="s">
        <v>116</v>
      </c>
      <c r="S78" s="284" t="s">
        <v>3192</v>
      </c>
      <c r="T78" s="130" t="s">
        <v>1313</v>
      </c>
      <c r="U78" s="130"/>
      <c r="V78" s="131"/>
      <c r="W78" s="132">
        <v>44599</v>
      </c>
      <c r="X78" s="132">
        <v>44599</v>
      </c>
      <c r="Y78" s="132"/>
      <c r="Z78" s="132"/>
      <c r="AA78" s="132"/>
      <c r="AB78" s="133"/>
      <c r="AC78" s="126" t="s">
        <v>64</v>
      </c>
      <c r="AD78" s="134" t="s">
        <v>154</v>
      </c>
      <c r="AE78" s="134" t="s">
        <v>1330</v>
      </c>
      <c r="AF78" s="134"/>
      <c r="AG78" s="134">
        <v>44516</v>
      </c>
      <c r="AH78" s="134"/>
      <c r="AI78" s="134">
        <f t="shared" ca="1" si="6"/>
        <v>44963</v>
      </c>
      <c r="AJ78" s="126">
        <f t="shared" ca="1" si="5"/>
        <v>447</v>
      </c>
      <c r="AK78" s="126" t="str">
        <f t="shared" si="8"/>
        <v/>
      </c>
      <c r="AL78" s="134"/>
      <c r="AM78" s="143" t="s">
        <v>1341</v>
      </c>
      <c r="AN78" s="129">
        <v>9.9550000000000001</v>
      </c>
      <c r="AO78" s="129">
        <v>9.9649999999999999</v>
      </c>
      <c r="AP78" s="129">
        <v>9.9899999999999984</v>
      </c>
      <c r="AQ78" s="129">
        <v>9.9949999999999992</v>
      </c>
      <c r="AR78" s="126">
        <f t="shared" ca="1" si="9"/>
        <v>364</v>
      </c>
      <c r="AU78" s="99" t="s">
        <v>136</v>
      </c>
    </row>
    <row r="79" spans="1:47" s="99" customFormat="1" ht="21" customHeight="1" x14ac:dyDescent="0.35">
      <c r="A79" s="99">
        <v>421</v>
      </c>
      <c r="B79" s="126" t="str">
        <f t="shared" si="7"/>
        <v>0-304L/2B-001X770</v>
      </c>
      <c r="C79" s="126" t="s">
        <v>3190</v>
      </c>
      <c r="D79" s="126" t="s">
        <v>3026</v>
      </c>
      <c r="E79" s="143" t="s">
        <v>2580</v>
      </c>
      <c r="F79" s="143" t="s">
        <v>3200</v>
      </c>
      <c r="G79" s="126" t="s">
        <v>230</v>
      </c>
      <c r="H79" s="126" t="s">
        <v>116</v>
      </c>
      <c r="I79" s="127">
        <v>3.01</v>
      </c>
      <c r="J79" s="127">
        <v>1.0900000000000001</v>
      </c>
      <c r="K79" s="149">
        <v>1.1000000000000001</v>
      </c>
      <c r="L79" s="149">
        <v>1.1299999999999999</v>
      </c>
      <c r="M79" s="144">
        <v>770</v>
      </c>
      <c r="N79" s="129">
        <v>12.2</v>
      </c>
      <c r="O79" s="129">
        <f>4+4+4.1</f>
        <v>12.1</v>
      </c>
      <c r="P79" s="129"/>
      <c r="Q79" s="129">
        <v>0.02</v>
      </c>
      <c r="R79" s="129" t="s">
        <v>116</v>
      </c>
      <c r="S79" s="284" t="s">
        <v>3192</v>
      </c>
      <c r="T79" s="130" t="s">
        <v>1313</v>
      </c>
      <c r="U79" s="130"/>
      <c r="V79" s="131"/>
      <c r="W79" s="132">
        <v>44599</v>
      </c>
      <c r="X79" s="132">
        <v>44599</v>
      </c>
      <c r="Y79" s="132"/>
      <c r="Z79" s="132"/>
      <c r="AA79" s="132"/>
      <c r="AB79" s="133"/>
      <c r="AC79" s="126" t="s">
        <v>64</v>
      </c>
      <c r="AD79" s="134" t="s">
        <v>154</v>
      </c>
      <c r="AE79" s="134" t="s">
        <v>1190</v>
      </c>
      <c r="AF79" s="134"/>
      <c r="AG79" s="134">
        <v>44496</v>
      </c>
      <c r="AH79" s="134"/>
      <c r="AI79" s="134">
        <f t="shared" ca="1" si="6"/>
        <v>44963</v>
      </c>
      <c r="AJ79" s="126">
        <f t="shared" ca="1" si="5"/>
        <v>467</v>
      </c>
      <c r="AK79" s="126" t="str">
        <f t="shared" si="8"/>
        <v/>
      </c>
      <c r="AL79" s="134"/>
      <c r="AM79" s="143" t="s">
        <v>2582</v>
      </c>
      <c r="AN79" s="129">
        <v>12.17</v>
      </c>
      <c r="AO79" s="129">
        <v>12.18</v>
      </c>
      <c r="AP79" s="129">
        <v>12.204999999999998</v>
      </c>
      <c r="AQ79" s="129">
        <v>12.209999999999999</v>
      </c>
      <c r="AR79" s="126">
        <f t="shared" ca="1" si="9"/>
        <v>364</v>
      </c>
      <c r="AU79" s="99" t="s">
        <v>136</v>
      </c>
    </row>
    <row r="80" spans="1:47" s="99" customFormat="1" ht="21" customHeight="1" x14ac:dyDescent="0.35">
      <c r="A80" s="99">
        <v>421</v>
      </c>
      <c r="B80" s="126" t="str">
        <f t="shared" si="7"/>
        <v>0-304L/2B-001X770</v>
      </c>
      <c r="C80" s="126" t="s">
        <v>3190</v>
      </c>
      <c r="D80" s="126" t="s">
        <v>3026</v>
      </c>
      <c r="E80" s="143" t="s">
        <v>2577</v>
      </c>
      <c r="F80" s="143" t="s">
        <v>3201</v>
      </c>
      <c r="G80" s="126" t="s">
        <v>230</v>
      </c>
      <c r="H80" s="126" t="s">
        <v>116</v>
      </c>
      <c r="I80" s="127">
        <v>2.76</v>
      </c>
      <c r="J80" s="127">
        <v>0.79</v>
      </c>
      <c r="K80" s="149">
        <v>0.77</v>
      </c>
      <c r="L80" s="149">
        <v>0.79</v>
      </c>
      <c r="M80" s="144">
        <v>770</v>
      </c>
      <c r="N80" s="129">
        <v>6.04</v>
      </c>
      <c r="O80" s="129">
        <v>5.99</v>
      </c>
      <c r="P80" s="129">
        <v>0.05</v>
      </c>
      <c r="Q80" s="129"/>
      <c r="R80" s="129" t="s">
        <v>116</v>
      </c>
      <c r="S80" s="284" t="s">
        <v>3192</v>
      </c>
      <c r="T80" s="130" t="s">
        <v>1313</v>
      </c>
      <c r="U80" s="130"/>
      <c r="V80" s="131"/>
      <c r="W80" s="132">
        <v>44599</v>
      </c>
      <c r="X80" s="132">
        <v>44599</v>
      </c>
      <c r="Y80" s="132"/>
      <c r="Z80" s="132"/>
      <c r="AA80" s="132"/>
      <c r="AB80" s="133"/>
      <c r="AC80" s="126" t="s">
        <v>64</v>
      </c>
      <c r="AD80" s="134" t="s">
        <v>154</v>
      </c>
      <c r="AE80" s="134" t="s">
        <v>1190</v>
      </c>
      <c r="AF80" s="134"/>
      <c r="AG80" s="134">
        <v>44496</v>
      </c>
      <c r="AH80" s="134"/>
      <c r="AI80" s="134">
        <f t="shared" ca="1" si="6"/>
        <v>44963</v>
      </c>
      <c r="AJ80" s="126">
        <f t="shared" ca="1" si="5"/>
        <v>467</v>
      </c>
      <c r="AK80" s="126" t="str">
        <f t="shared" si="8"/>
        <v/>
      </c>
      <c r="AL80" s="134"/>
      <c r="AM80" s="143" t="s">
        <v>2579</v>
      </c>
      <c r="AN80" s="129">
        <v>10.58</v>
      </c>
      <c r="AO80" s="129">
        <v>10.59</v>
      </c>
      <c r="AP80" s="129">
        <v>10.614999999999998</v>
      </c>
      <c r="AQ80" s="129">
        <v>10.62</v>
      </c>
      <c r="AR80" s="126">
        <f t="shared" ca="1" si="9"/>
        <v>364</v>
      </c>
      <c r="AU80" s="99" t="s">
        <v>136</v>
      </c>
    </row>
    <row r="81" spans="1:47" s="99" customFormat="1" ht="21" customHeight="1" x14ac:dyDescent="0.35">
      <c r="A81" s="99">
        <v>421</v>
      </c>
      <c r="B81" s="126" t="str">
        <f t="shared" ref="B81:B88" si="10">IF(C81="HOLD RM","HOLD RM",IF(C81="BAL","WIP",IF(C81="HOLD SLT","HOLD SLT",IF(C81="MILL","RM",IF(C81="RE SLT","WIP",IF(C81="RM","RM",IF(C81="RM BAL","RM",IF(C81="RM SLT","RM",IF(C81="RR","WIP",IF(C81="SKP","WIP",IF(C81="SLT","WIP",IF(C81="CTL","WIP",IF(C81="RM SLT RUST","RM SLT RUST",0)))))))))))))&amp;"-"&amp;G81&amp;"/"&amp;IF(H81="2B","2B",IF(H81="NO.1","1D",IF(H81="FH","FH",0)))&amp;"-"&amp;IF(J81="",(TEXT(I81,"0.00")),TEXT(J81,"0.00"))&amp;"X"&amp;M81</f>
        <v>0-304L/2B-001X770</v>
      </c>
      <c r="C81" s="126" t="s">
        <v>3202</v>
      </c>
      <c r="D81" s="126" t="s">
        <v>3026</v>
      </c>
      <c r="E81" s="143" t="s">
        <v>2577</v>
      </c>
      <c r="F81" s="143" t="s">
        <v>3203</v>
      </c>
      <c r="G81" s="126" t="s">
        <v>230</v>
      </c>
      <c r="H81" s="126" t="s">
        <v>116</v>
      </c>
      <c r="I81" s="127">
        <v>2.76</v>
      </c>
      <c r="J81" s="127">
        <v>0.79</v>
      </c>
      <c r="K81" s="149">
        <v>0.77</v>
      </c>
      <c r="L81" s="149">
        <v>0.79</v>
      </c>
      <c r="M81" s="144">
        <v>770</v>
      </c>
      <c r="N81" s="129">
        <f>10.58-5.99-0.05</f>
        <v>4.54</v>
      </c>
      <c r="O81" s="129">
        <v>4.4850000000000003</v>
      </c>
      <c r="P81" s="129"/>
      <c r="Q81" s="129"/>
      <c r="R81" s="129" t="s">
        <v>116</v>
      </c>
      <c r="S81" s="284" t="s">
        <v>3192</v>
      </c>
      <c r="T81" s="130" t="s">
        <v>1313</v>
      </c>
      <c r="U81" s="130"/>
      <c r="V81" s="131"/>
      <c r="W81" s="132">
        <v>44599</v>
      </c>
      <c r="X81" s="132">
        <v>44599</v>
      </c>
      <c r="Y81" s="132"/>
      <c r="Z81" s="132"/>
      <c r="AA81" s="132"/>
      <c r="AB81" s="133"/>
      <c r="AC81" s="126" t="s">
        <v>64</v>
      </c>
      <c r="AD81" s="134" t="s">
        <v>154</v>
      </c>
      <c r="AE81" s="134" t="s">
        <v>1190</v>
      </c>
      <c r="AF81" s="134"/>
      <c r="AG81" s="134">
        <v>44496</v>
      </c>
      <c r="AH81" s="134"/>
      <c r="AI81" s="134">
        <f t="shared" ref="AI81:AI88" ca="1" si="11">TODAY()</f>
        <v>44963</v>
      </c>
      <c r="AJ81" s="126">
        <f t="shared" ref="AJ81:AJ88" ca="1" si="12">IF(AG81&lt;&gt;0,AI81-AG81,0)</f>
        <v>467</v>
      </c>
      <c r="AK81" s="126" t="str">
        <f t="shared" ref="AK81:AK88" si="13">IF(ISNUMBER(Y81)=TRUE,AI81-Y81,IF(Y81="","",(AI81)-(MID(RIGHT(Y81,10),4,2)&amp;"/"&amp;LEFT((RIGHT(Y81,10)),2)&amp;"/"&amp;RIGHT(Y81,4))))</f>
        <v/>
      </c>
      <c r="AL81" s="134"/>
      <c r="AM81" s="143" t="s">
        <v>2579</v>
      </c>
      <c r="AN81" s="129">
        <v>10.58</v>
      </c>
      <c r="AO81" s="129">
        <v>10.59</v>
      </c>
      <c r="AP81" s="129">
        <v>10.614999999999998</v>
      </c>
      <c r="AQ81" s="129">
        <v>10.62</v>
      </c>
      <c r="AR81" s="126">
        <f t="shared" ref="AR81:AR88" ca="1" si="14">IF(ISNUMBER(X81)=TRUE,AI81-X81,IF(X81="","",(AI81)-(MID(RIGHT(X81,10),4,2)&amp;"/"&amp;LEFT((RIGHT(X81,10)),2)&amp;"/"&amp;RIGHT(X81,4))))</f>
        <v>364</v>
      </c>
      <c r="AU81" s="99" t="s">
        <v>136</v>
      </c>
    </row>
    <row r="82" spans="1:47" s="99" customFormat="1" ht="21" customHeight="1" x14ac:dyDescent="0.35">
      <c r="A82" s="99">
        <v>422</v>
      </c>
      <c r="B82" s="126" t="str">
        <f t="shared" si="10"/>
        <v>0-304L/2B-001X769</v>
      </c>
      <c r="C82" s="126" t="s">
        <v>3202</v>
      </c>
      <c r="D82" s="126" t="s">
        <v>3026</v>
      </c>
      <c r="E82" s="143" t="s">
        <v>2568</v>
      </c>
      <c r="F82" s="143" t="s">
        <v>3204</v>
      </c>
      <c r="G82" s="126" t="s">
        <v>230</v>
      </c>
      <c r="H82" s="126" t="s">
        <v>116</v>
      </c>
      <c r="I82" s="127">
        <v>2.91</v>
      </c>
      <c r="J82" s="127">
        <v>0.95</v>
      </c>
      <c r="K82" s="149">
        <v>0.94</v>
      </c>
      <c r="L82" s="149">
        <v>0.96</v>
      </c>
      <c r="M82" s="144">
        <v>769</v>
      </c>
      <c r="N82" s="129">
        <v>2.4049999999999998</v>
      </c>
      <c r="O82" s="129">
        <v>2.4049999999999998</v>
      </c>
      <c r="P82" s="129"/>
      <c r="Q82" s="129"/>
      <c r="R82" s="129" t="s">
        <v>116</v>
      </c>
      <c r="S82" s="284" t="s">
        <v>3205</v>
      </c>
      <c r="T82" s="130" t="s">
        <v>993</v>
      </c>
      <c r="U82" s="130"/>
      <c r="V82" s="131"/>
      <c r="W82" s="132">
        <v>44577</v>
      </c>
      <c r="X82" s="132">
        <v>44599</v>
      </c>
      <c r="Y82" s="132"/>
      <c r="Z82" s="132"/>
      <c r="AA82" s="132"/>
      <c r="AB82" s="133"/>
      <c r="AC82" s="126" t="s">
        <v>64</v>
      </c>
      <c r="AD82" s="134" t="s">
        <v>154</v>
      </c>
      <c r="AE82" s="134" t="s">
        <v>1296</v>
      </c>
      <c r="AF82" s="134"/>
      <c r="AG82" s="134">
        <v>44516</v>
      </c>
      <c r="AH82" s="134"/>
      <c r="AI82" s="134">
        <f t="shared" ca="1" si="11"/>
        <v>44963</v>
      </c>
      <c r="AJ82" s="126">
        <f t="shared" ca="1" si="12"/>
        <v>447</v>
      </c>
      <c r="AK82" s="126" t="str">
        <f t="shared" si="13"/>
        <v/>
      </c>
      <c r="AL82" s="134"/>
      <c r="AM82" s="143" t="s">
        <v>2570</v>
      </c>
      <c r="AN82" s="129">
        <v>7.84</v>
      </c>
      <c r="AO82" s="129">
        <v>7.85</v>
      </c>
      <c r="AP82" s="129">
        <v>7.875</v>
      </c>
      <c r="AQ82" s="129">
        <v>7.88</v>
      </c>
      <c r="AR82" s="126">
        <f t="shared" ca="1" si="14"/>
        <v>364</v>
      </c>
      <c r="AU82" s="99" t="s">
        <v>136</v>
      </c>
    </row>
    <row r="83" spans="1:47" s="99" customFormat="1" ht="21" customHeight="1" x14ac:dyDescent="0.35">
      <c r="A83" s="99">
        <v>422</v>
      </c>
      <c r="B83" s="126" t="str">
        <f t="shared" si="10"/>
        <v>0-304L/2B-001X768</v>
      </c>
      <c r="C83" s="126" t="s">
        <v>3202</v>
      </c>
      <c r="D83" s="126" t="s">
        <v>3026</v>
      </c>
      <c r="E83" s="143" t="s">
        <v>2600</v>
      </c>
      <c r="F83" s="143" t="s">
        <v>3206</v>
      </c>
      <c r="G83" s="126" t="s">
        <v>230</v>
      </c>
      <c r="H83" s="126" t="s">
        <v>116</v>
      </c>
      <c r="I83" s="127">
        <v>2.91</v>
      </c>
      <c r="J83" s="127">
        <v>0.99</v>
      </c>
      <c r="K83" s="149">
        <v>0.96</v>
      </c>
      <c r="L83" s="149">
        <v>0.98</v>
      </c>
      <c r="M83" s="144">
        <v>768</v>
      </c>
      <c r="N83" s="129">
        <v>10.54</v>
      </c>
      <c r="O83" s="129">
        <f>5.215+5.25</f>
        <v>10.465</v>
      </c>
      <c r="P83" s="129"/>
      <c r="Q83" s="129"/>
      <c r="R83" s="129" t="s">
        <v>116</v>
      </c>
      <c r="S83" s="284" t="s">
        <v>3192</v>
      </c>
      <c r="T83" s="130" t="s">
        <v>1313</v>
      </c>
      <c r="U83" s="130"/>
      <c r="V83" s="131"/>
      <c r="W83" s="132">
        <v>44600</v>
      </c>
      <c r="X83" s="132">
        <v>44600</v>
      </c>
      <c r="Y83" s="132"/>
      <c r="Z83" s="132"/>
      <c r="AA83" s="132"/>
      <c r="AB83" s="133"/>
      <c r="AC83" s="126" t="s">
        <v>64</v>
      </c>
      <c r="AD83" s="134" t="s">
        <v>154</v>
      </c>
      <c r="AE83" s="134" t="s">
        <v>1296</v>
      </c>
      <c r="AF83" s="134"/>
      <c r="AG83" s="134">
        <v>44516</v>
      </c>
      <c r="AH83" s="134"/>
      <c r="AI83" s="134">
        <f t="shared" ca="1" si="11"/>
        <v>44963</v>
      </c>
      <c r="AJ83" s="126">
        <f t="shared" ca="1" si="12"/>
        <v>447</v>
      </c>
      <c r="AK83" s="126" t="str">
        <f t="shared" si="13"/>
        <v/>
      </c>
      <c r="AL83" s="134"/>
      <c r="AM83" s="143" t="s">
        <v>2602</v>
      </c>
      <c r="AN83" s="129">
        <v>10.5</v>
      </c>
      <c r="AO83" s="129">
        <v>10.51</v>
      </c>
      <c r="AP83" s="129">
        <v>10.534999999999998</v>
      </c>
      <c r="AQ83" s="129">
        <v>10.54</v>
      </c>
      <c r="AR83" s="126">
        <f t="shared" ca="1" si="14"/>
        <v>363</v>
      </c>
      <c r="AU83" s="99" t="s">
        <v>136</v>
      </c>
    </row>
    <row r="84" spans="1:47" s="99" customFormat="1" ht="21" customHeight="1" x14ac:dyDescent="0.35">
      <c r="A84" s="99">
        <v>421</v>
      </c>
      <c r="B84" s="126" t="str">
        <f t="shared" si="10"/>
        <v>0-304L/2B-001X770</v>
      </c>
      <c r="C84" s="126" t="s">
        <v>3202</v>
      </c>
      <c r="D84" s="126" t="s">
        <v>3026</v>
      </c>
      <c r="E84" s="143" t="s">
        <v>2593</v>
      </c>
      <c r="F84" s="143" t="s">
        <v>3207</v>
      </c>
      <c r="G84" s="126" t="s">
        <v>230</v>
      </c>
      <c r="H84" s="126" t="s">
        <v>116</v>
      </c>
      <c r="I84" s="127">
        <v>3.49</v>
      </c>
      <c r="J84" s="127">
        <v>1.29</v>
      </c>
      <c r="K84" s="149">
        <v>1.29</v>
      </c>
      <c r="L84" s="149">
        <v>1.31</v>
      </c>
      <c r="M84" s="144">
        <v>770</v>
      </c>
      <c r="N84" s="129">
        <v>8.1050000000000004</v>
      </c>
      <c r="O84" s="129">
        <f>4.06+4.015</f>
        <v>8.0749999999999993</v>
      </c>
      <c r="P84" s="129"/>
      <c r="Q84" s="129"/>
      <c r="R84" s="129" t="s">
        <v>116</v>
      </c>
      <c r="S84" s="284" t="s">
        <v>3192</v>
      </c>
      <c r="T84" s="130" t="s">
        <v>1313</v>
      </c>
      <c r="U84" s="130"/>
      <c r="V84" s="131"/>
      <c r="W84" s="132">
        <v>44599</v>
      </c>
      <c r="X84" s="132">
        <v>44600</v>
      </c>
      <c r="Y84" s="132"/>
      <c r="Z84" s="132"/>
      <c r="AA84" s="132"/>
      <c r="AB84" s="133"/>
      <c r="AC84" s="126" t="s">
        <v>64</v>
      </c>
      <c r="AD84" s="134" t="s">
        <v>154</v>
      </c>
      <c r="AE84" s="134" t="s">
        <v>1256</v>
      </c>
      <c r="AF84" s="134"/>
      <c r="AG84" s="134">
        <v>44496</v>
      </c>
      <c r="AH84" s="134"/>
      <c r="AI84" s="134">
        <f t="shared" ca="1" si="11"/>
        <v>44963</v>
      </c>
      <c r="AJ84" s="126">
        <f t="shared" ca="1" si="12"/>
        <v>467</v>
      </c>
      <c r="AK84" s="126" t="str">
        <f t="shared" si="13"/>
        <v/>
      </c>
      <c r="AL84" s="134"/>
      <c r="AM84" s="143" t="s">
        <v>2595</v>
      </c>
      <c r="AN84" s="129">
        <v>8.1150000000000002</v>
      </c>
      <c r="AO84" s="129">
        <v>8.125</v>
      </c>
      <c r="AP84" s="129">
        <v>8.1499999999999986</v>
      </c>
      <c r="AQ84" s="129">
        <v>8.1549999999999994</v>
      </c>
      <c r="AR84" s="126">
        <f t="shared" ca="1" si="14"/>
        <v>363</v>
      </c>
      <c r="AU84" s="99" t="s">
        <v>136</v>
      </c>
    </row>
    <row r="85" spans="1:47" s="99" customFormat="1" ht="21" customHeight="1" x14ac:dyDescent="0.35">
      <c r="A85" s="99">
        <v>422</v>
      </c>
      <c r="B85" s="126" t="str">
        <f t="shared" si="10"/>
        <v>0-304L/2B-002X777</v>
      </c>
      <c r="C85" s="126" t="s">
        <v>3208</v>
      </c>
      <c r="D85" s="126" t="s">
        <v>358</v>
      </c>
      <c r="E85" s="143" t="s">
        <v>3209</v>
      </c>
      <c r="F85" s="143" t="s">
        <v>3210</v>
      </c>
      <c r="G85" s="126" t="s">
        <v>230</v>
      </c>
      <c r="H85" s="126" t="s">
        <v>116</v>
      </c>
      <c r="I85" s="127">
        <v>3.99</v>
      </c>
      <c r="J85" s="127">
        <v>1.5</v>
      </c>
      <c r="K85" s="149">
        <v>1.45</v>
      </c>
      <c r="L85" s="149">
        <v>1.48</v>
      </c>
      <c r="M85" s="144">
        <v>777</v>
      </c>
      <c r="N85" s="129">
        <v>12.06</v>
      </c>
      <c r="O85" s="129">
        <v>12.04</v>
      </c>
      <c r="P85" s="129"/>
      <c r="Q85" s="129"/>
      <c r="R85" s="129" t="s">
        <v>116</v>
      </c>
      <c r="S85" s="284"/>
      <c r="T85" s="130" t="s">
        <v>1143</v>
      </c>
      <c r="U85" s="130"/>
      <c r="V85" s="131"/>
      <c r="W85" s="132">
        <v>44536</v>
      </c>
      <c r="X85" s="132">
        <v>44536</v>
      </c>
      <c r="Y85" s="132">
        <v>44601</v>
      </c>
      <c r="Z85" s="132"/>
      <c r="AA85" s="132"/>
      <c r="AB85" s="133"/>
      <c r="AC85" s="126" t="s">
        <v>64</v>
      </c>
      <c r="AD85" s="134" t="s">
        <v>154</v>
      </c>
      <c r="AE85" s="134" t="s">
        <v>1330</v>
      </c>
      <c r="AF85" s="134"/>
      <c r="AG85" s="134">
        <v>44516</v>
      </c>
      <c r="AH85" s="134"/>
      <c r="AI85" s="134">
        <f t="shared" ca="1" si="11"/>
        <v>44963</v>
      </c>
      <c r="AJ85" s="126">
        <f t="shared" ca="1" si="12"/>
        <v>447</v>
      </c>
      <c r="AK85" s="126">
        <f t="shared" ca="1" si="13"/>
        <v>362</v>
      </c>
      <c r="AL85" s="134"/>
      <c r="AM85" s="143" t="s">
        <v>3211</v>
      </c>
      <c r="AN85" s="129">
        <v>12.05</v>
      </c>
      <c r="AO85" s="129">
        <v>12.06</v>
      </c>
      <c r="AP85" s="129">
        <v>12.084999999999999</v>
      </c>
      <c r="AQ85" s="129">
        <v>12.09</v>
      </c>
      <c r="AR85" s="126">
        <f t="shared" ca="1" si="14"/>
        <v>427</v>
      </c>
      <c r="AU85" s="99" t="s">
        <v>136</v>
      </c>
    </row>
    <row r="86" spans="1:47" s="99" customFormat="1" ht="21" customHeight="1" x14ac:dyDescent="0.35">
      <c r="A86" s="99">
        <v>422</v>
      </c>
      <c r="B86" s="126" t="str">
        <f t="shared" si="10"/>
        <v>0-304L/2B-001X769</v>
      </c>
      <c r="C86" s="126" t="s">
        <v>3202</v>
      </c>
      <c r="D86" s="126" t="s">
        <v>3026</v>
      </c>
      <c r="E86" s="143" t="s">
        <v>2568</v>
      </c>
      <c r="F86" s="143" t="s">
        <v>3212</v>
      </c>
      <c r="G86" s="126" t="s">
        <v>230</v>
      </c>
      <c r="H86" s="126" t="s">
        <v>116</v>
      </c>
      <c r="I86" s="127">
        <v>2.91</v>
      </c>
      <c r="J86" s="127">
        <v>0.95</v>
      </c>
      <c r="K86" s="149">
        <v>0.94</v>
      </c>
      <c r="L86" s="149">
        <v>0.96</v>
      </c>
      <c r="M86" s="144">
        <v>769</v>
      </c>
      <c r="N86" s="129">
        <f>7.835-2.405</f>
        <v>5.43</v>
      </c>
      <c r="O86" s="129">
        <f>2.71+2.685</f>
        <v>5.3949999999999996</v>
      </c>
      <c r="P86" s="129"/>
      <c r="Q86" s="129"/>
      <c r="R86" s="129" t="s">
        <v>116</v>
      </c>
      <c r="S86" s="284" t="s">
        <v>3205</v>
      </c>
      <c r="T86" s="130" t="s">
        <v>993</v>
      </c>
      <c r="U86" s="130"/>
      <c r="V86" s="131"/>
      <c r="W86" s="132">
        <v>44577</v>
      </c>
      <c r="X86" s="132">
        <v>44599</v>
      </c>
      <c r="Y86" s="132"/>
      <c r="Z86" s="132"/>
      <c r="AA86" s="132"/>
      <c r="AB86" s="133"/>
      <c r="AC86" s="126" t="s">
        <v>64</v>
      </c>
      <c r="AD86" s="134" t="s">
        <v>154</v>
      </c>
      <c r="AE86" s="134" t="s">
        <v>1296</v>
      </c>
      <c r="AF86" s="134"/>
      <c r="AG86" s="134">
        <v>44516</v>
      </c>
      <c r="AH86" s="134"/>
      <c r="AI86" s="134">
        <f t="shared" ca="1" si="11"/>
        <v>44963</v>
      </c>
      <c r="AJ86" s="126">
        <f t="shared" ca="1" si="12"/>
        <v>447</v>
      </c>
      <c r="AK86" s="126" t="str">
        <f t="shared" si="13"/>
        <v/>
      </c>
      <c r="AL86" s="134"/>
      <c r="AM86" s="143" t="s">
        <v>2570</v>
      </c>
      <c r="AN86" s="129">
        <v>7.84</v>
      </c>
      <c r="AO86" s="129">
        <v>7.85</v>
      </c>
      <c r="AP86" s="129">
        <v>7.875</v>
      </c>
      <c r="AQ86" s="129">
        <v>7.88</v>
      </c>
      <c r="AR86" s="126">
        <f t="shared" ca="1" si="14"/>
        <v>364</v>
      </c>
      <c r="AU86" s="99" t="s">
        <v>136</v>
      </c>
    </row>
    <row r="87" spans="1:47" s="99" customFormat="1" ht="21" customHeight="1" x14ac:dyDescent="0.35">
      <c r="A87" s="99">
        <v>422</v>
      </c>
      <c r="B87" s="126" t="str">
        <f t="shared" si="10"/>
        <v>0-304L/2B-002X767</v>
      </c>
      <c r="C87" s="126" t="s">
        <v>3208</v>
      </c>
      <c r="D87" s="126" t="s">
        <v>358</v>
      </c>
      <c r="E87" s="143" t="s">
        <v>3213</v>
      </c>
      <c r="F87" s="143" t="s">
        <v>3214</v>
      </c>
      <c r="G87" s="126" t="s">
        <v>230</v>
      </c>
      <c r="H87" s="126" t="s">
        <v>116</v>
      </c>
      <c r="I87" s="127">
        <v>3.79</v>
      </c>
      <c r="J87" s="127">
        <v>1.5</v>
      </c>
      <c r="K87" s="149">
        <v>1.48</v>
      </c>
      <c r="L87" s="149">
        <v>1.5</v>
      </c>
      <c r="M87" s="144">
        <v>767</v>
      </c>
      <c r="N87" s="129">
        <v>12.11</v>
      </c>
      <c r="O87" s="129">
        <v>12.09</v>
      </c>
      <c r="P87" s="129"/>
      <c r="Q87" s="129"/>
      <c r="R87" s="129" t="s">
        <v>116</v>
      </c>
      <c r="S87" s="284"/>
      <c r="T87" s="130" t="s">
        <v>1143</v>
      </c>
      <c r="U87" s="130"/>
      <c r="V87" s="131"/>
      <c r="W87" s="132">
        <v>44535</v>
      </c>
      <c r="X87" s="132">
        <v>44536</v>
      </c>
      <c r="Y87" s="132">
        <v>44601</v>
      </c>
      <c r="Z87" s="132"/>
      <c r="AA87" s="132"/>
      <c r="AB87" s="133"/>
      <c r="AC87" s="126" t="s">
        <v>64</v>
      </c>
      <c r="AD87" s="134" t="s">
        <v>154</v>
      </c>
      <c r="AE87" s="134" t="s">
        <v>1330</v>
      </c>
      <c r="AF87" s="134"/>
      <c r="AG87" s="134">
        <v>44516</v>
      </c>
      <c r="AH87" s="134"/>
      <c r="AI87" s="134">
        <f t="shared" ca="1" si="11"/>
        <v>44963</v>
      </c>
      <c r="AJ87" s="126">
        <f t="shared" ca="1" si="12"/>
        <v>447</v>
      </c>
      <c r="AK87" s="126">
        <f t="shared" ca="1" si="13"/>
        <v>362</v>
      </c>
      <c r="AL87" s="134"/>
      <c r="AM87" s="143" t="s">
        <v>3215</v>
      </c>
      <c r="AN87" s="129">
        <v>12.095000000000001</v>
      </c>
      <c r="AO87" s="129">
        <v>12.105</v>
      </c>
      <c r="AP87" s="129">
        <v>12.129999999999999</v>
      </c>
      <c r="AQ87" s="129">
        <v>12.135</v>
      </c>
      <c r="AR87" s="126">
        <f t="shared" ca="1" si="14"/>
        <v>427</v>
      </c>
      <c r="AU87" s="99" t="s">
        <v>136</v>
      </c>
    </row>
    <row r="88" spans="1:47" s="99" customFormat="1" ht="21" customHeight="1" x14ac:dyDescent="0.35">
      <c r="A88" s="99">
        <v>421</v>
      </c>
      <c r="B88" s="126" t="str">
        <f t="shared" si="10"/>
        <v>0-304L/2B-002X770</v>
      </c>
      <c r="C88" s="126" t="s">
        <v>3208</v>
      </c>
      <c r="D88" s="126" t="s">
        <v>358</v>
      </c>
      <c r="E88" s="143" t="s">
        <v>3216</v>
      </c>
      <c r="F88" s="143" t="s">
        <v>3217</v>
      </c>
      <c r="G88" s="126" t="s">
        <v>230</v>
      </c>
      <c r="H88" s="126" t="s">
        <v>116</v>
      </c>
      <c r="I88" s="127">
        <v>3.69</v>
      </c>
      <c r="J88" s="127">
        <v>1.5</v>
      </c>
      <c r="K88" s="149">
        <v>1.49</v>
      </c>
      <c r="L88" s="149">
        <v>1.51</v>
      </c>
      <c r="M88" s="144">
        <v>770</v>
      </c>
      <c r="N88" s="129">
        <v>12.16</v>
      </c>
      <c r="O88" s="129">
        <v>12.125</v>
      </c>
      <c r="P88" s="129"/>
      <c r="Q88" s="129"/>
      <c r="R88" s="129" t="s">
        <v>116</v>
      </c>
      <c r="S88" s="284"/>
      <c r="T88" s="130" t="s">
        <v>1143</v>
      </c>
      <c r="U88" s="130"/>
      <c r="V88" s="131"/>
      <c r="W88" s="132">
        <v>44535</v>
      </c>
      <c r="X88" s="132">
        <v>44535</v>
      </c>
      <c r="Y88" s="132">
        <v>44601</v>
      </c>
      <c r="Z88" s="132"/>
      <c r="AA88" s="132"/>
      <c r="AB88" s="133"/>
      <c r="AC88" s="126" t="s">
        <v>64</v>
      </c>
      <c r="AD88" s="134" t="s">
        <v>154</v>
      </c>
      <c r="AE88" s="134" t="s">
        <v>1256</v>
      </c>
      <c r="AF88" s="134"/>
      <c r="AG88" s="134">
        <v>44496</v>
      </c>
      <c r="AH88" s="134"/>
      <c r="AI88" s="134">
        <f t="shared" ca="1" si="11"/>
        <v>44963</v>
      </c>
      <c r="AJ88" s="126">
        <f t="shared" ca="1" si="12"/>
        <v>467</v>
      </c>
      <c r="AK88" s="126">
        <f t="shared" ca="1" si="13"/>
        <v>362</v>
      </c>
      <c r="AL88" s="134"/>
      <c r="AM88" s="143" t="s">
        <v>3218</v>
      </c>
      <c r="AN88" s="129">
        <v>12.13</v>
      </c>
      <c r="AO88" s="129">
        <v>12.14</v>
      </c>
      <c r="AP88" s="129">
        <v>12.164999999999999</v>
      </c>
      <c r="AQ88" s="129">
        <v>12.17</v>
      </c>
      <c r="AR88" s="126">
        <f t="shared" ca="1" si="14"/>
        <v>428</v>
      </c>
      <c r="AU88" s="99" t="s">
        <v>136</v>
      </c>
    </row>
    <row r="89" spans="1:47" s="99" customFormat="1" ht="21" customHeight="1" x14ac:dyDescent="0.35">
      <c r="A89" s="99">
        <v>422</v>
      </c>
      <c r="B89" s="126" t="str">
        <f t="shared" ref="B89:B152" si="15">IF(C89="HOLD RM","HOLD RM",IF(C89="BAL","WIP",IF(C89="HOLD SLT","HOLD SLT",IF(C89="MILL","RM",IF(C89="RE SLT","WIP",IF(C89="RM","RM",IF(C89="RM BAL","RM",IF(C89="RM SLT","RM",IF(C89="RR","WIP",IF(C89="SKP","WIP",IF(C89="SLT","WIP",IF(C89="CTL","WIP",IF(C89="RM SLT RUST","RM SLT RUST",0)))))))))))))&amp;"-"&amp;G89&amp;"/"&amp;IF(H89="2B","2B",IF(H89="NO.1","1D",IF(H89="FH","FH",0)))&amp;"-"&amp;IF(J89="",(TEXT(I89,"0.00")),TEXT(J89,"0.00"))&amp;"X"&amp;M89</f>
        <v>0-304L/2B-002X768</v>
      </c>
      <c r="C89" s="126" t="s">
        <v>3208</v>
      </c>
      <c r="D89" s="126" t="s">
        <v>358</v>
      </c>
      <c r="E89" s="143" t="s">
        <v>3219</v>
      </c>
      <c r="F89" s="143" t="s">
        <v>3220</v>
      </c>
      <c r="G89" s="126" t="s">
        <v>230</v>
      </c>
      <c r="H89" s="126" t="s">
        <v>116</v>
      </c>
      <c r="I89" s="127">
        <v>3.78</v>
      </c>
      <c r="J89" s="127">
        <v>1.5</v>
      </c>
      <c r="K89" s="149">
        <v>1.48</v>
      </c>
      <c r="L89" s="149">
        <v>1.5</v>
      </c>
      <c r="M89" s="144">
        <v>768</v>
      </c>
      <c r="N89" s="129">
        <v>12.04</v>
      </c>
      <c r="O89" s="129">
        <v>12.015000000000001</v>
      </c>
      <c r="P89" s="129"/>
      <c r="Q89" s="129"/>
      <c r="R89" s="129" t="s">
        <v>116</v>
      </c>
      <c r="S89" s="284"/>
      <c r="T89" s="130" t="s">
        <v>1143</v>
      </c>
      <c r="U89" s="130"/>
      <c r="V89" s="131"/>
      <c r="W89" s="132">
        <v>44535</v>
      </c>
      <c r="X89" s="132">
        <v>44535</v>
      </c>
      <c r="Y89" s="132">
        <v>44601</v>
      </c>
      <c r="Z89" s="132"/>
      <c r="AA89" s="132"/>
      <c r="AB89" s="133"/>
      <c r="AC89" s="126" t="s">
        <v>64</v>
      </c>
      <c r="AD89" s="134" t="s">
        <v>154</v>
      </c>
      <c r="AE89" s="134" t="s">
        <v>1330</v>
      </c>
      <c r="AF89" s="134"/>
      <c r="AG89" s="134">
        <v>44516</v>
      </c>
      <c r="AH89" s="134"/>
      <c r="AI89" s="134">
        <f t="shared" ref="AI89:AI125" ca="1" si="16">TODAY()</f>
        <v>44963</v>
      </c>
      <c r="AJ89" s="126">
        <f t="shared" ref="AJ89:AJ152" ca="1" si="17">IF(AG89&lt;&gt;0,AI89-AG89,0)</f>
        <v>447</v>
      </c>
      <c r="AK89" s="126">
        <f t="shared" ref="AK89:AK152" ca="1" si="18">IF(ISNUMBER(Y89)=TRUE,AI89-Y89,IF(Y89="","",(AI89)-(MID(RIGHT(Y89,10),4,2)&amp;"/"&amp;LEFT((RIGHT(Y89,10)),2)&amp;"/"&amp;RIGHT(Y89,4))))</f>
        <v>362</v>
      </c>
      <c r="AL89" s="134"/>
      <c r="AM89" s="143" t="s">
        <v>3080</v>
      </c>
      <c r="AN89" s="129">
        <v>12.03</v>
      </c>
      <c r="AO89" s="129">
        <v>12.04</v>
      </c>
      <c r="AP89" s="129">
        <v>12.064999999999998</v>
      </c>
      <c r="AQ89" s="129">
        <v>12.069999999999999</v>
      </c>
      <c r="AR89" s="126">
        <f t="shared" ref="AR89:AR152" ca="1" si="19">IF(ISNUMBER(X89)=TRUE,AI89-X89,IF(X89="","",(AI89)-(MID(RIGHT(X89,10),4,2)&amp;"/"&amp;LEFT((RIGHT(X89,10)),2)&amp;"/"&amp;RIGHT(X89,4))))</f>
        <v>428</v>
      </c>
      <c r="AU89" s="99" t="s">
        <v>136</v>
      </c>
    </row>
    <row r="90" spans="1:47" s="99" customFormat="1" ht="21" customHeight="1" x14ac:dyDescent="0.35">
      <c r="A90" s="99">
        <v>422</v>
      </c>
      <c r="B90" s="126" t="str">
        <f t="shared" si="15"/>
        <v>0-304L/2B-002X773</v>
      </c>
      <c r="C90" s="126" t="s">
        <v>3208</v>
      </c>
      <c r="D90" s="126" t="s">
        <v>358</v>
      </c>
      <c r="E90" s="143" t="s">
        <v>3221</v>
      </c>
      <c r="F90" s="143" t="s">
        <v>3222</v>
      </c>
      <c r="G90" s="126" t="s">
        <v>230</v>
      </c>
      <c r="H90" s="126" t="s">
        <v>116</v>
      </c>
      <c r="I90" s="127">
        <v>3.79</v>
      </c>
      <c r="J90" s="127">
        <v>1.5</v>
      </c>
      <c r="K90" s="149">
        <v>1.49</v>
      </c>
      <c r="L90" s="149">
        <v>1.51</v>
      </c>
      <c r="M90" s="144">
        <v>773</v>
      </c>
      <c r="N90" s="129">
        <v>10.42</v>
      </c>
      <c r="O90" s="129">
        <v>10.385</v>
      </c>
      <c r="P90" s="129"/>
      <c r="Q90" s="129"/>
      <c r="R90" s="129" t="s">
        <v>116</v>
      </c>
      <c r="S90" s="284"/>
      <c r="T90" s="130" t="s">
        <v>1143</v>
      </c>
      <c r="U90" s="130"/>
      <c r="V90" s="131"/>
      <c r="W90" s="132">
        <v>44536</v>
      </c>
      <c r="X90" s="132">
        <v>44536</v>
      </c>
      <c r="Y90" s="132">
        <v>44601</v>
      </c>
      <c r="Z90" s="132"/>
      <c r="AA90" s="132"/>
      <c r="AB90" s="133"/>
      <c r="AC90" s="126" t="s">
        <v>64</v>
      </c>
      <c r="AD90" s="134" t="s">
        <v>154</v>
      </c>
      <c r="AE90" s="134" t="s">
        <v>1330</v>
      </c>
      <c r="AF90" s="134"/>
      <c r="AG90" s="134">
        <v>44516</v>
      </c>
      <c r="AH90" s="134"/>
      <c r="AI90" s="134">
        <f t="shared" ca="1" si="16"/>
        <v>44963</v>
      </c>
      <c r="AJ90" s="126">
        <f t="shared" ca="1" si="17"/>
        <v>447</v>
      </c>
      <c r="AK90" s="126">
        <f t="shared" ca="1" si="18"/>
        <v>362</v>
      </c>
      <c r="AL90" s="134"/>
      <c r="AM90" s="143" t="s">
        <v>3223</v>
      </c>
      <c r="AN90" s="129">
        <v>10.41</v>
      </c>
      <c r="AO90" s="129">
        <v>10.42</v>
      </c>
      <c r="AP90" s="129">
        <v>10.444999999999999</v>
      </c>
      <c r="AQ90" s="129">
        <v>10.45</v>
      </c>
      <c r="AR90" s="126">
        <f t="shared" ca="1" si="19"/>
        <v>427</v>
      </c>
      <c r="AU90" s="99" t="s">
        <v>136</v>
      </c>
    </row>
    <row r="91" spans="1:47" s="99" customFormat="1" ht="21" customHeight="1" x14ac:dyDescent="0.35">
      <c r="A91" s="99">
        <v>422</v>
      </c>
      <c r="B91" s="126" t="str">
        <f t="shared" si="15"/>
        <v>0-304L/2B-002X773</v>
      </c>
      <c r="C91" s="126" t="s">
        <v>3224</v>
      </c>
      <c r="D91" s="126" t="s">
        <v>358</v>
      </c>
      <c r="E91" s="143" t="s">
        <v>3225</v>
      </c>
      <c r="F91" s="143" t="s">
        <v>3226</v>
      </c>
      <c r="G91" s="126" t="s">
        <v>230</v>
      </c>
      <c r="H91" s="126" t="s">
        <v>116</v>
      </c>
      <c r="I91" s="127">
        <v>3.98</v>
      </c>
      <c r="J91" s="127">
        <v>1.5</v>
      </c>
      <c r="K91" s="149">
        <v>1.49</v>
      </c>
      <c r="L91" s="149">
        <v>1.51</v>
      </c>
      <c r="M91" s="144">
        <v>773</v>
      </c>
      <c r="N91" s="129">
        <v>12.02</v>
      </c>
      <c r="O91" s="129">
        <v>11.984999999999999</v>
      </c>
      <c r="P91" s="129"/>
      <c r="Q91" s="129"/>
      <c r="R91" s="129" t="s">
        <v>116</v>
      </c>
      <c r="S91" s="284"/>
      <c r="T91" s="130" t="s">
        <v>1143</v>
      </c>
      <c r="U91" s="130"/>
      <c r="V91" s="131"/>
      <c r="W91" s="132">
        <v>44535</v>
      </c>
      <c r="X91" s="132">
        <v>44535</v>
      </c>
      <c r="Y91" s="132">
        <v>44602</v>
      </c>
      <c r="Z91" s="132"/>
      <c r="AA91" s="132"/>
      <c r="AB91" s="133"/>
      <c r="AC91" s="126" t="s">
        <v>64</v>
      </c>
      <c r="AD91" s="134" t="s">
        <v>154</v>
      </c>
      <c r="AE91" s="134" t="s">
        <v>1330</v>
      </c>
      <c r="AF91" s="134"/>
      <c r="AG91" s="134">
        <v>44516</v>
      </c>
      <c r="AH91" s="134"/>
      <c r="AI91" s="134">
        <f t="shared" ca="1" si="16"/>
        <v>44963</v>
      </c>
      <c r="AJ91" s="126">
        <f t="shared" ca="1" si="17"/>
        <v>447</v>
      </c>
      <c r="AK91" s="126">
        <f t="shared" ca="1" si="18"/>
        <v>361</v>
      </c>
      <c r="AL91" s="134"/>
      <c r="AM91" s="143" t="s">
        <v>3227</v>
      </c>
      <c r="AN91" s="129">
        <v>12.005000000000001</v>
      </c>
      <c r="AO91" s="129">
        <v>12.015000000000001</v>
      </c>
      <c r="AP91" s="129">
        <v>12.04</v>
      </c>
      <c r="AQ91" s="129">
        <v>12.045</v>
      </c>
      <c r="AR91" s="126">
        <f t="shared" ca="1" si="19"/>
        <v>428</v>
      </c>
      <c r="AU91" s="99" t="s">
        <v>136</v>
      </c>
    </row>
    <row r="92" spans="1:47" s="99" customFormat="1" ht="21" customHeight="1" x14ac:dyDescent="0.35">
      <c r="A92" s="99">
        <v>422</v>
      </c>
      <c r="B92" s="126" t="str">
        <f t="shared" si="15"/>
        <v>0-304L/2B-002X776</v>
      </c>
      <c r="C92" s="126" t="s">
        <v>3224</v>
      </c>
      <c r="D92" s="126" t="s">
        <v>358</v>
      </c>
      <c r="E92" s="143" t="s">
        <v>3228</v>
      </c>
      <c r="F92" s="143" t="s">
        <v>3229</v>
      </c>
      <c r="G92" s="126" t="s">
        <v>230</v>
      </c>
      <c r="H92" s="126" t="s">
        <v>116</v>
      </c>
      <c r="I92" s="127">
        <v>3.8</v>
      </c>
      <c r="J92" s="127">
        <v>1.5</v>
      </c>
      <c r="K92" s="149">
        <v>1.48</v>
      </c>
      <c r="L92" s="149">
        <v>1.5</v>
      </c>
      <c r="M92" s="144">
        <v>776</v>
      </c>
      <c r="N92" s="129">
        <v>10.545</v>
      </c>
      <c r="O92" s="129">
        <v>10.515000000000001</v>
      </c>
      <c r="P92" s="129"/>
      <c r="Q92" s="129"/>
      <c r="R92" s="129" t="s">
        <v>116</v>
      </c>
      <c r="S92" s="284"/>
      <c r="T92" s="130" t="s">
        <v>1143</v>
      </c>
      <c r="U92" s="130"/>
      <c r="V92" s="131"/>
      <c r="W92" s="132">
        <v>44536</v>
      </c>
      <c r="X92" s="132">
        <v>44536</v>
      </c>
      <c r="Y92" s="132">
        <v>44602</v>
      </c>
      <c r="Z92" s="132"/>
      <c r="AA92" s="132"/>
      <c r="AB92" s="133"/>
      <c r="AC92" s="126" t="s">
        <v>64</v>
      </c>
      <c r="AD92" s="134" t="s">
        <v>154</v>
      </c>
      <c r="AE92" s="134" t="s">
        <v>1330</v>
      </c>
      <c r="AF92" s="134"/>
      <c r="AG92" s="134">
        <v>44516</v>
      </c>
      <c r="AH92" s="134"/>
      <c r="AI92" s="134">
        <f t="shared" ca="1" si="16"/>
        <v>44963</v>
      </c>
      <c r="AJ92" s="126">
        <f t="shared" ca="1" si="17"/>
        <v>447</v>
      </c>
      <c r="AK92" s="126">
        <f t="shared" ca="1" si="18"/>
        <v>361</v>
      </c>
      <c r="AL92" s="134"/>
      <c r="AM92" s="143" t="s">
        <v>3230</v>
      </c>
      <c r="AN92" s="129">
        <v>10.525</v>
      </c>
      <c r="AO92" s="129">
        <v>10.535</v>
      </c>
      <c r="AP92" s="129">
        <v>10.559999999999999</v>
      </c>
      <c r="AQ92" s="129">
        <v>10.565</v>
      </c>
      <c r="AR92" s="126">
        <f t="shared" ca="1" si="19"/>
        <v>427</v>
      </c>
      <c r="AU92" s="99" t="s">
        <v>136</v>
      </c>
    </row>
    <row r="93" spans="1:47" s="99" customFormat="1" ht="21" customHeight="1" x14ac:dyDescent="0.35">
      <c r="A93" s="99">
        <v>422</v>
      </c>
      <c r="B93" s="126" t="str">
        <f t="shared" si="15"/>
        <v>0-304L/2B-002X773</v>
      </c>
      <c r="C93" s="126" t="s">
        <v>3224</v>
      </c>
      <c r="D93" s="126" t="s">
        <v>358</v>
      </c>
      <c r="E93" s="143" t="s">
        <v>3231</v>
      </c>
      <c r="F93" s="143" t="s">
        <v>3232</v>
      </c>
      <c r="G93" s="126" t="s">
        <v>230</v>
      </c>
      <c r="H93" s="126" t="s">
        <v>116</v>
      </c>
      <c r="I93" s="127">
        <v>3.78</v>
      </c>
      <c r="J93" s="127">
        <v>1.5</v>
      </c>
      <c r="K93" s="149">
        <v>1.51</v>
      </c>
      <c r="L93" s="149">
        <v>1.53</v>
      </c>
      <c r="M93" s="144">
        <v>773</v>
      </c>
      <c r="N93" s="129">
        <v>10.545</v>
      </c>
      <c r="O93" s="129">
        <v>10.515000000000001</v>
      </c>
      <c r="P93" s="129"/>
      <c r="Q93" s="129"/>
      <c r="R93" s="129" t="s">
        <v>116</v>
      </c>
      <c r="S93" s="284"/>
      <c r="T93" s="130" t="s">
        <v>1143</v>
      </c>
      <c r="U93" s="130"/>
      <c r="V93" s="131"/>
      <c r="W93" s="132">
        <v>44536</v>
      </c>
      <c r="X93" s="132">
        <v>44536</v>
      </c>
      <c r="Y93" s="132">
        <v>44602</v>
      </c>
      <c r="Z93" s="132"/>
      <c r="AA93" s="132"/>
      <c r="AB93" s="133"/>
      <c r="AC93" s="126" t="s">
        <v>64</v>
      </c>
      <c r="AD93" s="134" t="s">
        <v>154</v>
      </c>
      <c r="AE93" s="134" t="s">
        <v>1296</v>
      </c>
      <c r="AF93" s="134"/>
      <c r="AG93" s="134">
        <v>44516</v>
      </c>
      <c r="AH93" s="134"/>
      <c r="AI93" s="134">
        <f t="shared" ca="1" si="16"/>
        <v>44963</v>
      </c>
      <c r="AJ93" s="126">
        <f t="shared" ca="1" si="17"/>
        <v>447</v>
      </c>
      <c r="AK93" s="126">
        <f t="shared" ca="1" si="18"/>
        <v>361</v>
      </c>
      <c r="AL93" s="134"/>
      <c r="AM93" s="143" t="s">
        <v>3233</v>
      </c>
      <c r="AN93" s="129">
        <v>10.525</v>
      </c>
      <c r="AO93" s="129">
        <v>10.535</v>
      </c>
      <c r="AP93" s="129">
        <v>10.559999999999999</v>
      </c>
      <c r="AQ93" s="129">
        <v>10.565</v>
      </c>
      <c r="AR93" s="126">
        <f t="shared" ca="1" si="19"/>
        <v>427</v>
      </c>
      <c r="AU93" s="99" t="s">
        <v>136</v>
      </c>
    </row>
    <row r="94" spans="1:47" s="99" customFormat="1" ht="21" customHeight="1" x14ac:dyDescent="0.35">
      <c r="A94" s="99">
        <v>422</v>
      </c>
      <c r="B94" s="126" t="str">
        <f t="shared" si="15"/>
        <v>0-304L/2B-002X769</v>
      </c>
      <c r="C94" s="126" t="s">
        <v>3224</v>
      </c>
      <c r="D94" s="126" t="s">
        <v>358</v>
      </c>
      <c r="E94" s="143" t="s">
        <v>3234</v>
      </c>
      <c r="F94" s="143" t="s">
        <v>3235</v>
      </c>
      <c r="G94" s="126" t="s">
        <v>230</v>
      </c>
      <c r="H94" s="126" t="s">
        <v>116</v>
      </c>
      <c r="I94" s="127">
        <v>3.79</v>
      </c>
      <c r="J94" s="127">
        <v>1.5</v>
      </c>
      <c r="K94" s="149">
        <v>1.5</v>
      </c>
      <c r="L94" s="149">
        <v>1.54</v>
      </c>
      <c r="M94" s="144">
        <v>769</v>
      </c>
      <c r="N94" s="129">
        <v>12.21</v>
      </c>
      <c r="O94" s="129">
        <v>12.17</v>
      </c>
      <c r="P94" s="129"/>
      <c r="Q94" s="129"/>
      <c r="R94" s="129" t="s">
        <v>116</v>
      </c>
      <c r="S94" s="284"/>
      <c r="T94" s="130" t="s">
        <v>1143</v>
      </c>
      <c r="U94" s="130"/>
      <c r="V94" s="131"/>
      <c r="W94" s="132">
        <v>44535</v>
      </c>
      <c r="X94" s="132">
        <v>44536</v>
      </c>
      <c r="Y94" s="132">
        <v>44602</v>
      </c>
      <c r="Z94" s="132"/>
      <c r="AA94" s="132"/>
      <c r="AB94" s="133"/>
      <c r="AC94" s="126" t="s">
        <v>64</v>
      </c>
      <c r="AD94" s="134" t="s">
        <v>154</v>
      </c>
      <c r="AE94" s="134" t="s">
        <v>1296</v>
      </c>
      <c r="AF94" s="134"/>
      <c r="AG94" s="134">
        <v>44516</v>
      </c>
      <c r="AH94" s="134"/>
      <c r="AI94" s="134">
        <f t="shared" ca="1" si="16"/>
        <v>44963</v>
      </c>
      <c r="AJ94" s="126">
        <f t="shared" ca="1" si="17"/>
        <v>447</v>
      </c>
      <c r="AK94" s="126">
        <f t="shared" ca="1" si="18"/>
        <v>361</v>
      </c>
      <c r="AL94" s="134"/>
      <c r="AM94" s="143" t="s">
        <v>3236</v>
      </c>
      <c r="AN94" s="129">
        <v>12.185</v>
      </c>
      <c r="AO94" s="129">
        <v>12.195</v>
      </c>
      <c r="AP94" s="129">
        <v>12.219999999999999</v>
      </c>
      <c r="AQ94" s="129">
        <v>12.225</v>
      </c>
      <c r="AR94" s="126">
        <f t="shared" ca="1" si="19"/>
        <v>427</v>
      </c>
      <c r="AU94" s="99" t="s">
        <v>136</v>
      </c>
    </row>
    <row r="95" spans="1:47" s="99" customFormat="1" ht="21" customHeight="1" x14ac:dyDescent="0.35">
      <c r="A95" s="99">
        <v>422</v>
      </c>
      <c r="B95" s="126" t="str">
        <f t="shared" si="15"/>
        <v>0-304L/2B-002X768</v>
      </c>
      <c r="C95" s="126" t="s">
        <v>3224</v>
      </c>
      <c r="D95" s="126" t="s">
        <v>358</v>
      </c>
      <c r="E95" s="143" t="s">
        <v>3237</v>
      </c>
      <c r="F95" s="143" t="s">
        <v>3238</v>
      </c>
      <c r="G95" s="126" t="s">
        <v>230</v>
      </c>
      <c r="H95" s="126" t="s">
        <v>116</v>
      </c>
      <c r="I95" s="127">
        <v>3.8</v>
      </c>
      <c r="J95" s="127">
        <v>1.5</v>
      </c>
      <c r="K95" s="149">
        <v>1.5</v>
      </c>
      <c r="L95" s="149">
        <v>1.53</v>
      </c>
      <c r="M95" s="144">
        <v>768</v>
      </c>
      <c r="N95" s="129">
        <v>10.494999999999999</v>
      </c>
      <c r="O95" s="129">
        <v>10.48</v>
      </c>
      <c r="P95" s="129"/>
      <c r="Q95" s="129"/>
      <c r="R95" s="129" t="s">
        <v>116</v>
      </c>
      <c r="S95" s="284"/>
      <c r="T95" s="130" t="s">
        <v>1143</v>
      </c>
      <c r="U95" s="130"/>
      <c r="V95" s="131"/>
      <c r="W95" s="132">
        <v>44535</v>
      </c>
      <c r="X95" s="132">
        <v>44535</v>
      </c>
      <c r="Y95" s="132">
        <v>44602</v>
      </c>
      <c r="Z95" s="132"/>
      <c r="AA95" s="132"/>
      <c r="AB95" s="133"/>
      <c r="AC95" s="126" t="s">
        <v>64</v>
      </c>
      <c r="AD95" s="134" t="s">
        <v>154</v>
      </c>
      <c r="AE95" s="134" t="s">
        <v>1296</v>
      </c>
      <c r="AF95" s="134"/>
      <c r="AG95" s="134">
        <v>44516</v>
      </c>
      <c r="AH95" s="134"/>
      <c r="AI95" s="134">
        <f t="shared" ca="1" si="16"/>
        <v>44963</v>
      </c>
      <c r="AJ95" s="126">
        <f t="shared" ca="1" si="17"/>
        <v>447</v>
      </c>
      <c r="AK95" s="126">
        <f t="shared" ca="1" si="18"/>
        <v>361</v>
      </c>
      <c r="AL95" s="134"/>
      <c r="AM95" s="143" t="s">
        <v>3239</v>
      </c>
      <c r="AN95" s="129">
        <v>10.49</v>
      </c>
      <c r="AO95" s="129">
        <v>10.5</v>
      </c>
      <c r="AP95" s="129">
        <v>10.524999999999999</v>
      </c>
      <c r="AQ95" s="129">
        <v>10.53</v>
      </c>
      <c r="AR95" s="126">
        <f t="shared" ca="1" si="19"/>
        <v>428</v>
      </c>
      <c r="AU95" s="99" t="s">
        <v>136</v>
      </c>
    </row>
    <row r="96" spans="1:47" s="99" customFormat="1" ht="21" customHeight="1" x14ac:dyDescent="0.35">
      <c r="A96" s="99">
        <v>422</v>
      </c>
      <c r="B96" s="126" t="str">
        <f t="shared" si="15"/>
        <v>0-304L/2B-002X776</v>
      </c>
      <c r="C96" s="126" t="s">
        <v>3224</v>
      </c>
      <c r="D96" s="126" t="s">
        <v>358</v>
      </c>
      <c r="E96" s="143" t="s">
        <v>3240</v>
      </c>
      <c r="F96" s="143" t="s">
        <v>3241</v>
      </c>
      <c r="G96" s="126" t="s">
        <v>230</v>
      </c>
      <c r="H96" s="126" t="s">
        <v>116</v>
      </c>
      <c r="I96" s="127">
        <v>3.81</v>
      </c>
      <c r="J96" s="127">
        <v>1.85</v>
      </c>
      <c r="K96" s="149">
        <v>1.82</v>
      </c>
      <c r="L96" s="149">
        <v>1.85</v>
      </c>
      <c r="M96" s="144">
        <v>776</v>
      </c>
      <c r="N96" s="129">
        <v>10.435</v>
      </c>
      <c r="O96" s="129">
        <v>10.41</v>
      </c>
      <c r="P96" s="129"/>
      <c r="Q96" s="129"/>
      <c r="R96" s="129" t="s">
        <v>116</v>
      </c>
      <c r="S96" s="284"/>
      <c r="T96" s="130" t="s">
        <v>1143</v>
      </c>
      <c r="U96" s="130"/>
      <c r="V96" s="131"/>
      <c r="W96" s="132">
        <v>44538</v>
      </c>
      <c r="X96" s="132">
        <v>44538</v>
      </c>
      <c r="Y96" s="132">
        <v>44602</v>
      </c>
      <c r="Z96" s="132"/>
      <c r="AA96" s="132"/>
      <c r="AB96" s="133"/>
      <c r="AC96" s="126" t="s">
        <v>64</v>
      </c>
      <c r="AD96" s="134" t="s">
        <v>154</v>
      </c>
      <c r="AE96" s="134" t="s">
        <v>1330</v>
      </c>
      <c r="AF96" s="134"/>
      <c r="AG96" s="134">
        <v>44516</v>
      </c>
      <c r="AH96" s="134"/>
      <c r="AI96" s="134">
        <f t="shared" ca="1" si="16"/>
        <v>44963</v>
      </c>
      <c r="AJ96" s="126">
        <f t="shared" ca="1" si="17"/>
        <v>447</v>
      </c>
      <c r="AK96" s="126">
        <f t="shared" ca="1" si="18"/>
        <v>361</v>
      </c>
      <c r="AL96" s="134"/>
      <c r="AM96" s="143" t="s">
        <v>2946</v>
      </c>
      <c r="AN96" s="129">
        <v>10.45</v>
      </c>
      <c r="AO96" s="129">
        <v>10.46</v>
      </c>
      <c r="AP96" s="129">
        <v>10.484999999999999</v>
      </c>
      <c r="AQ96" s="129">
        <v>10.49</v>
      </c>
      <c r="AR96" s="126">
        <f t="shared" ca="1" si="19"/>
        <v>425</v>
      </c>
      <c r="AU96" s="99" t="s">
        <v>136</v>
      </c>
    </row>
    <row r="97" spans="1:47" s="99" customFormat="1" ht="21" customHeight="1" x14ac:dyDescent="0.35">
      <c r="A97" s="99">
        <v>422</v>
      </c>
      <c r="B97" s="126" t="str">
        <f t="shared" si="15"/>
        <v>0-304L/2B-002X776</v>
      </c>
      <c r="C97" s="126" t="s">
        <v>3224</v>
      </c>
      <c r="D97" s="126" t="s">
        <v>358</v>
      </c>
      <c r="E97" s="143" t="s">
        <v>3242</v>
      </c>
      <c r="F97" s="143" t="s">
        <v>3243</v>
      </c>
      <c r="G97" s="126" t="s">
        <v>230</v>
      </c>
      <c r="H97" s="126" t="s">
        <v>116</v>
      </c>
      <c r="I97" s="127">
        <v>3.8</v>
      </c>
      <c r="J97" s="127">
        <v>1.5</v>
      </c>
      <c r="K97" s="149">
        <v>1.48</v>
      </c>
      <c r="L97" s="149">
        <v>1.5</v>
      </c>
      <c r="M97" s="144">
        <v>776</v>
      </c>
      <c r="N97" s="129">
        <v>10.46</v>
      </c>
      <c r="O97" s="129">
        <v>10.435</v>
      </c>
      <c r="P97" s="129"/>
      <c r="Q97" s="129"/>
      <c r="R97" s="129" t="s">
        <v>116</v>
      </c>
      <c r="S97" s="284"/>
      <c r="T97" s="130" t="s">
        <v>1143</v>
      </c>
      <c r="U97" s="130"/>
      <c r="V97" s="131"/>
      <c r="W97" s="132">
        <v>44535</v>
      </c>
      <c r="X97" s="132">
        <v>44536</v>
      </c>
      <c r="Y97" s="132">
        <v>44602</v>
      </c>
      <c r="Z97" s="132"/>
      <c r="AA97" s="132"/>
      <c r="AB97" s="133"/>
      <c r="AC97" s="126" t="s">
        <v>64</v>
      </c>
      <c r="AD97" s="134" t="s">
        <v>154</v>
      </c>
      <c r="AE97" s="134" t="s">
        <v>1330</v>
      </c>
      <c r="AF97" s="134"/>
      <c r="AG97" s="134">
        <v>44516</v>
      </c>
      <c r="AH97" s="134"/>
      <c r="AI97" s="134">
        <f t="shared" ca="1" si="16"/>
        <v>44963</v>
      </c>
      <c r="AJ97" s="126">
        <f t="shared" ca="1" si="17"/>
        <v>447</v>
      </c>
      <c r="AK97" s="126">
        <f t="shared" ca="1" si="18"/>
        <v>361</v>
      </c>
      <c r="AL97" s="134"/>
      <c r="AM97" s="143" t="s">
        <v>3244</v>
      </c>
      <c r="AN97" s="129">
        <v>10.445</v>
      </c>
      <c r="AO97" s="129">
        <v>10.455</v>
      </c>
      <c r="AP97" s="129">
        <v>10.479999999999999</v>
      </c>
      <c r="AQ97" s="129">
        <v>10.484999999999999</v>
      </c>
      <c r="AR97" s="126">
        <f t="shared" ca="1" si="19"/>
        <v>427</v>
      </c>
      <c r="AU97" s="99" t="s">
        <v>136</v>
      </c>
    </row>
    <row r="98" spans="1:47" s="99" customFormat="1" ht="21" customHeight="1" x14ac:dyDescent="0.35">
      <c r="A98" s="99">
        <v>422</v>
      </c>
      <c r="B98" s="126" t="str">
        <f t="shared" si="15"/>
        <v>0-304L/2B-002X777</v>
      </c>
      <c r="C98" s="126" t="s">
        <v>3224</v>
      </c>
      <c r="D98" s="126" t="s">
        <v>358</v>
      </c>
      <c r="E98" s="143" t="s">
        <v>3245</v>
      </c>
      <c r="F98" s="143" t="s">
        <v>3246</v>
      </c>
      <c r="G98" s="126" t="s">
        <v>230</v>
      </c>
      <c r="H98" s="126" t="s">
        <v>116</v>
      </c>
      <c r="I98" s="127">
        <v>3.8</v>
      </c>
      <c r="J98" s="127">
        <v>1.9</v>
      </c>
      <c r="K98" s="149">
        <v>1.89</v>
      </c>
      <c r="L98" s="149">
        <v>1.91</v>
      </c>
      <c r="M98" s="144">
        <v>777</v>
      </c>
      <c r="N98" s="129">
        <v>10.56</v>
      </c>
      <c r="O98" s="129">
        <v>10.52</v>
      </c>
      <c r="P98" s="129"/>
      <c r="Q98" s="129"/>
      <c r="R98" s="129" t="s">
        <v>116</v>
      </c>
      <c r="S98" s="284"/>
      <c r="T98" s="130" t="s">
        <v>1143</v>
      </c>
      <c r="U98" s="130"/>
      <c r="V98" s="131"/>
      <c r="W98" s="132">
        <v>44537</v>
      </c>
      <c r="X98" s="132">
        <v>44537</v>
      </c>
      <c r="Y98" s="132">
        <v>44602</v>
      </c>
      <c r="Z98" s="132"/>
      <c r="AA98" s="132"/>
      <c r="AB98" s="133"/>
      <c r="AC98" s="126" t="s">
        <v>64</v>
      </c>
      <c r="AD98" s="134" t="s">
        <v>154</v>
      </c>
      <c r="AE98" s="134" t="s">
        <v>1330</v>
      </c>
      <c r="AF98" s="134"/>
      <c r="AG98" s="134">
        <v>44516</v>
      </c>
      <c r="AH98" s="134"/>
      <c r="AI98" s="134">
        <f t="shared" ca="1" si="16"/>
        <v>44963</v>
      </c>
      <c r="AJ98" s="126">
        <f t="shared" ca="1" si="17"/>
        <v>447</v>
      </c>
      <c r="AK98" s="126">
        <f t="shared" ca="1" si="18"/>
        <v>361</v>
      </c>
      <c r="AL98" s="134"/>
      <c r="AM98" s="143" t="s">
        <v>3247</v>
      </c>
      <c r="AN98" s="129">
        <v>10.545</v>
      </c>
      <c r="AO98" s="129">
        <v>10.555</v>
      </c>
      <c r="AP98" s="129">
        <v>10.579999999999998</v>
      </c>
      <c r="AQ98" s="129">
        <v>10.584999999999999</v>
      </c>
      <c r="AR98" s="126">
        <f t="shared" ca="1" si="19"/>
        <v>426</v>
      </c>
      <c r="AU98" s="99" t="s">
        <v>136</v>
      </c>
    </row>
    <row r="99" spans="1:47" s="99" customFormat="1" ht="21" customHeight="1" x14ac:dyDescent="0.35">
      <c r="A99" s="99">
        <v>422</v>
      </c>
      <c r="B99" s="126" t="str">
        <f t="shared" si="15"/>
        <v>0-304L/2B-001X776</v>
      </c>
      <c r="C99" s="126" t="s">
        <v>3224</v>
      </c>
      <c r="D99" s="126" t="s">
        <v>358</v>
      </c>
      <c r="E99" s="143" t="s">
        <v>3248</v>
      </c>
      <c r="F99" s="143" t="s">
        <v>3249</v>
      </c>
      <c r="G99" s="126" t="s">
        <v>230</v>
      </c>
      <c r="H99" s="126" t="s">
        <v>116</v>
      </c>
      <c r="I99" s="127">
        <v>3.49</v>
      </c>
      <c r="J99" s="127">
        <v>1.22</v>
      </c>
      <c r="K99" s="149">
        <v>1.2</v>
      </c>
      <c r="L99" s="149">
        <v>1.24</v>
      </c>
      <c r="M99" s="144">
        <v>776</v>
      </c>
      <c r="N99" s="129">
        <v>10.32</v>
      </c>
      <c r="O99" s="129">
        <v>10.29</v>
      </c>
      <c r="P99" s="129"/>
      <c r="Q99" s="129"/>
      <c r="R99" s="129" t="s">
        <v>116</v>
      </c>
      <c r="S99" s="284"/>
      <c r="T99" s="130" t="s">
        <v>1143</v>
      </c>
      <c r="U99" s="130"/>
      <c r="V99" s="131"/>
      <c r="W99" s="132">
        <v>44536</v>
      </c>
      <c r="X99" s="132">
        <v>44537</v>
      </c>
      <c r="Y99" s="132">
        <v>44602</v>
      </c>
      <c r="Z99" s="132"/>
      <c r="AA99" s="132"/>
      <c r="AB99" s="133"/>
      <c r="AC99" s="126" t="s">
        <v>64</v>
      </c>
      <c r="AD99" s="134" t="s">
        <v>154</v>
      </c>
      <c r="AE99" s="134" t="s">
        <v>1330</v>
      </c>
      <c r="AF99" s="134"/>
      <c r="AG99" s="134">
        <v>44516</v>
      </c>
      <c r="AH99" s="134"/>
      <c r="AI99" s="134">
        <f t="shared" ca="1" si="16"/>
        <v>44963</v>
      </c>
      <c r="AJ99" s="126">
        <f t="shared" ca="1" si="17"/>
        <v>447</v>
      </c>
      <c r="AK99" s="126">
        <f t="shared" ca="1" si="18"/>
        <v>361</v>
      </c>
      <c r="AL99" s="134"/>
      <c r="AM99" s="143" t="s">
        <v>3250</v>
      </c>
      <c r="AN99" s="129">
        <v>10.32</v>
      </c>
      <c r="AO99" s="129">
        <v>10.33</v>
      </c>
      <c r="AP99" s="129">
        <v>10.354999999999999</v>
      </c>
      <c r="AQ99" s="129">
        <v>10.36</v>
      </c>
      <c r="AR99" s="126">
        <f t="shared" ca="1" si="19"/>
        <v>426</v>
      </c>
      <c r="AU99" s="99" t="s">
        <v>136</v>
      </c>
    </row>
    <row r="100" spans="1:47" s="99" customFormat="1" ht="21" customHeight="1" x14ac:dyDescent="0.35">
      <c r="A100" s="99">
        <v>422</v>
      </c>
      <c r="B100" s="126" t="str">
        <f t="shared" si="15"/>
        <v>0-304L/2B-002X770</v>
      </c>
      <c r="C100" s="126" t="s">
        <v>3251</v>
      </c>
      <c r="D100" s="126" t="s">
        <v>358</v>
      </c>
      <c r="E100" s="143" t="s">
        <v>3252</v>
      </c>
      <c r="F100" s="143" t="s">
        <v>3253</v>
      </c>
      <c r="G100" s="126" t="s">
        <v>230</v>
      </c>
      <c r="H100" s="126" t="s">
        <v>116</v>
      </c>
      <c r="I100" s="127">
        <v>3.98</v>
      </c>
      <c r="J100" s="127">
        <v>1.9</v>
      </c>
      <c r="K100" s="149">
        <v>1.88</v>
      </c>
      <c r="L100" s="149">
        <v>1.91</v>
      </c>
      <c r="M100" s="144">
        <v>770</v>
      </c>
      <c r="N100" s="129">
        <v>11.96</v>
      </c>
      <c r="O100" s="129">
        <v>11.92</v>
      </c>
      <c r="P100" s="129"/>
      <c r="Q100" s="129"/>
      <c r="R100" s="129" t="s">
        <v>116</v>
      </c>
      <c r="S100" s="284"/>
      <c r="T100" s="130" t="s">
        <v>1143</v>
      </c>
      <c r="U100" s="130"/>
      <c r="V100" s="131"/>
      <c r="W100" s="132">
        <v>44537</v>
      </c>
      <c r="X100" s="132">
        <v>44537</v>
      </c>
      <c r="Y100" s="132">
        <v>44603</v>
      </c>
      <c r="Z100" s="132"/>
      <c r="AA100" s="132"/>
      <c r="AB100" s="133"/>
      <c r="AC100" s="126" t="s">
        <v>64</v>
      </c>
      <c r="AD100" s="134" t="s">
        <v>154</v>
      </c>
      <c r="AE100" s="134" t="s">
        <v>1330</v>
      </c>
      <c r="AF100" s="134"/>
      <c r="AG100" s="134">
        <v>44516</v>
      </c>
      <c r="AH100" s="134"/>
      <c r="AI100" s="134">
        <f t="shared" ca="1" si="16"/>
        <v>44963</v>
      </c>
      <c r="AJ100" s="126">
        <f t="shared" ca="1" si="17"/>
        <v>447</v>
      </c>
      <c r="AK100" s="126">
        <f t="shared" ca="1" si="18"/>
        <v>360</v>
      </c>
      <c r="AL100" s="134"/>
      <c r="AM100" s="143" t="s">
        <v>3227</v>
      </c>
      <c r="AN100" s="129">
        <v>11.94</v>
      </c>
      <c r="AO100" s="129">
        <v>11.95</v>
      </c>
      <c r="AP100" s="129">
        <v>11.974999999999998</v>
      </c>
      <c r="AQ100" s="129">
        <v>11.979999999999999</v>
      </c>
      <c r="AR100" s="126">
        <f t="shared" ca="1" si="19"/>
        <v>426</v>
      </c>
      <c r="AU100" s="99" t="s">
        <v>136</v>
      </c>
    </row>
    <row r="101" spans="1:47" s="99" customFormat="1" ht="21" customHeight="1" x14ac:dyDescent="0.35">
      <c r="A101" s="99">
        <v>422</v>
      </c>
      <c r="B101" s="126" t="str">
        <f t="shared" si="15"/>
        <v>0-304L/2B-001X774</v>
      </c>
      <c r="C101" s="126" t="s">
        <v>3251</v>
      </c>
      <c r="D101" s="126" t="s">
        <v>358</v>
      </c>
      <c r="E101" s="143" t="s">
        <v>3254</v>
      </c>
      <c r="F101" s="143" t="s">
        <v>3255</v>
      </c>
      <c r="G101" s="126" t="s">
        <v>230</v>
      </c>
      <c r="H101" s="126" t="s">
        <v>116</v>
      </c>
      <c r="I101" s="127">
        <v>3.78</v>
      </c>
      <c r="J101" s="127">
        <v>1.22</v>
      </c>
      <c r="K101" s="127">
        <v>1.21</v>
      </c>
      <c r="L101" s="127">
        <v>1.23</v>
      </c>
      <c r="M101" s="144">
        <v>774</v>
      </c>
      <c r="N101" s="129">
        <v>11.94</v>
      </c>
      <c r="O101" s="129">
        <v>11.91</v>
      </c>
      <c r="P101" s="129"/>
      <c r="Q101" s="129"/>
      <c r="R101" s="129" t="s">
        <v>116</v>
      </c>
      <c r="S101" s="284"/>
      <c r="T101" s="130" t="s">
        <v>1143</v>
      </c>
      <c r="U101" s="130"/>
      <c r="V101" s="131"/>
      <c r="W101" s="132">
        <v>44537</v>
      </c>
      <c r="X101" s="132">
        <v>44538</v>
      </c>
      <c r="Y101" s="132">
        <v>44603</v>
      </c>
      <c r="Z101" s="132"/>
      <c r="AA101" s="132"/>
      <c r="AB101" s="133"/>
      <c r="AC101" s="126" t="s">
        <v>64</v>
      </c>
      <c r="AD101" s="134" t="s">
        <v>154</v>
      </c>
      <c r="AE101" s="134" t="s">
        <v>1330</v>
      </c>
      <c r="AF101" s="134"/>
      <c r="AG101" s="134">
        <v>44516</v>
      </c>
      <c r="AH101" s="134"/>
      <c r="AI101" s="134">
        <f t="shared" ca="1" si="16"/>
        <v>44963</v>
      </c>
      <c r="AJ101" s="126">
        <f t="shared" ca="1" si="17"/>
        <v>447</v>
      </c>
      <c r="AK101" s="126">
        <f t="shared" ca="1" si="18"/>
        <v>360</v>
      </c>
      <c r="AL101" s="134"/>
      <c r="AM101" s="143" t="s">
        <v>3256</v>
      </c>
      <c r="AN101" s="129">
        <v>11.93</v>
      </c>
      <c r="AO101" s="129">
        <v>11.94</v>
      </c>
      <c r="AP101" s="129">
        <v>11.964999999999998</v>
      </c>
      <c r="AQ101" s="129">
        <v>11.969999999999999</v>
      </c>
      <c r="AR101" s="126">
        <f t="shared" ca="1" si="19"/>
        <v>425</v>
      </c>
      <c r="AU101" s="99" t="s">
        <v>136</v>
      </c>
    </row>
    <row r="102" spans="1:47" s="99" customFormat="1" ht="21" customHeight="1" x14ac:dyDescent="0.35">
      <c r="A102" s="99">
        <v>422</v>
      </c>
      <c r="B102" s="126" t="str">
        <f t="shared" si="15"/>
        <v>0-304L/2B-002X777</v>
      </c>
      <c r="C102" s="126" t="s">
        <v>3251</v>
      </c>
      <c r="D102" s="126" t="s">
        <v>358</v>
      </c>
      <c r="E102" s="143" t="s">
        <v>3257</v>
      </c>
      <c r="F102" s="143" t="s">
        <v>3258</v>
      </c>
      <c r="G102" s="126" t="s">
        <v>230</v>
      </c>
      <c r="H102" s="126" t="s">
        <v>116</v>
      </c>
      <c r="I102" s="127">
        <v>3.8</v>
      </c>
      <c r="J102" s="127">
        <v>1.85</v>
      </c>
      <c r="K102" s="149">
        <v>1.85</v>
      </c>
      <c r="L102" s="149">
        <v>1.87</v>
      </c>
      <c r="M102" s="144">
        <v>777</v>
      </c>
      <c r="N102" s="129">
        <v>10.26</v>
      </c>
      <c r="O102" s="129">
        <v>10.215</v>
      </c>
      <c r="P102" s="129"/>
      <c r="Q102" s="129"/>
      <c r="R102" s="129" t="s">
        <v>116</v>
      </c>
      <c r="S102" s="284"/>
      <c r="T102" s="130" t="s">
        <v>1143</v>
      </c>
      <c r="U102" s="130"/>
      <c r="V102" s="131"/>
      <c r="W102" s="132">
        <v>44537</v>
      </c>
      <c r="X102" s="132">
        <v>44538</v>
      </c>
      <c r="Y102" s="132">
        <v>44603</v>
      </c>
      <c r="Z102" s="132"/>
      <c r="AA102" s="132"/>
      <c r="AB102" s="133"/>
      <c r="AC102" s="126" t="s">
        <v>64</v>
      </c>
      <c r="AD102" s="134" t="s">
        <v>154</v>
      </c>
      <c r="AE102" s="134" t="s">
        <v>1296</v>
      </c>
      <c r="AF102" s="134"/>
      <c r="AG102" s="134">
        <v>44516</v>
      </c>
      <c r="AH102" s="134"/>
      <c r="AI102" s="134">
        <f t="shared" ca="1" si="16"/>
        <v>44963</v>
      </c>
      <c r="AJ102" s="126">
        <f t="shared" ca="1" si="17"/>
        <v>447</v>
      </c>
      <c r="AK102" s="126">
        <f t="shared" ca="1" si="18"/>
        <v>360</v>
      </c>
      <c r="AL102" s="134"/>
      <c r="AM102" s="143" t="s">
        <v>3259</v>
      </c>
      <c r="AN102" s="129">
        <v>10.24</v>
      </c>
      <c r="AO102" s="129">
        <v>10.25</v>
      </c>
      <c r="AP102" s="129">
        <v>10.274999999999999</v>
      </c>
      <c r="AQ102" s="129">
        <v>10.28</v>
      </c>
      <c r="AR102" s="126">
        <f t="shared" ca="1" si="19"/>
        <v>425</v>
      </c>
      <c r="AU102" s="99" t="s">
        <v>136</v>
      </c>
    </row>
    <row r="103" spans="1:47" s="99" customFormat="1" ht="21" customHeight="1" x14ac:dyDescent="0.35">
      <c r="A103" s="99">
        <v>421</v>
      </c>
      <c r="B103" s="126" t="str">
        <f t="shared" si="15"/>
        <v>0-304L/2B-001X770</v>
      </c>
      <c r="C103" s="126" t="s">
        <v>3251</v>
      </c>
      <c r="D103" s="126" t="s">
        <v>358</v>
      </c>
      <c r="E103" s="143" t="s">
        <v>3260</v>
      </c>
      <c r="F103" s="143" t="s">
        <v>3261</v>
      </c>
      <c r="G103" s="126" t="s">
        <v>230</v>
      </c>
      <c r="H103" s="126" t="s">
        <v>116</v>
      </c>
      <c r="I103" s="127">
        <v>2.99</v>
      </c>
      <c r="J103" s="127">
        <v>0.91</v>
      </c>
      <c r="K103" s="127">
        <v>0.89</v>
      </c>
      <c r="L103" s="127">
        <v>0.91</v>
      </c>
      <c r="M103" s="144">
        <v>770</v>
      </c>
      <c r="N103" s="129">
        <v>10.525</v>
      </c>
      <c r="O103" s="129">
        <v>10.52</v>
      </c>
      <c r="P103" s="129"/>
      <c r="Q103" s="129"/>
      <c r="R103" s="129" t="s">
        <v>116</v>
      </c>
      <c r="S103" s="284"/>
      <c r="T103" s="130" t="s">
        <v>1143</v>
      </c>
      <c r="U103" s="130"/>
      <c r="V103" s="131"/>
      <c r="W103" s="132">
        <v>44537</v>
      </c>
      <c r="X103" s="132">
        <v>44537</v>
      </c>
      <c r="Y103" s="132">
        <v>44603</v>
      </c>
      <c r="Z103" s="132"/>
      <c r="AA103" s="132"/>
      <c r="AB103" s="133"/>
      <c r="AC103" s="126" t="s">
        <v>64</v>
      </c>
      <c r="AD103" s="134" t="s">
        <v>154</v>
      </c>
      <c r="AE103" s="134" t="s">
        <v>1246</v>
      </c>
      <c r="AF103" s="134"/>
      <c r="AG103" s="134">
        <v>44496</v>
      </c>
      <c r="AH103" s="134"/>
      <c r="AI103" s="134">
        <f t="shared" ca="1" si="16"/>
        <v>44963</v>
      </c>
      <c r="AJ103" s="126">
        <f t="shared" ca="1" si="17"/>
        <v>467</v>
      </c>
      <c r="AK103" s="126">
        <f t="shared" ca="1" si="18"/>
        <v>360</v>
      </c>
      <c r="AL103" s="134"/>
      <c r="AM103" s="143" t="s">
        <v>2785</v>
      </c>
      <c r="AN103" s="129">
        <v>10.52</v>
      </c>
      <c r="AO103" s="129">
        <v>10.53</v>
      </c>
      <c r="AP103" s="129">
        <v>10.554999999999998</v>
      </c>
      <c r="AQ103" s="129">
        <v>10.559999999999999</v>
      </c>
      <c r="AR103" s="126">
        <f t="shared" ca="1" si="19"/>
        <v>426</v>
      </c>
      <c r="AU103" s="99" t="s">
        <v>136</v>
      </c>
    </row>
    <row r="104" spans="1:47" s="99" customFormat="1" ht="21" customHeight="1" x14ac:dyDescent="0.35">
      <c r="A104" s="99">
        <v>421</v>
      </c>
      <c r="B104" s="126" t="str">
        <f t="shared" si="15"/>
        <v>0-304L/2B-001X770</v>
      </c>
      <c r="C104" s="126" t="s">
        <v>3251</v>
      </c>
      <c r="D104" s="126" t="s">
        <v>358</v>
      </c>
      <c r="E104" s="143" t="s">
        <v>3262</v>
      </c>
      <c r="F104" s="143" t="s">
        <v>3263</v>
      </c>
      <c r="G104" s="126" t="s">
        <v>230</v>
      </c>
      <c r="H104" s="126" t="s">
        <v>116</v>
      </c>
      <c r="I104" s="127">
        <v>2.8</v>
      </c>
      <c r="J104" s="127">
        <v>0.6</v>
      </c>
      <c r="K104" s="149">
        <v>0.6</v>
      </c>
      <c r="L104" s="149">
        <v>0.61</v>
      </c>
      <c r="M104" s="144">
        <v>770</v>
      </c>
      <c r="N104" s="129">
        <v>10.55</v>
      </c>
      <c r="O104" s="129">
        <v>10.525</v>
      </c>
      <c r="P104" s="129"/>
      <c r="Q104" s="129"/>
      <c r="R104" s="129" t="s">
        <v>116</v>
      </c>
      <c r="S104" s="284"/>
      <c r="T104" s="130" t="s">
        <v>1143</v>
      </c>
      <c r="U104" s="130"/>
      <c r="V104" s="131"/>
      <c r="W104" s="132">
        <v>44537</v>
      </c>
      <c r="X104" s="132">
        <v>44537</v>
      </c>
      <c r="Y104" s="132">
        <v>44603</v>
      </c>
      <c r="Z104" s="132"/>
      <c r="AA104" s="132"/>
      <c r="AB104" s="133"/>
      <c r="AC104" s="126" t="s">
        <v>64</v>
      </c>
      <c r="AD104" s="134" t="s">
        <v>154</v>
      </c>
      <c r="AE104" s="134" t="s">
        <v>1190</v>
      </c>
      <c r="AF104" s="134"/>
      <c r="AG104" s="134">
        <v>44496</v>
      </c>
      <c r="AH104" s="134"/>
      <c r="AI104" s="134">
        <f t="shared" ca="1" si="16"/>
        <v>44963</v>
      </c>
      <c r="AJ104" s="126">
        <f t="shared" ca="1" si="17"/>
        <v>467</v>
      </c>
      <c r="AK104" s="126">
        <f t="shared" ca="1" si="18"/>
        <v>360</v>
      </c>
      <c r="AL104" s="134"/>
      <c r="AM104" s="143" t="s">
        <v>2933</v>
      </c>
      <c r="AN104" s="129">
        <v>10.535</v>
      </c>
      <c r="AO104" s="129">
        <v>10.545</v>
      </c>
      <c r="AP104" s="129">
        <v>10.569999999999999</v>
      </c>
      <c r="AQ104" s="129">
        <v>10.574999999999999</v>
      </c>
      <c r="AR104" s="126">
        <f t="shared" ca="1" si="19"/>
        <v>426</v>
      </c>
      <c r="AU104" s="99" t="s">
        <v>136</v>
      </c>
    </row>
    <row r="105" spans="1:47" s="99" customFormat="1" ht="21" customHeight="1" x14ac:dyDescent="0.35">
      <c r="A105" s="99">
        <v>421</v>
      </c>
      <c r="B105" s="126" t="str">
        <f t="shared" si="15"/>
        <v>0-304L/2B-001X770</v>
      </c>
      <c r="C105" s="126" t="s">
        <v>3251</v>
      </c>
      <c r="D105" s="126" t="s">
        <v>358</v>
      </c>
      <c r="E105" s="143" t="s">
        <v>2940</v>
      </c>
      <c r="F105" s="143" t="s">
        <v>3264</v>
      </c>
      <c r="G105" s="126" t="s">
        <v>230</v>
      </c>
      <c r="H105" s="126" t="s">
        <v>116</v>
      </c>
      <c r="I105" s="127">
        <v>2.75</v>
      </c>
      <c r="J105" s="127">
        <v>0.6</v>
      </c>
      <c r="K105" s="127">
        <v>0.59</v>
      </c>
      <c r="L105" s="127">
        <v>0.6</v>
      </c>
      <c r="M105" s="144">
        <v>770</v>
      </c>
      <c r="N105" s="129">
        <v>10.55</v>
      </c>
      <c r="O105" s="129">
        <v>10.525</v>
      </c>
      <c r="P105" s="129"/>
      <c r="Q105" s="129"/>
      <c r="R105" s="129" t="s">
        <v>116</v>
      </c>
      <c r="S105" s="284"/>
      <c r="T105" s="130" t="s">
        <v>1143</v>
      </c>
      <c r="U105" s="130"/>
      <c r="V105" s="131"/>
      <c r="W105" s="132">
        <v>44537</v>
      </c>
      <c r="X105" s="132">
        <v>44538</v>
      </c>
      <c r="Y105" s="132">
        <v>44603</v>
      </c>
      <c r="Z105" s="132"/>
      <c r="AA105" s="132"/>
      <c r="AB105" s="133"/>
      <c r="AC105" s="126" t="s">
        <v>64</v>
      </c>
      <c r="AD105" s="134" t="s">
        <v>154</v>
      </c>
      <c r="AE105" s="134" t="s">
        <v>1190</v>
      </c>
      <c r="AF105" s="134"/>
      <c r="AG105" s="134">
        <v>44496</v>
      </c>
      <c r="AH105" s="134"/>
      <c r="AI105" s="134">
        <f t="shared" ca="1" si="16"/>
        <v>44963</v>
      </c>
      <c r="AJ105" s="126">
        <f t="shared" ca="1" si="17"/>
        <v>467</v>
      </c>
      <c r="AK105" s="126">
        <f t="shared" ca="1" si="18"/>
        <v>360</v>
      </c>
      <c r="AL105" s="134"/>
      <c r="AM105" s="143" t="s">
        <v>2915</v>
      </c>
      <c r="AN105" s="129">
        <v>10.555</v>
      </c>
      <c r="AO105" s="129">
        <v>10.565</v>
      </c>
      <c r="AP105" s="129">
        <v>10.589999999999998</v>
      </c>
      <c r="AQ105" s="129">
        <v>10.594999999999999</v>
      </c>
      <c r="AR105" s="126">
        <f t="shared" ca="1" si="19"/>
        <v>425</v>
      </c>
      <c r="AU105" s="99" t="s">
        <v>136</v>
      </c>
    </row>
    <row r="106" spans="1:47" s="99" customFormat="1" ht="21" customHeight="1" x14ac:dyDescent="0.35">
      <c r="A106" s="99">
        <v>421</v>
      </c>
      <c r="B106" s="126" t="str">
        <f t="shared" si="15"/>
        <v>0-304L/2B-001X770</v>
      </c>
      <c r="C106" s="126" t="s">
        <v>3251</v>
      </c>
      <c r="D106" s="126" t="s">
        <v>358</v>
      </c>
      <c r="E106" s="143" t="s">
        <v>1218</v>
      </c>
      <c r="F106" s="143" t="s">
        <v>3265</v>
      </c>
      <c r="G106" s="126" t="s">
        <v>230</v>
      </c>
      <c r="H106" s="126" t="s">
        <v>116</v>
      </c>
      <c r="I106" s="127">
        <v>2.89</v>
      </c>
      <c r="J106" s="127">
        <v>0.74</v>
      </c>
      <c r="K106" s="149">
        <v>0.75</v>
      </c>
      <c r="L106" s="149">
        <v>0.77</v>
      </c>
      <c r="M106" s="144">
        <v>770</v>
      </c>
      <c r="N106" s="129">
        <v>12.085000000000001</v>
      </c>
      <c r="O106" s="129">
        <v>12.03</v>
      </c>
      <c r="P106" s="129"/>
      <c r="Q106" s="129"/>
      <c r="R106" s="129" t="s">
        <v>116</v>
      </c>
      <c r="S106" s="284"/>
      <c r="T106" s="130" t="s">
        <v>1143</v>
      </c>
      <c r="U106" s="130"/>
      <c r="V106" s="131"/>
      <c r="W106" s="132">
        <v>44538</v>
      </c>
      <c r="X106" s="132">
        <v>44538</v>
      </c>
      <c r="Y106" s="132">
        <v>44603</v>
      </c>
      <c r="Z106" s="132"/>
      <c r="AA106" s="132"/>
      <c r="AB106" s="133"/>
      <c r="AC106" s="126" t="s">
        <v>64</v>
      </c>
      <c r="AD106" s="134" t="s">
        <v>154</v>
      </c>
      <c r="AE106" s="134" t="s">
        <v>1190</v>
      </c>
      <c r="AF106" s="134"/>
      <c r="AG106" s="134">
        <v>44496</v>
      </c>
      <c r="AH106" s="134"/>
      <c r="AI106" s="134">
        <f t="shared" ca="1" si="16"/>
        <v>44963</v>
      </c>
      <c r="AJ106" s="126">
        <f t="shared" ca="1" si="17"/>
        <v>467</v>
      </c>
      <c r="AK106" s="126">
        <f t="shared" ca="1" si="18"/>
        <v>360</v>
      </c>
      <c r="AL106" s="134"/>
      <c r="AM106" s="143" t="s">
        <v>1222</v>
      </c>
      <c r="AN106" s="129">
        <v>12.03</v>
      </c>
      <c r="AO106" s="129">
        <v>12.04</v>
      </c>
      <c r="AP106" s="129">
        <v>12.064999999999998</v>
      </c>
      <c r="AQ106" s="129">
        <v>12.069999999999999</v>
      </c>
      <c r="AR106" s="126">
        <f t="shared" ca="1" si="19"/>
        <v>425</v>
      </c>
      <c r="AU106" s="99" t="s">
        <v>136</v>
      </c>
    </row>
    <row r="107" spans="1:47" s="99" customFormat="1" ht="21" customHeight="1" x14ac:dyDescent="0.35">
      <c r="A107" s="99">
        <v>421</v>
      </c>
      <c r="B107" s="126" t="str">
        <f t="shared" si="15"/>
        <v>0-304L/2B-001X770</v>
      </c>
      <c r="C107" s="126" t="s">
        <v>3251</v>
      </c>
      <c r="D107" s="126" t="s">
        <v>358</v>
      </c>
      <c r="E107" s="143" t="s">
        <v>3266</v>
      </c>
      <c r="F107" s="143" t="s">
        <v>3267</v>
      </c>
      <c r="G107" s="126" t="s">
        <v>230</v>
      </c>
      <c r="H107" s="126" t="s">
        <v>116</v>
      </c>
      <c r="I107" s="127">
        <v>3.01</v>
      </c>
      <c r="J107" s="127">
        <v>0.74</v>
      </c>
      <c r="K107" s="127">
        <v>0.72</v>
      </c>
      <c r="L107" s="127">
        <v>0.74</v>
      </c>
      <c r="M107" s="144">
        <v>770</v>
      </c>
      <c r="N107" s="129">
        <v>12.195</v>
      </c>
      <c r="O107" s="129">
        <v>12.185</v>
      </c>
      <c r="P107" s="129"/>
      <c r="Q107" s="129"/>
      <c r="R107" s="129" t="s">
        <v>116</v>
      </c>
      <c r="S107" s="284"/>
      <c r="T107" s="130" t="s">
        <v>1143</v>
      </c>
      <c r="U107" s="130"/>
      <c r="V107" s="131"/>
      <c r="W107" s="132">
        <v>44537</v>
      </c>
      <c r="X107" s="132">
        <v>44537</v>
      </c>
      <c r="Y107" s="132">
        <v>44603</v>
      </c>
      <c r="Z107" s="132"/>
      <c r="AA107" s="132"/>
      <c r="AB107" s="133"/>
      <c r="AC107" s="126" t="s">
        <v>64</v>
      </c>
      <c r="AD107" s="134" t="s">
        <v>154</v>
      </c>
      <c r="AE107" s="134" t="s">
        <v>1190</v>
      </c>
      <c r="AF107" s="134"/>
      <c r="AG107" s="134">
        <v>44496</v>
      </c>
      <c r="AH107" s="134"/>
      <c r="AI107" s="134">
        <f t="shared" ca="1" si="16"/>
        <v>44963</v>
      </c>
      <c r="AJ107" s="126">
        <f t="shared" ca="1" si="17"/>
        <v>467</v>
      </c>
      <c r="AK107" s="126">
        <f t="shared" ca="1" si="18"/>
        <v>360</v>
      </c>
      <c r="AL107" s="134"/>
      <c r="AM107" s="143" t="s">
        <v>3268</v>
      </c>
      <c r="AN107" s="129">
        <v>12.185</v>
      </c>
      <c r="AO107" s="129">
        <v>12.195</v>
      </c>
      <c r="AP107" s="129">
        <v>12.219999999999999</v>
      </c>
      <c r="AQ107" s="129">
        <v>12.225</v>
      </c>
      <c r="AR107" s="126">
        <f t="shared" ca="1" si="19"/>
        <v>426</v>
      </c>
      <c r="AU107" s="99" t="s">
        <v>136</v>
      </c>
    </row>
    <row r="108" spans="1:47" s="99" customFormat="1" ht="21" customHeight="1" x14ac:dyDescent="0.35">
      <c r="A108" s="99">
        <v>421</v>
      </c>
      <c r="B108" s="126" t="str">
        <f t="shared" si="15"/>
        <v>0-304L/2B-001X770</v>
      </c>
      <c r="C108" s="126" t="s">
        <v>3251</v>
      </c>
      <c r="D108" s="126" t="s">
        <v>358</v>
      </c>
      <c r="E108" s="143" t="s">
        <v>3269</v>
      </c>
      <c r="F108" s="143" t="s">
        <v>3270</v>
      </c>
      <c r="G108" s="126" t="s">
        <v>230</v>
      </c>
      <c r="H108" s="126" t="s">
        <v>116</v>
      </c>
      <c r="I108" s="127">
        <v>3.01</v>
      </c>
      <c r="J108" s="127">
        <v>0.91</v>
      </c>
      <c r="K108" s="127">
        <v>0.91</v>
      </c>
      <c r="L108" s="127">
        <v>0.95</v>
      </c>
      <c r="M108" s="144">
        <v>770</v>
      </c>
      <c r="N108" s="129">
        <v>10.565</v>
      </c>
      <c r="O108" s="129">
        <v>10.53</v>
      </c>
      <c r="P108" s="129"/>
      <c r="Q108" s="129"/>
      <c r="R108" s="129" t="s">
        <v>116</v>
      </c>
      <c r="S108" s="284"/>
      <c r="T108" s="130" t="s">
        <v>1143</v>
      </c>
      <c r="U108" s="130"/>
      <c r="V108" s="131"/>
      <c r="W108" s="132">
        <v>44537</v>
      </c>
      <c r="X108" s="132">
        <v>44537</v>
      </c>
      <c r="Y108" s="132">
        <v>44603</v>
      </c>
      <c r="Z108" s="132"/>
      <c r="AA108" s="132"/>
      <c r="AB108" s="133"/>
      <c r="AC108" s="126" t="s">
        <v>64</v>
      </c>
      <c r="AD108" s="134" t="s">
        <v>154</v>
      </c>
      <c r="AE108" s="134" t="s">
        <v>1239</v>
      </c>
      <c r="AF108" s="134"/>
      <c r="AG108" s="134">
        <v>44496</v>
      </c>
      <c r="AH108" s="134"/>
      <c r="AI108" s="134">
        <f t="shared" ca="1" si="16"/>
        <v>44963</v>
      </c>
      <c r="AJ108" s="126">
        <f t="shared" ca="1" si="17"/>
        <v>467</v>
      </c>
      <c r="AK108" s="126">
        <f t="shared" ca="1" si="18"/>
        <v>360</v>
      </c>
      <c r="AL108" s="134"/>
      <c r="AM108" s="143" t="s">
        <v>3271</v>
      </c>
      <c r="AN108" s="129">
        <v>10.55</v>
      </c>
      <c r="AO108" s="129">
        <v>10.56</v>
      </c>
      <c r="AP108" s="129">
        <v>10.584999999999999</v>
      </c>
      <c r="AQ108" s="129">
        <v>10.59</v>
      </c>
      <c r="AR108" s="126">
        <f t="shared" ca="1" si="19"/>
        <v>426</v>
      </c>
      <c r="AU108" s="99" t="s">
        <v>136</v>
      </c>
    </row>
    <row r="109" spans="1:47" s="99" customFormat="1" ht="21" customHeight="1" x14ac:dyDescent="0.35">
      <c r="A109" s="99">
        <v>421</v>
      </c>
      <c r="B109" s="126" t="str">
        <f t="shared" si="15"/>
        <v>0-304/2B-001X770</v>
      </c>
      <c r="C109" s="126" t="s">
        <v>3272</v>
      </c>
      <c r="D109" s="126" t="s">
        <v>3026</v>
      </c>
      <c r="E109" s="143" t="s">
        <v>2571</v>
      </c>
      <c r="F109" s="143" t="s">
        <v>3273</v>
      </c>
      <c r="G109" s="126">
        <v>304</v>
      </c>
      <c r="H109" s="126" t="s">
        <v>116</v>
      </c>
      <c r="I109" s="127">
        <v>3.49</v>
      </c>
      <c r="J109" s="127">
        <v>1.2</v>
      </c>
      <c r="K109" s="127">
        <v>1.18</v>
      </c>
      <c r="L109" s="127">
        <v>1.2</v>
      </c>
      <c r="M109" s="144">
        <v>770</v>
      </c>
      <c r="N109" s="129">
        <v>10.484999999999999</v>
      </c>
      <c r="O109" s="129">
        <f>5.195+5.235</f>
        <v>10.43</v>
      </c>
      <c r="P109" s="129"/>
      <c r="Q109" s="129"/>
      <c r="R109" s="129" t="s">
        <v>116</v>
      </c>
      <c r="S109" s="284" t="s">
        <v>3274</v>
      </c>
      <c r="T109" s="130" t="s">
        <v>2981</v>
      </c>
      <c r="U109" s="130"/>
      <c r="V109" s="131"/>
      <c r="W109" s="132">
        <v>44599</v>
      </c>
      <c r="X109" s="132">
        <v>44599</v>
      </c>
      <c r="Y109" s="132"/>
      <c r="Z109" s="132"/>
      <c r="AA109" s="132"/>
      <c r="AB109" s="133"/>
      <c r="AC109" s="126" t="s">
        <v>64</v>
      </c>
      <c r="AD109" s="134" t="s">
        <v>154</v>
      </c>
      <c r="AE109" s="134" t="s">
        <v>1239</v>
      </c>
      <c r="AF109" s="134"/>
      <c r="AG109" s="134">
        <v>44496</v>
      </c>
      <c r="AH109" s="134"/>
      <c r="AI109" s="134">
        <f t="shared" ca="1" si="16"/>
        <v>44963</v>
      </c>
      <c r="AJ109" s="126">
        <f t="shared" ca="1" si="17"/>
        <v>467</v>
      </c>
      <c r="AK109" s="126" t="str">
        <f t="shared" si="18"/>
        <v/>
      </c>
      <c r="AL109" s="134"/>
      <c r="AM109" s="143" t="s">
        <v>2573</v>
      </c>
      <c r="AN109" s="129">
        <v>10.46</v>
      </c>
      <c r="AO109" s="129">
        <v>10.47</v>
      </c>
      <c r="AP109" s="129">
        <v>10.494999999999999</v>
      </c>
      <c r="AQ109" s="129">
        <v>10.5</v>
      </c>
      <c r="AR109" s="126">
        <f t="shared" ca="1" si="19"/>
        <v>364</v>
      </c>
      <c r="AU109" s="99" t="s">
        <v>136</v>
      </c>
    </row>
    <row r="110" spans="1:47" s="99" customFormat="1" ht="21" customHeight="1" x14ac:dyDescent="0.35">
      <c r="A110" s="99">
        <v>421</v>
      </c>
      <c r="B110" s="126" t="str">
        <f t="shared" si="15"/>
        <v>0-304L/2B-001X770</v>
      </c>
      <c r="C110" s="126" t="s">
        <v>3272</v>
      </c>
      <c r="D110" s="126" t="s">
        <v>3026</v>
      </c>
      <c r="E110" s="143" t="s">
        <v>2628</v>
      </c>
      <c r="F110" s="143" t="s">
        <v>3275</v>
      </c>
      <c r="G110" s="126" t="s">
        <v>230</v>
      </c>
      <c r="H110" s="126" t="s">
        <v>116</v>
      </c>
      <c r="I110" s="127">
        <v>3.18</v>
      </c>
      <c r="J110" s="127">
        <v>1.2</v>
      </c>
      <c r="K110" s="127">
        <v>1.18</v>
      </c>
      <c r="L110" s="127">
        <v>1.2</v>
      </c>
      <c r="M110" s="144">
        <v>770</v>
      </c>
      <c r="N110" s="129">
        <v>10.52</v>
      </c>
      <c r="O110" s="129">
        <f>5.99+4.485</f>
        <v>10.475000000000001</v>
      </c>
      <c r="P110" s="129"/>
      <c r="Q110" s="129"/>
      <c r="R110" s="129" t="s">
        <v>116</v>
      </c>
      <c r="S110" s="284" t="s">
        <v>3274</v>
      </c>
      <c r="T110" s="130" t="s">
        <v>2981</v>
      </c>
      <c r="U110" s="130"/>
      <c r="V110" s="131"/>
      <c r="W110" s="132">
        <v>44601</v>
      </c>
      <c r="X110" s="132">
        <v>44601</v>
      </c>
      <c r="Y110" s="132"/>
      <c r="Z110" s="132"/>
      <c r="AA110" s="132"/>
      <c r="AB110" s="133"/>
      <c r="AC110" s="126" t="s">
        <v>64</v>
      </c>
      <c r="AD110" s="134" t="s">
        <v>154</v>
      </c>
      <c r="AE110" s="134" t="s">
        <v>1246</v>
      </c>
      <c r="AF110" s="134"/>
      <c r="AG110" s="134">
        <v>44496</v>
      </c>
      <c r="AH110" s="134"/>
      <c r="AI110" s="134">
        <f t="shared" ca="1" si="16"/>
        <v>44963</v>
      </c>
      <c r="AJ110" s="126">
        <f t="shared" ca="1" si="17"/>
        <v>467</v>
      </c>
      <c r="AK110" s="126" t="str">
        <f t="shared" si="18"/>
        <v/>
      </c>
      <c r="AL110" s="134"/>
      <c r="AM110" s="143" t="s">
        <v>2630</v>
      </c>
      <c r="AN110" s="129">
        <v>10.51</v>
      </c>
      <c r="AO110" s="129">
        <v>10.52</v>
      </c>
      <c r="AP110" s="129">
        <v>10.544999999999998</v>
      </c>
      <c r="AQ110" s="129">
        <v>10.549999999999999</v>
      </c>
      <c r="AR110" s="126">
        <f t="shared" ca="1" si="19"/>
        <v>362</v>
      </c>
      <c r="AU110" s="99" t="s">
        <v>136</v>
      </c>
    </row>
    <row r="111" spans="1:47" s="99" customFormat="1" ht="21" customHeight="1" x14ac:dyDescent="0.35">
      <c r="A111" s="99">
        <v>424</v>
      </c>
      <c r="B111" s="126" t="str">
        <f t="shared" si="15"/>
        <v>0-304L/2B-002X767</v>
      </c>
      <c r="C111" s="126" t="s">
        <v>3272</v>
      </c>
      <c r="D111" s="126" t="s">
        <v>3026</v>
      </c>
      <c r="E111" s="143" t="s">
        <v>2626</v>
      </c>
      <c r="F111" s="143" t="s">
        <v>3276</v>
      </c>
      <c r="G111" s="126" t="s">
        <v>230</v>
      </c>
      <c r="H111" s="126" t="s">
        <v>116</v>
      </c>
      <c r="I111" s="127">
        <v>3.77</v>
      </c>
      <c r="J111" s="127">
        <v>1.5</v>
      </c>
      <c r="K111" s="127">
        <v>1.49</v>
      </c>
      <c r="L111" s="127">
        <v>1.52</v>
      </c>
      <c r="M111" s="144">
        <v>767</v>
      </c>
      <c r="N111" s="129">
        <v>11.96</v>
      </c>
      <c r="O111" s="129">
        <f>4.03+4.03+3.85</f>
        <v>11.91</v>
      </c>
      <c r="P111" s="129"/>
      <c r="Q111" s="129"/>
      <c r="R111" s="129" t="s">
        <v>116</v>
      </c>
      <c r="S111" s="284" t="s">
        <v>3274</v>
      </c>
      <c r="T111" s="130" t="s">
        <v>2981</v>
      </c>
      <c r="U111" s="130"/>
      <c r="V111" s="131"/>
      <c r="W111" s="132">
        <v>44601</v>
      </c>
      <c r="X111" s="132">
        <v>44601</v>
      </c>
      <c r="Y111" s="132"/>
      <c r="Z111" s="132"/>
      <c r="AA111" s="132"/>
      <c r="AB111" s="133" t="s">
        <v>1395</v>
      </c>
      <c r="AC111" s="126" t="s">
        <v>64</v>
      </c>
      <c r="AD111" s="134" t="s">
        <v>154</v>
      </c>
      <c r="AE111" s="134" t="s">
        <v>1330</v>
      </c>
      <c r="AF111" s="134"/>
      <c r="AG111" s="134">
        <v>44554</v>
      </c>
      <c r="AH111" s="134"/>
      <c r="AI111" s="134">
        <f t="shared" ca="1" si="16"/>
        <v>44963</v>
      </c>
      <c r="AJ111" s="126">
        <f t="shared" ca="1" si="17"/>
        <v>409</v>
      </c>
      <c r="AK111" s="126" t="str">
        <f t="shared" si="18"/>
        <v/>
      </c>
      <c r="AL111" s="134"/>
      <c r="AM111" s="143" t="s">
        <v>1513</v>
      </c>
      <c r="AN111" s="129">
        <v>11.945</v>
      </c>
      <c r="AO111" s="129">
        <v>11.955</v>
      </c>
      <c r="AP111" s="129">
        <v>11.979999999999999</v>
      </c>
      <c r="AQ111" s="129">
        <v>11.984999999999999</v>
      </c>
      <c r="AR111" s="126">
        <f t="shared" ca="1" si="19"/>
        <v>362</v>
      </c>
      <c r="AU111" s="99" t="s">
        <v>136</v>
      </c>
    </row>
    <row r="112" spans="1:47" s="99" customFormat="1" ht="21" customHeight="1" x14ac:dyDescent="0.35">
      <c r="A112" s="99">
        <v>422</v>
      </c>
      <c r="B112" s="126" t="str">
        <f t="shared" si="15"/>
        <v>0-304/2B-001X770</v>
      </c>
      <c r="C112" s="126" t="s">
        <v>3272</v>
      </c>
      <c r="D112" s="126" t="s">
        <v>3026</v>
      </c>
      <c r="E112" s="143" t="s">
        <v>2620</v>
      </c>
      <c r="F112" s="143" t="s">
        <v>3277</v>
      </c>
      <c r="G112" s="126">
        <v>304</v>
      </c>
      <c r="H112" s="126" t="s">
        <v>116</v>
      </c>
      <c r="I112" s="127">
        <v>3.48</v>
      </c>
      <c r="J112" s="127">
        <v>1.2</v>
      </c>
      <c r="K112" s="127">
        <v>1.2</v>
      </c>
      <c r="L112" s="127">
        <v>1.23</v>
      </c>
      <c r="M112" s="144">
        <v>770</v>
      </c>
      <c r="N112" s="129">
        <v>10.44</v>
      </c>
      <c r="O112" s="129">
        <f>5.2+5.2</f>
        <v>10.4</v>
      </c>
      <c r="P112" s="129"/>
      <c r="Q112" s="129"/>
      <c r="R112" s="129" t="s">
        <v>116</v>
      </c>
      <c r="S112" s="284" t="s">
        <v>3274</v>
      </c>
      <c r="T112" s="130" t="s">
        <v>2981</v>
      </c>
      <c r="U112" s="130"/>
      <c r="V112" s="131"/>
      <c r="W112" s="132">
        <v>44601</v>
      </c>
      <c r="X112" s="132">
        <v>44601</v>
      </c>
      <c r="Y112" s="132"/>
      <c r="Z112" s="132"/>
      <c r="AA112" s="132"/>
      <c r="AB112" s="133"/>
      <c r="AC112" s="126" t="s">
        <v>64</v>
      </c>
      <c r="AD112" s="134" t="s">
        <v>154</v>
      </c>
      <c r="AE112" s="134" t="s">
        <v>1256</v>
      </c>
      <c r="AF112" s="134"/>
      <c r="AG112" s="134">
        <v>44516</v>
      </c>
      <c r="AH112" s="134"/>
      <c r="AI112" s="134">
        <f t="shared" ca="1" si="16"/>
        <v>44963</v>
      </c>
      <c r="AJ112" s="126">
        <f t="shared" ca="1" si="17"/>
        <v>447</v>
      </c>
      <c r="AK112" s="126" t="str">
        <f t="shared" si="18"/>
        <v/>
      </c>
      <c r="AL112" s="134"/>
      <c r="AM112" s="143" t="s">
        <v>2622</v>
      </c>
      <c r="AN112" s="129">
        <v>10.43</v>
      </c>
      <c r="AO112" s="129">
        <v>10.44</v>
      </c>
      <c r="AP112" s="129">
        <v>10.464999999999998</v>
      </c>
      <c r="AQ112" s="129">
        <v>10.469999999999999</v>
      </c>
      <c r="AR112" s="126">
        <f t="shared" ca="1" si="19"/>
        <v>362</v>
      </c>
      <c r="AU112" s="99" t="s">
        <v>136</v>
      </c>
    </row>
    <row r="113" spans="1:47" s="99" customFormat="1" ht="21" customHeight="1" x14ac:dyDescent="0.35">
      <c r="A113" s="99">
        <v>424</v>
      </c>
      <c r="B113" s="126" t="str">
        <f t="shared" si="15"/>
        <v>0-304L/2B-001X770</v>
      </c>
      <c r="C113" s="126" t="s">
        <v>3272</v>
      </c>
      <c r="D113" s="126" t="s">
        <v>3026</v>
      </c>
      <c r="E113" s="143" t="s">
        <v>2606</v>
      </c>
      <c r="F113" s="143" t="s">
        <v>3278</v>
      </c>
      <c r="G113" s="126" t="s">
        <v>230</v>
      </c>
      <c r="H113" s="126" t="s">
        <v>116</v>
      </c>
      <c r="I113" s="127">
        <v>3.37</v>
      </c>
      <c r="J113" s="127">
        <v>1.2</v>
      </c>
      <c r="K113" s="127">
        <v>1.91</v>
      </c>
      <c r="L113" s="127">
        <v>1.21</v>
      </c>
      <c r="M113" s="144">
        <v>770</v>
      </c>
      <c r="N113" s="129">
        <v>10.425000000000001</v>
      </c>
      <c r="O113" s="129">
        <f>5.18+5.2</f>
        <v>10.379999999999999</v>
      </c>
      <c r="P113" s="129"/>
      <c r="Q113" s="129"/>
      <c r="R113" s="129" t="s">
        <v>116</v>
      </c>
      <c r="S113" s="284" t="s">
        <v>3274</v>
      </c>
      <c r="T113" s="130" t="s">
        <v>2981</v>
      </c>
      <c r="U113" s="130"/>
      <c r="V113" s="131"/>
      <c r="W113" s="132">
        <v>44600</v>
      </c>
      <c r="X113" s="132">
        <v>44600</v>
      </c>
      <c r="Y113" s="132"/>
      <c r="Z113" s="132"/>
      <c r="AA113" s="132"/>
      <c r="AB113" s="133" t="s">
        <v>1395</v>
      </c>
      <c r="AC113" s="126" t="s">
        <v>64</v>
      </c>
      <c r="AD113" s="134" t="s">
        <v>154</v>
      </c>
      <c r="AE113" s="134" t="s">
        <v>1516</v>
      </c>
      <c r="AF113" s="134"/>
      <c r="AG113" s="134">
        <v>44554</v>
      </c>
      <c r="AH113" s="134"/>
      <c r="AI113" s="134">
        <f t="shared" ca="1" si="16"/>
        <v>44963</v>
      </c>
      <c r="AJ113" s="126">
        <f t="shared" ca="1" si="17"/>
        <v>409</v>
      </c>
      <c r="AK113" s="126" t="str">
        <f t="shared" si="18"/>
        <v/>
      </c>
      <c r="AL113" s="134"/>
      <c r="AM113" s="143" t="s">
        <v>2608</v>
      </c>
      <c r="AN113" s="129">
        <v>10.414999999999999</v>
      </c>
      <c r="AO113" s="129">
        <v>10.425000000000001</v>
      </c>
      <c r="AP113" s="129">
        <v>10.45</v>
      </c>
      <c r="AQ113" s="129">
        <v>10.455</v>
      </c>
      <c r="AR113" s="126">
        <f t="shared" ca="1" si="19"/>
        <v>363</v>
      </c>
      <c r="AU113" s="99" t="s">
        <v>136</v>
      </c>
    </row>
    <row r="114" spans="1:47" s="99" customFormat="1" ht="21" customHeight="1" x14ac:dyDescent="0.35">
      <c r="A114" s="99">
        <v>422</v>
      </c>
      <c r="B114" s="126" t="str">
        <f t="shared" si="15"/>
        <v>0-304L/2B-002X770</v>
      </c>
      <c r="C114" s="126" t="s">
        <v>3272</v>
      </c>
      <c r="D114" s="126" t="s">
        <v>3026</v>
      </c>
      <c r="E114" s="143" t="s">
        <v>2616</v>
      </c>
      <c r="F114" s="143" t="s">
        <v>3279</v>
      </c>
      <c r="G114" s="126" t="s">
        <v>230</v>
      </c>
      <c r="H114" s="126" t="s">
        <v>116</v>
      </c>
      <c r="I114" s="127">
        <v>3.81</v>
      </c>
      <c r="J114" s="127">
        <v>1.5</v>
      </c>
      <c r="K114" s="127">
        <v>1.49</v>
      </c>
      <c r="L114" s="127">
        <v>1.51</v>
      </c>
      <c r="M114" s="144">
        <v>770</v>
      </c>
      <c r="N114" s="129">
        <v>11.975</v>
      </c>
      <c r="O114" s="129">
        <f>6.005+5.91</f>
        <v>11.914999999999999</v>
      </c>
      <c r="P114" s="129"/>
      <c r="Q114" s="129"/>
      <c r="R114" s="129" t="s">
        <v>116</v>
      </c>
      <c r="S114" s="284" t="s">
        <v>3274</v>
      </c>
      <c r="T114" s="130" t="s">
        <v>2981</v>
      </c>
      <c r="U114" s="130"/>
      <c r="V114" s="131"/>
      <c r="W114" s="132">
        <v>44601</v>
      </c>
      <c r="X114" s="132">
        <v>44601</v>
      </c>
      <c r="Y114" s="132"/>
      <c r="Z114" s="132"/>
      <c r="AA114" s="132"/>
      <c r="AB114" s="133"/>
      <c r="AC114" s="126" t="s">
        <v>64</v>
      </c>
      <c r="AD114" s="134" t="s">
        <v>154</v>
      </c>
      <c r="AE114" s="134" t="s">
        <v>1296</v>
      </c>
      <c r="AF114" s="134"/>
      <c r="AG114" s="134">
        <v>44516</v>
      </c>
      <c r="AH114" s="134"/>
      <c r="AI114" s="134">
        <f t="shared" ca="1" si="16"/>
        <v>44963</v>
      </c>
      <c r="AJ114" s="126">
        <f t="shared" ca="1" si="17"/>
        <v>447</v>
      </c>
      <c r="AK114" s="126" t="str">
        <f t="shared" si="18"/>
        <v/>
      </c>
      <c r="AL114" s="134"/>
      <c r="AM114" s="143" t="s">
        <v>2618</v>
      </c>
      <c r="AN114" s="129">
        <v>11.95</v>
      </c>
      <c r="AO114" s="129">
        <v>11.96</v>
      </c>
      <c r="AP114" s="129">
        <v>11.984999999999999</v>
      </c>
      <c r="AQ114" s="129">
        <v>11.99</v>
      </c>
      <c r="AR114" s="126">
        <f t="shared" ca="1" si="19"/>
        <v>362</v>
      </c>
      <c r="AU114" s="99" t="s">
        <v>136</v>
      </c>
    </row>
    <row r="115" spans="1:47" s="99" customFormat="1" ht="21" customHeight="1" x14ac:dyDescent="0.35">
      <c r="A115" s="99">
        <v>424</v>
      </c>
      <c r="B115" s="126" t="str">
        <f t="shared" si="15"/>
        <v>0-304L/2B-001X769</v>
      </c>
      <c r="C115" s="126" t="s">
        <v>3272</v>
      </c>
      <c r="D115" s="126" t="s">
        <v>3026</v>
      </c>
      <c r="E115" s="143" t="s">
        <v>2609</v>
      </c>
      <c r="F115" s="143" t="s">
        <v>3280</v>
      </c>
      <c r="G115" s="126" t="s">
        <v>230</v>
      </c>
      <c r="H115" s="126" t="s">
        <v>116</v>
      </c>
      <c r="I115" s="127">
        <v>3.37</v>
      </c>
      <c r="J115" s="127">
        <v>1.2</v>
      </c>
      <c r="K115" s="127">
        <v>1.2</v>
      </c>
      <c r="L115" s="127">
        <v>1.22</v>
      </c>
      <c r="M115" s="144">
        <v>769</v>
      </c>
      <c r="N115" s="129">
        <v>10.404999999999999</v>
      </c>
      <c r="O115" s="129">
        <f>5.175+5.175</f>
        <v>10.35</v>
      </c>
      <c r="P115" s="129"/>
      <c r="Q115" s="129">
        <v>7.0000000000000001E-3</v>
      </c>
      <c r="R115" s="129" t="s">
        <v>116</v>
      </c>
      <c r="S115" s="284" t="s">
        <v>3274</v>
      </c>
      <c r="T115" s="130" t="s">
        <v>2981</v>
      </c>
      <c r="U115" s="130"/>
      <c r="V115" s="131"/>
      <c r="W115" s="132">
        <v>44600</v>
      </c>
      <c r="X115" s="132">
        <v>44601</v>
      </c>
      <c r="Y115" s="132"/>
      <c r="Z115" s="132"/>
      <c r="AA115" s="132"/>
      <c r="AB115" s="133" t="s">
        <v>1395</v>
      </c>
      <c r="AC115" s="126" t="s">
        <v>64</v>
      </c>
      <c r="AD115" s="134" t="s">
        <v>154</v>
      </c>
      <c r="AE115" s="134" t="s">
        <v>1516</v>
      </c>
      <c r="AF115" s="134"/>
      <c r="AG115" s="134">
        <v>44554</v>
      </c>
      <c r="AH115" s="134"/>
      <c r="AI115" s="134">
        <f t="shared" ca="1" si="16"/>
        <v>44963</v>
      </c>
      <c r="AJ115" s="126">
        <f t="shared" ca="1" si="17"/>
        <v>409</v>
      </c>
      <c r="AK115" s="126" t="str">
        <f t="shared" si="18"/>
        <v/>
      </c>
      <c r="AL115" s="134"/>
      <c r="AM115" s="143" t="s">
        <v>2611</v>
      </c>
      <c r="AN115" s="129">
        <v>10.385</v>
      </c>
      <c r="AO115" s="129">
        <v>10.395</v>
      </c>
      <c r="AP115" s="129">
        <v>10.419999999999998</v>
      </c>
      <c r="AQ115" s="129">
        <v>10.424999999999999</v>
      </c>
      <c r="AR115" s="126">
        <f t="shared" ca="1" si="19"/>
        <v>362</v>
      </c>
      <c r="AU115" s="99" t="s">
        <v>136</v>
      </c>
    </row>
    <row r="116" spans="1:47" s="99" customFormat="1" ht="21" customHeight="1" x14ac:dyDescent="0.35">
      <c r="A116" s="99">
        <v>424</v>
      </c>
      <c r="B116" s="126" t="str">
        <f t="shared" si="15"/>
        <v>0-304/2B-002X770</v>
      </c>
      <c r="C116" s="126" t="s">
        <v>3272</v>
      </c>
      <c r="D116" s="126" t="s">
        <v>3026</v>
      </c>
      <c r="E116" s="143" t="s">
        <v>2623</v>
      </c>
      <c r="F116" s="143" t="s">
        <v>3281</v>
      </c>
      <c r="G116" s="126">
        <v>304</v>
      </c>
      <c r="H116" s="126" t="s">
        <v>116</v>
      </c>
      <c r="I116" s="127">
        <v>3.64</v>
      </c>
      <c r="J116" s="127">
        <v>1.5</v>
      </c>
      <c r="K116" s="127">
        <v>1.48</v>
      </c>
      <c r="L116" s="127">
        <v>1.5</v>
      </c>
      <c r="M116" s="144">
        <v>770</v>
      </c>
      <c r="N116" s="129">
        <v>12.015000000000001</v>
      </c>
      <c r="O116" s="129">
        <f>4.005+4.005+3.93</f>
        <v>11.94</v>
      </c>
      <c r="P116" s="129"/>
      <c r="Q116" s="129">
        <v>4.0000000000000001E-3</v>
      </c>
      <c r="R116" s="129" t="s">
        <v>116</v>
      </c>
      <c r="S116" s="284" t="s">
        <v>3274</v>
      </c>
      <c r="T116" s="130" t="s">
        <v>2981</v>
      </c>
      <c r="U116" s="130"/>
      <c r="V116" s="131"/>
      <c r="W116" s="132">
        <v>44601</v>
      </c>
      <c r="X116" s="132">
        <v>44601</v>
      </c>
      <c r="Y116" s="132"/>
      <c r="Z116" s="132"/>
      <c r="AA116" s="132"/>
      <c r="AB116" s="133" t="s">
        <v>1395</v>
      </c>
      <c r="AC116" s="126" t="s">
        <v>64</v>
      </c>
      <c r="AD116" s="134" t="s">
        <v>154</v>
      </c>
      <c r="AE116" s="134" t="s">
        <v>1330</v>
      </c>
      <c r="AF116" s="134"/>
      <c r="AG116" s="134">
        <v>44554</v>
      </c>
      <c r="AH116" s="134"/>
      <c r="AI116" s="134">
        <f t="shared" ca="1" si="16"/>
        <v>44963</v>
      </c>
      <c r="AJ116" s="126">
        <f t="shared" ca="1" si="17"/>
        <v>409</v>
      </c>
      <c r="AK116" s="126" t="str">
        <f t="shared" si="18"/>
        <v/>
      </c>
      <c r="AL116" s="134"/>
      <c r="AM116" s="143" t="s">
        <v>2625</v>
      </c>
      <c r="AN116" s="129">
        <v>11.99</v>
      </c>
      <c r="AO116" s="129">
        <v>12</v>
      </c>
      <c r="AP116" s="129">
        <v>12.024999999999999</v>
      </c>
      <c r="AQ116" s="129">
        <v>12.03</v>
      </c>
      <c r="AR116" s="126">
        <f t="shared" ca="1" si="19"/>
        <v>362</v>
      </c>
      <c r="AU116" s="99" t="s">
        <v>136</v>
      </c>
    </row>
    <row r="117" spans="1:47" s="99" customFormat="1" ht="21" customHeight="1" x14ac:dyDescent="0.35">
      <c r="A117" s="99">
        <v>421</v>
      </c>
      <c r="B117" s="126" t="str">
        <f t="shared" si="15"/>
        <v>0-304L/2B-001X770</v>
      </c>
      <c r="C117" s="126" t="s">
        <v>3272</v>
      </c>
      <c r="D117" s="126" t="s">
        <v>3026</v>
      </c>
      <c r="E117" s="143" t="s">
        <v>2612</v>
      </c>
      <c r="F117" s="143" t="s">
        <v>3282</v>
      </c>
      <c r="G117" s="126" t="s">
        <v>230</v>
      </c>
      <c r="H117" s="126" t="s">
        <v>116</v>
      </c>
      <c r="I117" s="127">
        <v>3.5</v>
      </c>
      <c r="J117" s="127">
        <v>1.2</v>
      </c>
      <c r="K117" s="127">
        <v>1.18</v>
      </c>
      <c r="L117" s="127">
        <v>1.19</v>
      </c>
      <c r="M117" s="144">
        <v>770</v>
      </c>
      <c r="N117" s="129">
        <v>10.365</v>
      </c>
      <c r="O117" s="129">
        <f>5.19+5.125</f>
        <v>10.315000000000001</v>
      </c>
      <c r="P117" s="129"/>
      <c r="Q117" s="129">
        <v>7.0000000000000001E-3</v>
      </c>
      <c r="R117" s="129" t="s">
        <v>116</v>
      </c>
      <c r="S117" s="284" t="s">
        <v>3274</v>
      </c>
      <c r="T117" s="130" t="s">
        <v>2981</v>
      </c>
      <c r="U117" s="130"/>
      <c r="V117" s="131"/>
      <c r="W117" s="132">
        <v>44600</v>
      </c>
      <c r="X117" s="132">
        <v>44601</v>
      </c>
      <c r="Y117" s="132"/>
      <c r="Z117" s="132"/>
      <c r="AA117" s="132"/>
      <c r="AB117" s="133"/>
      <c r="AC117" s="126" t="s">
        <v>64</v>
      </c>
      <c r="AD117" s="134" t="s">
        <v>154</v>
      </c>
      <c r="AE117" s="134" t="s">
        <v>1256</v>
      </c>
      <c r="AF117" s="134"/>
      <c r="AG117" s="134">
        <v>44496</v>
      </c>
      <c r="AH117" s="134"/>
      <c r="AI117" s="134">
        <f t="shared" ca="1" si="16"/>
        <v>44963</v>
      </c>
      <c r="AJ117" s="126">
        <f t="shared" ca="1" si="17"/>
        <v>467</v>
      </c>
      <c r="AK117" s="126" t="str">
        <f t="shared" si="18"/>
        <v/>
      </c>
      <c r="AL117" s="134"/>
      <c r="AM117" s="143" t="s">
        <v>2614</v>
      </c>
      <c r="AN117" s="129">
        <v>10.34</v>
      </c>
      <c r="AO117" s="129">
        <v>10.35</v>
      </c>
      <c r="AP117" s="129">
        <v>10.374999999999998</v>
      </c>
      <c r="AQ117" s="129">
        <v>10.379999999999999</v>
      </c>
      <c r="AR117" s="126">
        <f t="shared" ca="1" si="19"/>
        <v>362</v>
      </c>
      <c r="AU117" s="99" t="s">
        <v>136</v>
      </c>
    </row>
    <row r="118" spans="1:47" s="99" customFormat="1" ht="21" customHeight="1" x14ac:dyDescent="0.35">
      <c r="A118" s="99">
        <v>421</v>
      </c>
      <c r="B118" s="126" t="str">
        <f t="shared" si="15"/>
        <v>0-304L/2B-002X770</v>
      </c>
      <c r="C118" s="126" t="s">
        <v>3283</v>
      </c>
      <c r="D118" s="126" t="s">
        <v>3026</v>
      </c>
      <c r="E118" s="143" t="s">
        <v>2637</v>
      </c>
      <c r="F118" s="143" t="s">
        <v>3284</v>
      </c>
      <c r="G118" s="126" t="s">
        <v>230</v>
      </c>
      <c r="H118" s="126" t="s">
        <v>116</v>
      </c>
      <c r="I118" s="127">
        <v>3.79</v>
      </c>
      <c r="J118" s="127">
        <v>1.5</v>
      </c>
      <c r="K118" s="127">
        <v>1.47</v>
      </c>
      <c r="L118" s="127">
        <v>1.49</v>
      </c>
      <c r="M118" s="144">
        <v>770</v>
      </c>
      <c r="N118" s="129">
        <v>10.38</v>
      </c>
      <c r="O118" s="129">
        <f>5.17+5.155</f>
        <v>10.324999999999999</v>
      </c>
      <c r="P118" s="129"/>
      <c r="Q118" s="129"/>
      <c r="R118" s="129" t="s">
        <v>116</v>
      </c>
      <c r="S118" s="284" t="s">
        <v>3285</v>
      </c>
      <c r="T118" s="130" t="s">
        <v>2985</v>
      </c>
      <c r="U118" s="130"/>
      <c r="V118" s="131"/>
      <c r="W118" s="132">
        <v>44601</v>
      </c>
      <c r="X118" s="132">
        <v>44601</v>
      </c>
      <c r="Y118" s="132"/>
      <c r="Z118" s="132"/>
      <c r="AA118" s="132"/>
      <c r="AB118" s="133"/>
      <c r="AC118" s="126" t="s">
        <v>64</v>
      </c>
      <c r="AD118" s="134" t="s">
        <v>154</v>
      </c>
      <c r="AE118" s="134" t="s">
        <v>1256</v>
      </c>
      <c r="AF118" s="134"/>
      <c r="AG118" s="134">
        <v>44496</v>
      </c>
      <c r="AH118" s="134"/>
      <c r="AI118" s="134">
        <f t="shared" ca="1" si="16"/>
        <v>44963</v>
      </c>
      <c r="AJ118" s="126">
        <f t="shared" ca="1" si="17"/>
        <v>467</v>
      </c>
      <c r="AK118" s="126" t="str">
        <f t="shared" si="18"/>
        <v/>
      </c>
      <c r="AL118" s="134"/>
      <c r="AM118" s="143" t="s">
        <v>2639</v>
      </c>
      <c r="AN118" s="129">
        <v>10.365</v>
      </c>
      <c r="AO118" s="129">
        <v>10.375</v>
      </c>
      <c r="AP118" s="129">
        <v>10.399999999999999</v>
      </c>
      <c r="AQ118" s="129">
        <v>10.404999999999999</v>
      </c>
      <c r="AR118" s="126">
        <f t="shared" ca="1" si="19"/>
        <v>362</v>
      </c>
      <c r="AU118" s="99" t="s">
        <v>136</v>
      </c>
    </row>
    <row r="119" spans="1:47" s="99" customFormat="1" ht="21" customHeight="1" x14ac:dyDescent="0.35">
      <c r="A119" s="99">
        <v>421</v>
      </c>
      <c r="B119" s="126" t="str">
        <f t="shared" si="15"/>
        <v>0-304/2B-001X770</v>
      </c>
      <c r="C119" s="126" t="s">
        <v>3283</v>
      </c>
      <c r="D119" s="126" t="s">
        <v>3026</v>
      </c>
      <c r="E119" s="143" t="s">
        <v>2631</v>
      </c>
      <c r="F119" s="143" t="s">
        <v>3286</v>
      </c>
      <c r="G119" s="126">
        <v>304</v>
      </c>
      <c r="H119" s="126" t="s">
        <v>116</v>
      </c>
      <c r="I119" s="127">
        <v>3.17</v>
      </c>
      <c r="J119" s="127">
        <v>1.2</v>
      </c>
      <c r="K119" s="127">
        <v>1.2</v>
      </c>
      <c r="L119" s="127">
        <v>1.22</v>
      </c>
      <c r="M119" s="144">
        <v>770</v>
      </c>
      <c r="N119" s="129">
        <v>9.4949999999999992</v>
      </c>
      <c r="O119" s="129">
        <f>4.67+4.775</f>
        <v>9.4450000000000003</v>
      </c>
      <c r="P119" s="129"/>
      <c r="Q119" s="129"/>
      <c r="R119" s="129" t="s">
        <v>116</v>
      </c>
      <c r="S119" s="284" t="s">
        <v>3285</v>
      </c>
      <c r="T119" s="130" t="s">
        <v>2985</v>
      </c>
      <c r="U119" s="130"/>
      <c r="V119" s="131"/>
      <c r="W119" s="132">
        <v>44601</v>
      </c>
      <c r="X119" s="132">
        <v>44601</v>
      </c>
      <c r="Y119" s="132"/>
      <c r="Z119" s="132"/>
      <c r="AA119" s="132"/>
      <c r="AB119" s="133"/>
      <c r="AC119" s="126" t="s">
        <v>64</v>
      </c>
      <c r="AD119" s="134" t="s">
        <v>154</v>
      </c>
      <c r="AE119" s="134" t="s">
        <v>1239</v>
      </c>
      <c r="AF119" s="134"/>
      <c r="AG119" s="134">
        <v>44496</v>
      </c>
      <c r="AH119" s="134"/>
      <c r="AI119" s="134">
        <f t="shared" ca="1" si="16"/>
        <v>44963</v>
      </c>
      <c r="AJ119" s="126">
        <f t="shared" ca="1" si="17"/>
        <v>467</v>
      </c>
      <c r="AK119" s="126" t="str">
        <f t="shared" si="18"/>
        <v/>
      </c>
      <c r="AL119" s="134"/>
      <c r="AM119" s="143" t="s">
        <v>2633</v>
      </c>
      <c r="AN119" s="129">
        <v>9.48</v>
      </c>
      <c r="AO119" s="129">
        <v>9.49</v>
      </c>
      <c r="AP119" s="129">
        <v>9.5149999999999988</v>
      </c>
      <c r="AQ119" s="129">
        <v>9.52</v>
      </c>
      <c r="AR119" s="126">
        <f t="shared" ca="1" si="19"/>
        <v>362</v>
      </c>
      <c r="AU119" s="99" t="s">
        <v>136</v>
      </c>
    </row>
    <row r="120" spans="1:47" s="99" customFormat="1" ht="21" customHeight="1" x14ac:dyDescent="0.35">
      <c r="A120" s="99">
        <v>421</v>
      </c>
      <c r="B120" s="126" t="str">
        <f t="shared" si="15"/>
        <v>0-304/2B-002X770</v>
      </c>
      <c r="C120" s="126" t="s">
        <v>3283</v>
      </c>
      <c r="D120" s="126" t="s">
        <v>3026</v>
      </c>
      <c r="E120" s="143" t="s">
        <v>2634</v>
      </c>
      <c r="F120" s="143" t="s">
        <v>3287</v>
      </c>
      <c r="G120" s="126">
        <v>304</v>
      </c>
      <c r="H120" s="126" t="s">
        <v>116</v>
      </c>
      <c r="I120" s="127">
        <v>3.96</v>
      </c>
      <c r="J120" s="127">
        <v>1.5</v>
      </c>
      <c r="K120" s="127">
        <v>1.48</v>
      </c>
      <c r="L120" s="127">
        <v>1.5</v>
      </c>
      <c r="M120" s="144">
        <v>770</v>
      </c>
      <c r="N120" s="129">
        <v>10.08</v>
      </c>
      <c r="O120" s="129">
        <f>5.035+4.99</f>
        <v>10.025</v>
      </c>
      <c r="P120" s="129"/>
      <c r="Q120" s="129"/>
      <c r="R120" s="129" t="s">
        <v>116</v>
      </c>
      <c r="S120" s="284" t="s">
        <v>3285</v>
      </c>
      <c r="T120" s="130" t="s">
        <v>2985</v>
      </c>
      <c r="U120" s="130"/>
      <c r="V120" s="131"/>
      <c r="W120" s="132">
        <v>44601</v>
      </c>
      <c r="X120" s="132">
        <v>44601</v>
      </c>
      <c r="Y120" s="132"/>
      <c r="Z120" s="132"/>
      <c r="AA120" s="132"/>
      <c r="AB120" s="133"/>
      <c r="AC120" s="126" t="s">
        <v>64</v>
      </c>
      <c r="AD120" s="134" t="s">
        <v>154</v>
      </c>
      <c r="AE120" s="134" t="s">
        <v>1256</v>
      </c>
      <c r="AF120" s="134"/>
      <c r="AG120" s="134">
        <v>44496</v>
      </c>
      <c r="AH120" s="134"/>
      <c r="AI120" s="134">
        <f t="shared" ca="1" si="16"/>
        <v>44963</v>
      </c>
      <c r="AJ120" s="126">
        <f t="shared" ca="1" si="17"/>
        <v>467</v>
      </c>
      <c r="AK120" s="126" t="str">
        <f t="shared" si="18"/>
        <v/>
      </c>
      <c r="AL120" s="134"/>
      <c r="AM120" s="143" t="s">
        <v>2636</v>
      </c>
      <c r="AN120" s="129">
        <v>10.08</v>
      </c>
      <c r="AO120" s="129">
        <v>10.09</v>
      </c>
      <c r="AP120" s="129">
        <v>10.114999999999998</v>
      </c>
      <c r="AQ120" s="129">
        <v>10.119999999999999</v>
      </c>
      <c r="AR120" s="126">
        <f t="shared" ca="1" si="19"/>
        <v>362</v>
      </c>
      <c r="AU120" s="99" t="s">
        <v>136</v>
      </c>
    </row>
    <row r="121" spans="1:47" s="99" customFormat="1" ht="21" customHeight="1" x14ac:dyDescent="0.35">
      <c r="A121" s="99">
        <v>421</v>
      </c>
      <c r="B121" s="126" t="str">
        <f t="shared" si="15"/>
        <v>0-304/2B-001X770</v>
      </c>
      <c r="C121" s="126" t="s">
        <v>3283</v>
      </c>
      <c r="D121" s="126" t="s">
        <v>3026</v>
      </c>
      <c r="E121" s="143" t="s">
        <v>2640</v>
      </c>
      <c r="F121" s="143" t="s">
        <v>3288</v>
      </c>
      <c r="G121" s="126">
        <v>304</v>
      </c>
      <c r="H121" s="126" t="s">
        <v>116</v>
      </c>
      <c r="I121" s="127">
        <v>3.2</v>
      </c>
      <c r="J121" s="127">
        <v>1.2</v>
      </c>
      <c r="K121" s="127">
        <v>1.21</v>
      </c>
      <c r="L121" s="127">
        <v>1.23</v>
      </c>
      <c r="M121" s="144">
        <v>770</v>
      </c>
      <c r="N121" s="129">
        <v>10.475</v>
      </c>
      <c r="O121" s="129">
        <f>5.21+5.185</f>
        <v>10.395</v>
      </c>
      <c r="P121" s="129">
        <v>4.4999999999999998E-2</v>
      </c>
      <c r="Q121" s="129"/>
      <c r="R121" s="129" t="s">
        <v>116</v>
      </c>
      <c r="S121" s="284" t="s">
        <v>3285</v>
      </c>
      <c r="T121" s="130" t="s">
        <v>2985</v>
      </c>
      <c r="U121" s="130"/>
      <c r="V121" s="131"/>
      <c r="W121" s="132">
        <v>44601</v>
      </c>
      <c r="X121" s="132">
        <v>44601</v>
      </c>
      <c r="Y121" s="132"/>
      <c r="Z121" s="132"/>
      <c r="AA121" s="132"/>
      <c r="AB121" s="133"/>
      <c r="AC121" s="126" t="s">
        <v>64</v>
      </c>
      <c r="AD121" s="134" t="s">
        <v>154</v>
      </c>
      <c r="AE121" s="134" t="s">
        <v>1246</v>
      </c>
      <c r="AF121" s="134"/>
      <c r="AG121" s="134">
        <v>44496</v>
      </c>
      <c r="AH121" s="134"/>
      <c r="AI121" s="134">
        <f t="shared" ca="1" si="16"/>
        <v>44963</v>
      </c>
      <c r="AJ121" s="126">
        <f t="shared" ca="1" si="17"/>
        <v>467</v>
      </c>
      <c r="AK121" s="126" t="str">
        <f t="shared" si="18"/>
        <v/>
      </c>
      <c r="AL121" s="134"/>
      <c r="AM121" s="143" t="s">
        <v>2563</v>
      </c>
      <c r="AN121" s="129">
        <v>10.47</v>
      </c>
      <c r="AO121" s="129">
        <v>10.48</v>
      </c>
      <c r="AP121" s="129">
        <v>10.504999999999999</v>
      </c>
      <c r="AQ121" s="129">
        <v>10.51</v>
      </c>
      <c r="AR121" s="126">
        <f t="shared" ca="1" si="19"/>
        <v>362</v>
      </c>
      <c r="AU121" s="99" t="s">
        <v>136</v>
      </c>
    </row>
    <row r="122" spans="1:47" s="99" customFormat="1" ht="21" customHeight="1" x14ac:dyDescent="0.35">
      <c r="A122" s="99">
        <v>422</v>
      </c>
      <c r="B122" s="126" t="str">
        <f t="shared" si="15"/>
        <v>0-304L/2B-001X777</v>
      </c>
      <c r="C122" s="126" t="s">
        <v>3283</v>
      </c>
      <c r="D122" s="126" t="s">
        <v>3026</v>
      </c>
      <c r="E122" s="143" t="s">
        <v>2650</v>
      </c>
      <c r="F122" s="143" t="s">
        <v>3289</v>
      </c>
      <c r="G122" s="126" t="s">
        <v>230</v>
      </c>
      <c r="H122" s="126" t="s">
        <v>116</v>
      </c>
      <c r="I122" s="127">
        <v>2.91</v>
      </c>
      <c r="J122" s="127">
        <v>1</v>
      </c>
      <c r="K122" s="127">
        <v>1.01</v>
      </c>
      <c r="L122" s="127">
        <v>1.03</v>
      </c>
      <c r="M122" s="144">
        <v>777</v>
      </c>
      <c r="N122" s="129">
        <v>8.4700000000000006</v>
      </c>
      <c r="O122" s="129">
        <f>4.145+4.295</f>
        <v>8.44</v>
      </c>
      <c r="P122" s="129"/>
      <c r="Q122" s="129">
        <v>3.0000000000000001E-3</v>
      </c>
      <c r="R122" s="129" t="s">
        <v>116</v>
      </c>
      <c r="S122" s="284" t="s">
        <v>3285</v>
      </c>
      <c r="T122" s="130" t="s">
        <v>2985</v>
      </c>
      <c r="U122" s="130"/>
      <c r="V122" s="131"/>
      <c r="W122" s="132">
        <v>44578</v>
      </c>
      <c r="X122" s="132">
        <v>44601</v>
      </c>
      <c r="Y122" s="132"/>
      <c r="Z122" s="132"/>
      <c r="AA122" s="132"/>
      <c r="AB122" s="133"/>
      <c r="AC122" s="126" t="s">
        <v>64</v>
      </c>
      <c r="AD122" s="134" t="s">
        <v>154</v>
      </c>
      <c r="AE122" s="134" t="s">
        <v>1330</v>
      </c>
      <c r="AF122" s="134"/>
      <c r="AG122" s="134">
        <v>44516</v>
      </c>
      <c r="AH122" s="134"/>
      <c r="AI122" s="134">
        <f t="shared" ca="1" si="16"/>
        <v>44963</v>
      </c>
      <c r="AJ122" s="126">
        <f t="shared" ca="1" si="17"/>
        <v>447</v>
      </c>
      <c r="AK122" s="126" t="str">
        <f t="shared" si="18"/>
        <v/>
      </c>
      <c r="AL122" s="134"/>
      <c r="AM122" s="143" t="s">
        <v>2652</v>
      </c>
      <c r="AN122" s="129">
        <v>8.4600000000000009</v>
      </c>
      <c r="AO122" s="129">
        <v>8.4700000000000006</v>
      </c>
      <c r="AP122" s="129">
        <v>8.4949999999999992</v>
      </c>
      <c r="AQ122" s="129">
        <v>8.5</v>
      </c>
      <c r="AR122" s="126">
        <f t="shared" ca="1" si="19"/>
        <v>362</v>
      </c>
      <c r="AU122" s="99" t="s">
        <v>136</v>
      </c>
    </row>
    <row r="123" spans="1:47" s="99" customFormat="1" ht="21" customHeight="1" x14ac:dyDescent="0.35">
      <c r="A123" s="99">
        <v>421</v>
      </c>
      <c r="B123" s="126" t="str">
        <f t="shared" si="15"/>
        <v>0-304L/2B-001X770</v>
      </c>
      <c r="C123" s="126" t="s">
        <v>3283</v>
      </c>
      <c r="D123" s="126" t="s">
        <v>3026</v>
      </c>
      <c r="E123" s="143" t="s">
        <v>2642</v>
      </c>
      <c r="F123" s="143" t="s">
        <v>3290</v>
      </c>
      <c r="G123" s="126" t="s">
        <v>230</v>
      </c>
      <c r="H123" s="126" t="s">
        <v>116</v>
      </c>
      <c r="I123" s="127">
        <v>3.19</v>
      </c>
      <c r="J123" s="127">
        <v>1.1499999999999999</v>
      </c>
      <c r="K123" s="127">
        <v>1.1499999999999999</v>
      </c>
      <c r="L123" s="127">
        <v>1.18</v>
      </c>
      <c r="M123" s="144">
        <v>770</v>
      </c>
      <c r="N123" s="129">
        <v>10.54</v>
      </c>
      <c r="O123" s="129">
        <f>5.985+4.515</f>
        <v>10.5</v>
      </c>
      <c r="P123" s="129"/>
      <c r="Q123" s="129">
        <v>1.4E-2</v>
      </c>
      <c r="R123" s="129" t="s">
        <v>116</v>
      </c>
      <c r="S123" s="284" t="s">
        <v>3291</v>
      </c>
      <c r="T123" s="130" t="s">
        <v>462</v>
      </c>
      <c r="U123" s="130"/>
      <c r="V123" s="131"/>
      <c r="W123" s="132">
        <v>44601</v>
      </c>
      <c r="X123" s="132">
        <v>44602</v>
      </c>
      <c r="Y123" s="132"/>
      <c r="Z123" s="132"/>
      <c r="AA123" s="132"/>
      <c r="AB123" s="133"/>
      <c r="AC123" s="126" t="s">
        <v>64</v>
      </c>
      <c r="AD123" s="134" t="s">
        <v>154</v>
      </c>
      <c r="AE123" s="134" t="s">
        <v>1246</v>
      </c>
      <c r="AF123" s="134"/>
      <c r="AG123" s="134">
        <v>44496</v>
      </c>
      <c r="AH123" s="134"/>
      <c r="AI123" s="134">
        <f t="shared" ca="1" si="16"/>
        <v>44963</v>
      </c>
      <c r="AJ123" s="126">
        <f t="shared" ca="1" si="17"/>
        <v>467</v>
      </c>
      <c r="AK123" s="126" t="str">
        <f t="shared" si="18"/>
        <v/>
      </c>
      <c r="AL123" s="134"/>
      <c r="AM123" s="143" t="s">
        <v>2630</v>
      </c>
      <c r="AN123" s="129">
        <v>10.53</v>
      </c>
      <c r="AO123" s="129">
        <v>10.54</v>
      </c>
      <c r="AP123" s="129">
        <v>10.564999999999998</v>
      </c>
      <c r="AQ123" s="129">
        <v>10.569999999999999</v>
      </c>
      <c r="AR123" s="126">
        <f t="shared" ca="1" si="19"/>
        <v>361</v>
      </c>
      <c r="AU123" s="99" t="s">
        <v>136</v>
      </c>
    </row>
    <row r="124" spans="1:47" s="682" customFormat="1" ht="21" customHeight="1" x14ac:dyDescent="0.35">
      <c r="A124" s="682">
        <v>424</v>
      </c>
      <c r="B124" s="683" t="str">
        <f t="shared" si="15"/>
        <v>0-304L/2B-001X770</v>
      </c>
      <c r="C124" s="683" t="s">
        <v>3292</v>
      </c>
      <c r="D124" s="683" t="s">
        <v>63</v>
      </c>
      <c r="E124" s="685" t="s">
        <v>2671</v>
      </c>
      <c r="F124" s="685" t="s">
        <v>3293</v>
      </c>
      <c r="G124" s="683" t="s">
        <v>230</v>
      </c>
      <c r="H124" s="683" t="s">
        <v>116</v>
      </c>
      <c r="I124" s="686">
        <v>3.78</v>
      </c>
      <c r="J124" s="686">
        <v>1.45</v>
      </c>
      <c r="K124" s="686">
        <v>1.4</v>
      </c>
      <c r="L124" s="686">
        <v>1.39</v>
      </c>
      <c r="M124" s="715">
        <v>770</v>
      </c>
      <c r="N124" s="822">
        <v>10.275</v>
      </c>
      <c r="O124" s="689">
        <v>5.3150000000000004</v>
      </c>
      <c r="P124" s="689"/>
      <c r="Q124" s="689"/>
      <c r="R124" s="689" t="s">
        <v>116</v>
      </c>
      <c r="S124" s="692"/>
      <c r="T124" s="716" t="s">
        <v>462</v>
      </c>
      <c r="U124" s="716"/>
      <c r="V124" s="717" t="s">
        <v>3294</v>
      </c>
      <c r="W124" s="695">
        <v>44602</v>
      </c>
      <c r="X124" s="695">
        <v>44602</v>
      </c>
      <c r="Y124" s="695"/>
      <c r="Z124" s="695"/>
      <c r="AA124" s="695"/>
      <c r="AB124" s="696" t="s">
        <v>1395</v>
      </c>
      <c r="AC124" s="683" t="s">
        <v>64</v>
      </c>
      <c r="AD124" s="697" t="s">
        <v>154</v>
      </c>
      <c r="AE124" s="697" t="s">
        <v>1330</v>
      </c>
      <c r="AF124" s="697"/>
      <c r="AG124" s="697">
        <v>44554</v>
      </c>
      <c r="AH124" s="697"/>
      <c r="AI124" s="697">
        <f t="shared" ca="1" si="16"/>
        <v>44963</v>
      </c>
      <c r="AJ124" s="683">
        <f t="shared" ca="1" si="17"/>
        <v>409</v>
      </c>
      <c r="AK124" s="683" t="str">
        <f t="shared" si="18"/>
        <v/>
      </c>
      <c r="AL124" s="697"/>
      <c r="AM124" s="685" t="s">
        <v>2673</v>
      </c>
      <c r="AN124" s="689">
        <v>10.265000000000001</v>
      </c>
      <c r="AO124" s="689">
        <v>10.275</v>
      </c>
      <c r="AP124" s="689">
        <v>10.299999999999999</v>
      </c>
      <c r="AQ124" s="689">
        <v>10.305</v>
      </c>
      <c r="AR124" s="683">
        <f t="shared" ca="1" si="19"/>
        <v>361</v>
      </c>
      <c r="AU124" s="682" t="s">
        <v>136</v>
      </c>
    </row>
    <row r="125" spans="1:47" s="682" customFormat="1" ht="21" customHeight="1" x14ac:dyDescent="0.35">
      <c r="A125" s="682">
        <v>424</v>
      </c>
      <c r="B125" s="683" t="str">
        <f t="shared" si="15"/>
        <v>0-304L/2B-001X770</v>
      </c>
      <c r="C125" s="683" t="s">
        <v>3283</v>
      </c>
      <c r="D125" s="683" t="s">
        <v>3026</v>
      </c>
      <c r="E125" s="685" t="s">
        <v>2671</v>
      </c>
      <c r="F125" s="685" t="s">
        <v>3295</v>
      </c>
      <c r="G125" s="683" t="s">
        <v>230</v>
      </c>
      <c r="H125" s="683" t="s">
        <v>116</v>
      </c>
      <c r="I125" s="686">
        <v>3.78</v>
      </c>
      <c r="J125" s="686">
        <v>1.45</v>
      </c>
      <c r="K125" s="686">
        <v>1.4</v>
      </c>
      <c r="L125" s="686">
        <v>1.39</v>
      </c>
      <c r="M125" s="715">
        <v>770</v>
      </c>
      <c r="N125" s="823"/>
      <c r="O125" s="689">
        <v>4.9050000000000002</v>
      </c>
      <c r="P125" s="689"/>
      <c r="Q125" s="689">
        <v>8.0000000000000002E-3</v>
      </c>
      <c r="R125" s="689" t="s">
        <v>116</v>
      </c>
      <c r="S125" s="692" t="s">
        <v>3291</v>
      </c>
      <c r="T125" s="716" t="s">
        <v>462</v>
      </c>
      <c r="U125" s="716"/>
      <c r="V125" s="717"/>
      <c r="W125" s="695">
        <v>44602</v>
      </c>
      <c r="X125" s="695">
        <v>44602</v>
      </c>
      <c r="Y125" s="695"/>
      <c r="Z125" s="695"/>
      <c r="AA125" s="695"/>
      <c r="AB125" s="696" t="s">
        <v>1395</v>
      </c>
      <c r="AC125" s="683" t="s">
        <v>64</v>
      </c>
      <c r="AD125" s="697" t="s">
        <v>154</v>
      </c>
      <c r="AE125" s="697" t="s">
        <v>1330</v>
      </c>
      <c r="AF125" s="697"/>
      <c r="AG125" s="697">
        <v>44554</v>
      </c>
      <c r="AH125" s="697"/>
      <c r="AI125" s="697">
        <f t="shared" ca="1" si="16"/>
        <v>44963</v>
      </c>
      <c r="AJ125" s="683">
        <f t="shared" ca="1" si="17"/>
        <v>409</v>
      </c>
      <c r="AK125" s="683" t="str">
        <f t="shared" si="18"/>
        <v/>
      </c>
      <c r="AL125" s="697"/>
      <c r="AM125" s="685" t="s">
        <v>2673</v>
      </c>
      <c r="AN125" s="689">
        <v>10.265000000000001</v>
      </c>
      <c r="AO125" s="689">
        <v>10.275</v>
      </c>
      <c r="AP125" s="689">
        <v>10.299999999999999</v>
      </c>
      <c r="AQ125" s="689">
        <v>10.305</v>
      </c>
      <c r="AR125" s="683">
        <f t="shared" ca="1" si="19"/>
        <v>361</v>
      </c>
      <c r="AU125" s="682" t="s">
        <v>136</v>
      </c>
    </row>
    <row r="126" spans="1:47" s="99" customFormat="1" ht="21" customHeight="1" x14ac:dyDescent="0.35">
      <c r="A126" s="99">
        <v>424</v>
      </c>
      <c r="B126" s="126" t="str">
        <f t="shared" si="15"/>
        <v>0-304L/2B-001X773</v>
      </c>
      <c r="C126" s="126" t="s">
        <v>3283</v>
      </c>
      <c r="D126" s="126" t="s">
        <v>3026</v>
      </c>
      <c r="E126" s="143" t="s">
        <v>2679</v>
      </c>
      <c r="F126" s="143" t="s">
        <v>3296</v>
      </c>
      <c r="G126" s="126" t="s">
        <v>230</v>
      </c>
      <c r="H126" s="126" t="s">
        <v>116</v>
      </c>
      <c r="I126" s="127">
        <v>3.78</v>
      </c>
      <c r="J126" s="127">
        <v>1.45</v>
      </c>
      <c r="K126" s="127">
        <v>1.45</v>
      </c>
      <c r="L126" s="127">
        <v>1.46</v>
      </c>
      <c r="M126" s="144">
        <v>773</v>
      </c>
      <c r="N126" s="129">
        <v>10.32</v>
      </c>
      <c r="O126" s="129">
        <f>5.315+4.95</f>
        <v>10.265000000000001</v>
      </c>
      <c r="P126" s="129"/>
      <c r="Q126" s="129">
        <v>1.7000000000000001E-2</v>
      </c>
      <c r="R126" s="129" t="s">
        <v>116</v>
      </c>
      <c r="S126" s="284" t="s">
        <v>3291</v>
      </c>
      <c r="T126" s="130" t="s">
        <v>462</v>
      </c>
      <c r="U126" s="130"/>
      <c r="V126" s="131"/>
      <c r="W126" s="132">
        <v>44602</v>
      </c>
      <c r="X126" s="132">
        <v>44603</v>
      </c>
      <c r="Y126" s="132"/>
      <c r="Z126" s="132"/>
      <c r="AA126" s="132"/>
      <c r="AB126" s="133" t="s">
        <v>1395</v>
      </c>
      <c r="AC126" s="126" t="s">
        <v>64</v>
      </c>
      <c r="AD126" s="134" t="s">
        <v>154</v>
      </c>
      <c r="AE126" s="134" t="s">
        <v>1330</v>
      </c>
      <c r="AF126" s="134"/>
      <c r="AG126" s="134">
        <v>44554</v>
      </c>
      <c r="AH126" s="134"/>
      <c r="AI126" s="134">
        <f ca="1">TODAY()</f>
        <v>44963</v>
      </c>
      <c r="AJ126" s="126">
        <f t="shared" ca="1" si="17"/>
        <v>409</v>
      </c>
      <c r="AK126" s="126" t="str">
        <f t="shared" si="18"/>
        <v/>
      </c>
      <c r="AL126" s="134"/>
      <c r="AM126" s="143" t="s">
        <v>2673</v>
      </c>
      <c r="AN126" s="129">
        <v>10.305</v>
      </c>
      <c r="AO126" s="129">
        <v>10.315</v>
      </c>
      <c r="AP126" s="129">
        <v>10.339999999999998</v>
      </c>
      <c r="AQ126" s="129">
        <v>10.344999999999999</v>
      </c>
      <c r="AR126" s="126">
        <f t="shared" ca="1" si="19"/>
        <v>360</v>
      </c>
      <c r="AU126" s="99" t="s">
        <v>136</v>
      </c>
    </row>
    <row r="127" spans="1:47" s="99" customFormat="1" ht="21" customHeight="1" x14ac:dyDescent="0.35">
      <c r="A127" s="99">
        <v>422</v>
      </c>
      <c r="B127" s="126" t="str">
        <f t="shared" si="15"/>
        <v>0-304L/2B-001X775</v>
      </c>
      <c r="C127" s="126" t="s">
        <v>3283</v>
      </c>
      <c r="D127" s="126" t="s">
        <v>3026</v>
      </c>
      <c r="E127" s="143" t="s">
        <v>2644</v>
      </c>
      <c r="F127" s="143" t="s">
        <v>3297</v>
      </c>
      <c r="G127" s="126" t="s">
        <v>230</v>
      </c>
      <c r="H127" s="126" t="s">
        <v>116</v>
      </c>
      <c r="I127" s="127">
        <v>3.8</v>
      </c>
      <c r="J127" s="127">
        <v>1.45</v>
      </c>
      <c r="K127" s="127">
        <v>1.44</v>
      </c>
      <c r="L127" s="127">
        <v>1.46</v>
      </c>
      <c r="M127" s="144">
        <v>775</v>
      </c>
      <c r="N127" s="129">
        <v>11.87</v>
      </c>
      <c r="O127" s="129">
        <f>5.995+5.785</f>
        <v>11.780000000000001</v>
      </c>
      <c r="P127" s="129"/>
      <c r="Q127" s="129">
        <v>1.7000000000000001E-2</v>
      </c>
      <c r="R127" s="129" t="s">
        <v>116</v>
      </c>
      <c r="S127" s="284" t="s">
        <v>3291</v>
      </c>
      <c r="T127" s="130" t="s">
        <v>462</v>
      </c>
      <c r="U127" s="130"/>
      <c r="V127" s="131"/>
      <c r="W127" s="132">
        <v>44601</v>
      </c>
      <c r="X127" s="132">
        <v>44602</v>
      </c>
      <c r="Y127" s="132"/>
      <c r="Z127" s="132"/>
      <c r="AA127" s="132"/>
      <c r="AB127" s="133"/>
      <c r="AC127" s="126" t="s">
        <v>64</v>
      </c>
      <c r="AD127" s="134" t="s">
        <v>154</v>
      </c>
      <c r="AE127" s="134" t="s">
        <v>1296</v>
      </c>
      <c r="AF127" s="134"/>
      <c r="AG127" s="134">
        <v>44516</v>
      </c>
      <c r="AH127" s="134"/>
      <c r="AI127" s="134">
        <f ca="1">TODAY()</f>
        <v>44963</v>
      </c>
      <c r="AJ127" s="126">
        <f t="shared" ca="1" si="17"/>
        <v>447</v>
      </c>
      <c r="AK127" s="126" t="str">
        <f t="shared" si="18"/>
        <v/>
      </c>
      <c r="AL127" s="134"/>
      <c r="AM127" s="143" t="s">
        <v>2646</v>
      </c>
      <c r="AN127" s="129">
        <v>11.83</v>
      </c>
      <c r="AO127" s="129">
        <v>11.84</v>
      </c>
      <c r="AP127" s="129">
        <v>11.864999999999998</v>
      </c>
      <c r="AQ127" s="129">
        <v>11.87</v>
      </c>
      <c r="AR127" s="126">
        <f t="shared" ca="1" si="19"/>
        <v>361</v>
      </c>
      <c r="AU127" s="99" t="s">
        <v>136</v>
      </c>
    </row>
    <row r="128" spans="1:47" s="99" customFormat="1" ht="21" customHeight="1" x14ac:dyDescent="0.35">
      <c r="A128" s="99">
        <v>421</v>
      </c>
      <c r="B128" s="126" t="str">
        <f t="shared" si="15"/>
        <v>0-304/2B-001X770</v>
      </c>
      <c r="C128" s="126" t="s">
        <v>3283</v>
      </c>
      <c r="D128" s="126" t="s">
        <v>3026</v>
      </c>
      <c r="E128" s="143" t="s">
        <v>2674</v>
      </c>
      <c r="F128" s="143" t="s">
        <v>3298</v>
      </c>
      <c r="G128" s="126">
        <v>304</v>
      </c>
      <c r="H128" s="126" t="s">
        <v>116</v>
      </c>
      <c r="I128" s="127">
        <v>3</v>
      </c>
      <c r="J128" s="127">
        <v>1.1499999999999999</v>
      </c>
      <c r="K128" s="127">
        <v>1.1299999999999999</v>
      </c>
      <c r="L128" s="127">
        <v>1.1499999999999999</v>
      </c>
      <c r="M128" s="144">
        <v>770</v>
      </c>
      <c r="N128" s="129">
        <v>5.87</v>
      </c>
      <c r="O128" s="129">
        <v>5.87</v>
      </c>
      <c r="P128" s="129"/>
      <c r="Q128" s="129"/>
      <c r="R128" s="129" t="s">
        <v>116</v>
      </c>
      <c r="S128" s="284" t="s">
        <v>3291</v>
      </c>
      <c r="T128" s="130" t="s">
        <v>462</v>
      </c>
      <c r="U128" s="130"/>
      <c r="V128" s="131"/>
      <c r="W128" s="132">
        <v>44602</v>
      </c>
      <c r="X128" s="132">
        <v>44602</v>
      </c>
      <c r="Y128" s="132"/>
      <c r="Z128" s="132"/>
      <c r="AA128" s="132"/>
      <c r="AB128" s="133"/>
      <c r="AC128" s="126" t="s">
        <v>64</v>
      </c>
      <c r="AD128" s="134" t="s">
        <v>154</v>
      </c>
      <c r="AE128" s="134" t="s">
        <v>1239</v>
      </c>
      <c r="AF128" s="134"/>
      <c r="AG128" s="134">
        <v>44496</v>
      </c>
      <c r="AH128" s="134"/>
      <c r="AI128" s="134">
        <f t="shared" ref="AI128:AI191" ca="1" si="20">TODAY()</f>
        <v>44963</v>
      </c>
      <c r="AJ128" s="126">
        <f t="shared" ca="1" si="17"/>
        <v>467</v>
      </c>
      <c r="AK128" s="126" t="str">
        <f t="shared" si="18"/>
        <v/>
      </c>
      <c r="AL128" s="134"/>
      <c r="AM128" s="143" t="s">
        <v>2676</v>
      </c>
      <c r="AN128" s="129">
        <v>10.255000000000001</v>
      </c>
      <c r="AO128" s="129">
        <v>10.265000000000001</v>
      </c>
      <c r="AP128" s="129">
        <v>10.29</v>
      </c>
      <c r="AQ128" s="129">
        <v>10.295</v>
      </c>
      <c r="AR128" s="126">
        <f t="shared" ca="1" si="19"/>
        <v>361</v>
      </c>
      <c r="AU128" s="99" t="s">
        <v>136</v>
      </c>
    </row>
    <row r="129" spans="1:47" s="99" customFormat="1" ht="21" customHeight="1" x14ac:dyDescent="0.35">
      <c r="A129" s="99">
        <v>421</v>
      </c>
      <c r="B129" s="126" t="str">
        <f t="shared" si="15"/>
        <v>0-304/2B-001X770</v>
      </c>
      <c r="C129" s="126" t="s">
        <v>3299</v>
      </c>
      <c r="D129" s="126" t="s">
        <v>3026</v>
      </c>
      <c r="E129" s="143" t="s">
        <v>2674</v>
      </c>
      <c r="F129" s="143" t="s">
        <v>3300</v>
      </c>
      <c r="G129" s="126">
        <v>304</v>
      </c>
      <c r="H129" s="126" t="s">
        <v>116</v>
      </c>
      <c r="I129" s="127">
        <v>3</v>
      </c>
      <c r="J129" s="127">
        <v>1.1499999999999999</v>
      </c>
      <c r="K129" s="127">
        <v>1.1299999999999999</v>
      </c>
      <c r="L129" s="127">
        <v>1.1499999999999999</v>
      </c>
      <c r="M129" s="144">
        <v>770</v>
      </c>
      <c r="N129" s="129">
        <f>10.265-5.87</f>
        <v>4.3950000000000005</v>
      </c>
      <c r="O129" s="129">
        <v>4.3499999999999996</v>
      </c>
      <c r="P129" s="129"/>
      <c r="Q129" s="129"/>
      <c r="R129" s="129" t="s">
        <v>116</v>
      </c>
      <c r="S129" s="284" t="s">
        <v>3291</v>
      </c>
      <c r="T129" s="130" t="s">
        <v>462</v>
      </c>
      <c r="U129" s="130"/>
      <c r="V129" s="131"/>
      <c r="W129" s="132">
        <v>44602</v>
      </c>
      <c r="X129" s="132">
        <v>44602</v>
      </c>
      <c r="Y129" s="132"/>
      <c r="Z129" s="132"/>
      <c r="AA129" s="132"/>
      <c r="AB129" s="133"/>
      <c r="AC129" s="126" t="s">
        <v>64</v>
      </c>
      <c r="AD129" s="134" t="s">
        <v>154</v>
      </c>
      <c r="AE129" s="134" t="s">
        <v>1239</v>
      </c>
      <c r="AF129" s="134"/>
      <c r="AG129" s="134">
        <v>44496</v>
      </c>
      <c r="AH129" s="134"/>
      <c r="AI129" s="134">
        <f t="shared" ca="1" si="20"/>
        <v>44963</v>
      </c>
      <c r="AJ129" s="126">
        <f t="shared" ca="1" si="17"/>
        <v>467</v>
      </c>
      <c r="AK129" s="126" t="str">
        <f t="shared" si="18"/>
        <v/>
      </c>
      <c r="AL129" s="134"/>
      <c r="AM129" s="143" t="s">
        <v>2676</v>
      </c>
      <c r="AN129" s="129">
        <v>10.255000000000001</v>
      </c>
      <c r="AO129" s="129">
        <v>10.265000000000001</v>
      </c>
      <c r="AP129" s="129">
        <v>10.29</v>
      </c>
      <c r="AQ129" s="129">
        <v>10.295</v>
      </c>
      <c r="AR129" s="126">
        <f t="shared" ca="1" si="19"/>
        <v>361</v>
      </c>
      <c r="AU129" s="99" t="s">
        <v>136</v>
      </c>
    </row>
    <row r="130" spans="1:47" s="99" customFormat="1" ht="21" customHeight="1" x14ac:dyDescent="0.35">
      <c r="A130" s="99">
        <v>424</v>
      </c>
      <c r="B130" s="126" t="str">
        <f t="shared" si="15"/>
        <v>0-304/2B-001X771</v>
      </c>
      <c r="C130" s="126" t="s">
        <v>3299</v>
      </c>
      <c r="D130" s="126" t="s">
        <v>3026</v>
      </c>
      <c r="E130" s="143" t="s">
        <v>2647</v>
      </c>
      <c r="F130" s="143" t="s">
        <v>3301</v>
      </c>
      <c r="G130" s="126">
        <v>304</v>
      </c>
      <c r="H130" s="126" t="s">
        <v>116</v>
      </c>
      <c r="I130" s="127">
        <v>3.89</v>
      </c>
      <c r="J130" s="127">
        <v>1.45</v>
      </c>
      <c r="K130" s="127">
        <v>1.45</v>
      </c>
      <c r="L130" s="127">
        <v>1.48</v>
      </c>
      <c r="M130" s="144">
        <v>771</v>
      </c>
      <c r="N130" s="129">
        <v>10.46</v>
      </c>
      <c r="O130" s="129">
        <f>5.995+4.4</f>
        <v>10.395</v>
      </c>
      <c r="P130" s="129"/>
      <c r="Q130" s="129"/>
      <c r="R130" s="129" t="s">
        <v>116</v>
      </c>
      <c r="S130" s="284" t="s">
        <v>3291</v>
      </c>
      <c r="T130" s="130" t="s">
        <v>462</v>
      </c>
      <c r="U130" s="130"/>
      <c r="V130" s="131"/>
      <c r="W130" s="132">
        <v>44601</v>
      </c>
      <c r="X130" s="132">
        <v>44602</v>
      </c>
      <c r="Y130" s="132"/>
      <c r="Z130" s="132"/>
      <c r="AA130" s="132"/>
      <c r="AB130" s="133" t="s">
        <v>1395</v>
      </c>
      <c r="AC130" s="126" t="s">
        <v>64</v>
      </c>
      <c r="AD130" s="134" t="s">
        <v>154</v>
      </c>
      <c r="AE130" s="134" t="s">
        <v>1516</v>
      </c>
      <c r="AF130" s="134"/>
      <c r="AG130" s="134">
        <v>44554</v>
      </c>
      <c r="AH130" s="134"/>
      <c r="AI130" s="134">
        <f t="shared" ca="1" si="20"/>
        <v>44963</v>
      </c>
      <c r="AJ130" s="126">
        <f t="shared" ca="1" si="17"/>
        <v>409</v>
      </c>
      <c r="AK130" s="126" t="str">
        <f t="shared" si="18"/>
        <v/>
      </c>
      <c r="AL130" s="134"/>
      <c r="AM130" s="143" t="s">
        <v>1697</v>
      </c>
      <c r="AN130" s="129">
        <v>10.435</v>
      </c>
      <c r="AO130" s="129">
        <v>10.445</v>
      </c>
      <c r="AP130" s="129">
        <v>10.469999999999999</v>
      </c>
      <c r="AQ130" s="129">
        <v>10.475</v>
      </c>
      <c r="AR130" s="126">
        <f t="shared" ca="1" si="19"/>
        <v>361</v>
      </c>
      <c r="AU130" s="99" t="s">
        <v>136</v>
      </c>
    </row>
    <row r="131" spans="1:47" s="99" customFormat="1" ht="21" customHeight="1" x14ac:dyDescent="0.35">
      <c r="A131" s="99">
        <v>424</v>
      </c>
      <c r="B131" s="126" t="str">
        <f t="shared" si="15"/>
        <v>0-304L/2B-001X771</v>
      </c>
      <c r="C131" s="126" t="s">
        <v>3299</v>
      </c>
      <c r="D131" s="126" t="s">
        <v>3026</v>
      </c>
      <c r="E131" s="143" t="s">
        <v>2656</v>
      </c>
      <c r="F131" s="143" t="s">
        <v>3302</v>
      </c>
      <c r="G131" s="126" t="s">
        <v>230</v>
      </c>
      <c r="H131" s="126" t="s">
        <v>116</v>
      </c>
      <c r="I131" s="127">
        <v>3.39</v>
      </c>
      <c r="J131" s="127">
        <v>1.1499999999999999</v>
      </c>
      <c r="K131" s="127">
        <v>1.1499999999999999</v>
      </c>
      <c r="L131" s="127">
        <v>1.17</v>
      </c>
      <c r="M131" s="144">
        <v>771</v>
      </c>
      <c r="N131" s="129">
        <v>10.574999999999999</v>
      </c>
      <c r="O131" s="129">
        <f>6.065+4.48</f>
        <v>10.545000000000002</v>
      </c>
      <c r="P131" s="129"/>
      <c r="Q131" s="129"/>
      <c r="R131" s="129" t="s">
        <v>116</v>
      </c>
      <c r="S131" s="284" t="s">
        <v>3291</v>
      </c>
      <c r="T131" s="130" t="s">
        <v>462</v>
      </c>
      <c r="U131" s="130"/>
      <c r="V131" s="131"/>
      <c r="W131" s="132">
        <v>44602</v>
      </c>
      <c r="X131" s="132">
        <v>44602</v>
      </c>
      <c r="Y131" s="132"/>
      <c r="Z131" s="132"/>
      <c r="AA131" s="132"/>
      <c r="AB131" s="133" t="s">
        <v>1395</v>
      </c>
      <c r="AC131" s="126" t="s">
        <v>64</v>
      </c>
      <c r="AD131" s="134" t="s">
        <v>154</v>
      </c>
      <c r="AE131" s="134" t="s">
        <v>1516</v>
      </c>
      <c r="AF131" s="134"/>
      <c r="AG131" s="134">
        <v>44554</v>
      </c>
      <c r="AH131" s="134"/>
      <c r="AI131" s="134">
        <f t="shared" ca="1" si="20"/>
        <v>44963</v>
      </c>
      <c r="AJ131" s="126">
        <f t="shared" ca="1" si="17"/>
        <v>409</v>
      </c>
      <c r="AK131" s="126" t="str">
        <f t="shared" si="18"/>
        <v/>
      </c>
      <c r="AL131" s="134"/>
      <c r="AM131" s="143" t="s">
        <v>2658</v>
      </c>
      <c r="AN131" s="129">
        <v>10.58</v>
      </c>
      <c r="AO131" s="129">
        <v>10.59</v>
      </c>
      <c r="AP131" s="129">
        <v>10.614999999999998</v>
      </c>
      <c r="AQ131" s="129">
        <v>10.62</v>
      </c>
      <c r="AR131" s="126">
        <f t="shared" ca="1" si="19"/>
        <v>361</v>
      </c>
      <c r="AU131" s="99" t="s">
        <v>136</v>
      </c>
    </row>
    <row r="132" spans="1:47" s="99" customFormat="1" ht="21" customHeight="1" x14ac:dyDescent="0.35">
      <c r="A132" s="99">
        <v>424</v>
      </c>
      <c r="B132" s="126" t="str">
        <f t="shared" si="15"/>
        <v>0-304L/2B-001X774</v>
      </c>
      <c r="C132" s="126" t="s">
        <v>3299</v>
      </c>
      <c r="D132" s="126" t="s">
        <v>3026</v>
      </c>
      <c r="E132" s="143" t="s">
        <v>2668</v>
      </c>
      <c r="F132" s="143" t="s">
        <v>3303</v>
      </c>
      <c r="G132" s="126" t="s">
        <v>230</v>
      </c>
      <c r="H132" s="126" t="s">
        <v>116</v>
      </c>
      <c r="I132" s="127">
        <v>3.78</v>
      </c>
      <c r="J132" s="127">
        <v>1.45</v>
      </c>
      <c r="K132" s="127">
        <v>1.41</v>
      </c>
      <c r="L132" s="127">
        <v>1.43</v>
      </c>
      <c r="M132" s="144">
        <v>774</v>
      </c>
      <c r="N132" s="129">
        <v>10.414999999999999</v>
      </c>
      <c r="O132" s="129">
        <f>5.255+5.095</f>
        <v>10.35</v>
      </c>
      <c r="P132" s="129"/>
      <c r="Q132" s="129">
        <v>8.0000000000000002E-3</v>
      </c>
      <c r="R132" s="129" t="s">
        <v>116</v>
      </c>
      <c r="S132" s="284" t="s">
        <v>3291</v>
      </c>
      <c r="T132" s="130" t="s">
        <v>462</v>
      </c>
      <c r="U132" s="130"/>
      <c r="V132" s="131"/>
      <c r="W132" s="132">
        <v>44602</v>
      </c>
      <c r="X132" s="132">
        <v>44602</v>
      </c>
      <c r="Y132" s="132"/>
      <c r="Z132" s="132"/>
      <c r="AA132" s="132"/>
      <c r="AB132" s="133" t="s">
        <v>1395</v>
      </c>
      <c r="AC132" s="126" t="s">
        <v>64</v>
      </c>
      <c r="AD132" s="134" t="s">
        <v>154</v>
      </c>
      <c r="AE132" s="134" t="s">
        <v>1330</v>
      </c>
      <c r="AF132" s="134"/>
      <c r="AG132" s="134">
        <v>44554</v>
      </c>
      <c r="AH132" s="134"/>
      <c r="AI132" s="134">
        <f t="shared" ca="1" si="20"/>
        <v>44963</v>
      </c>
      <c r="AJ132" s="126">
        <f t="shared" ca="1" si="17"/>
        <v>409</v>
      </c>
      <c r="AK132" s="126" t="str">
        <f t="shared" si="18"/>
        <v/>
      </c>
      <c r="AL132" s="134"/>
      <c r="AM132" s="143" t="s">
        <v>2670</v>
      </c>
      <c r="AN132" s="129">
        <v>10.404999999999999</v>
      </c>
      <c r="AO132" s="129">
        <v>10.414999999999999</v>
      </c>
      <c r="AP132" s="129">
        <v>10.439999999999998</v>
      </c>
      <c r="AQ132" s="129">
        <v>10.444999999999999</v>
      </c>
      <c r="AR132" s="126">
        <f t="shared" ca="1" si="19"/>
        <v>361</v>
      </c>
      <c r="AU132" s="99" t="s">
        <v>136</v>
      </c>
    </row>
    <row r="133" spans="1:47" s="99" customFormat="1" ht="21" customHeight="1" x14ac:dyDescent="0.35">
      <c r="A133" s="99">
        <v>422</v>
      </c>
      <c r="B133" s="126" t="str">
        <f t="shared" si="15"/>
        <v>0-304L/2B-001X773</v>
      </c>
      <c r="C133" s="126" t="s">
        <v>3299</v>
      </c>
      <c r="D133" s="126" t="s">
        <v>3026</v>
      </c>
      <c r="E133" s="143" t="s">
        <v>2659</v>
      </c>
      <c r="F133" s="143" t="s">
        <v>3304</v>
      </c>
      <c r="G133" s="126" t="s">
        <v>230</v>
      </c>
      <c r="H133" s="126" t="s">
        <v>116</v>
      </c>
      <c r="I133" s="127">
        <v>3.8</v>
      </c>
      <c r="J133" s="127">
        <v>1.45</v>
      </c>
      <c r="K133" s="127">
        <v>1.44</v>
      </c>
      <c r="L133" s="127">
        <v>1.46</v>
      </c>
      <c r="M133" s="144">
        <v>773</v>
      </c>
      <c r="N133" s="129">
        <v>12.02</v>
      </c>
      <c r="O133" s="129">
        <f>3.99+4.01+3.945</f>
        <v>11.945</v>
      </c>
      <c r="P133" s="129"/>
      <c r="Q133" s="129">
        <v>8.9999999999999993E-3</v>
      </c>
      <c r="R133" s="129" t="s">
        <v>116</v>
      </c>
      <c r="S133" s="284" t="s">
        <v>3291</v>
      </c>
      <c r="T133" s="130" t="s">
        <v>462</v>
      </c>
      <c r="U133" s="130"/>
      <c r="V133" s="131"/>
      <c r="W133" s="132">
        <v>44602</v>
      </c>
      <c r="X133" s="132">
        <v>44602</v>
      </c>
      <c r="Y133" s="132"/>
      <c r="Z133" s="132"/>
      <c r="AA133" s="132"/>
      <c r="AB133" s="133"/>
      <c r="AC133" s="126" t="s">
        <v>64</v>
      </c>
      <c r="AD133" s="134" t="s">
        <v>154</v>
      </c>
      <c r="AE133" s="134" t="s">
        <v>1296</v>
      </c>
      <c r="AF133" s="134"/>
      <c r="AG133" s="134">
        <v>44516</v>
      </c>
      <c r="AH133" s="134"/>
      <c r="AI133" s="134">
        <f t="shared" ca="1" si="20"/>
        <v>44963</v>
      </c>
      <c r="AJ133" s="126">
        <f t="shared" ca="1" si="17"/>
        <v>447</v>
      </c>
      <c r="AK133" s="126" t="str">
        <f t="shared" si="18"/>
        <v/>
      </c>
      <c r="AL133" s="134"/>
      <c r="AM133" s="143" t="s">
        <v>2661</v>
      </c>
      <c r="AN133" s="129">
        <v>11.994999999999999</v>
      </c>
      <c r="AO133" s="129">
        <v>12.005000000000001</v>
      </c>
      <c r="AP133" s="129">
        <v>12.03</v>
      </c>
      <c r="AQ133" s="129">
        <v>12.035</v>
      </c>
      <c r="AR133" s="126">
        <f t="shared" ca="1" si="19"/>
        <v>361</v>
      </c>
      <c r="AU133" s="99" t="s">
        <v>136</v>
      </c>
    </row>
    <row r="134" spans="1:47" s="99" customFormat="1" ht="21" customHeight="1" x14ac:dyDescent="0.35">
      <c r="A134" s="99">
        <v>422</v>
      </c>
      <c r="B134" s="126" t="str">
        <f t="shared" si="15"/>
        <v>0-304/2B-001X777</v>
      </c>
      <c r="C134" s="126" t="s">
        <v>3305</v>
      </c>
      <c r="D134" s="126" t="s">
        <v>358</v>
      </c>
      <c r="E134" s="143" t="s">
        <v>3306</v>
      </c>
      <c r="F134" s="143" t="s">
        <v>3307</v>
      </c>
      <c r="G134" s="126">
        <v>304</v>
      </c>
      <c r="H134" s="126" t="s">
        <v>116</v>
      </c>
      <c r="I134" s="127">
        <v>3.67</v>
      </c>
      <c r="J134" s="127">
        <v>1.4</v>
      </c>
      <c r="K134" s="127">
        <v>1.39</v>
      </c>
      <c r="L134" s="127">
        <v>1.41</v>
      </c>
      <c r="M134" s="144">
        <v>777</v>
      </c>
      <c r="N134" s="129">
        <v>10.664999999999999</v>
      </c>
      <c r="O134" s="129">
        <v>10.615</v>
      </c>
      <c r="P134" s="129"/>
      <c r="Q134" s="129"/>
      <c r="R134" s="129" t="s">
        <v>116</v>
      </c>
      <c r="S134" s="284"/>
      <c r="T134" s="130" t="s">
        <v>412</v>
      </c>
      <c r="U134" s="130"/>
      <c r="V134" s="131"/>
      <c r="W134" s="132">
        <v>44565</v>
      </c>
      <c r="X134" s="132">
        <v>44652</v>
      </c>
      <c r="Y134" s="132">
        <v>44606</v>
      </c>
      <c r="Z134" s="132"/>
      <c r="AA134" s="132"/>
      <c r="AB134" s="133"/>
      <c r="AC134" s="126" t="s">
        <v>64</v>
      </c>
      <c r="AD134" s="134" t="s">
        <v>154</v>
      </c>
      <c r="AE134" s="134" t="s">
        <v>1296</v>
      </c>
      <c r="AF134" s="134"/>
      <c r="AG134" s="134">
        <v>44516</v>
      </c>
      <c r="AH134" s="134"/>
      <c r="AI134" s="134">
        <f t="shared" ca="1" si="20"/>
        <v>44963</v>
      </c>
      <c r="AJ134" s="126">
        <f t="shared" ca="1" si="17"/>
        <v>447</v>
      </c>
      <c r="AK134" s="126">
        <f t="shared" ca="1" si="18"/>
        <v>357</v>
      </c>
      <c r="AL134" s="134"/>
      <c r="AM134" s="143" t="s">
        <v>1317</v>
      </c>
      <c r="AN134" s="129">
        <v>10.654999999999999</v>
      </c>
      <c r="AO134" s="129">
        <v>10.664999999999999</v>
      </c>
      <c r="AP134" s="129">
        <v>10.689999999999998</v>
      </c>
      <c r="AQ134" s="129">
        <v>10.694999999999999</v>
      </c>
      <c r="AR134" s="126">
        <f t="shared" ca="1" si="19"/>
        <v>311</v>
      </c>
      <c r="AU134" s="99" t="s">
        <v>136</v>
      </c>
    </row>
    <row r="135" spans="1:47" s="99" customFormat="1" ht="21" customHeight="1" x14ac:dyDescent="0.35">
      <c r="A135" s="99">
        <v>421</v>
      </c>
      <c r="B135" s="126" t="str">
        <f t="shared" si="15"/>
        <v>0-304/2B-001X770</v>
      </c>
      <c r="C135" s="126" t="s">
        <v>3299</v>
      </c>
      <c r="D135" s="126" t="s">
        <v>3026</v>
      </c>
      <c r="E135" s="143" t="s">
        <v>2662</v>
      </c>
      <c r="F135" s="143" t="s">
        <v>3308</v>
      </c>
      <c r="G135" s="126">
        <v>304</v>
      </c>
      <c r="H135" s="126" t="s">
        <v>116</v>
      </c>
      <c r="I135" s="127">
        <v>3.2</v>
      </c>
      <c r="J135" s="127">
        <v>1.1000000000000001</v>
      </c>
      <c r="K135" s="127">
        <v>1.1000000000000001</v>
      </c>
      <c r="L135" s="127">
        <v>1.1299999999999999</v>
      </c>
      <c r="M135" s="144">
        <v>770</v>
      </c>
      <c r="N135" s="129">
        <v>10.414999999999999</v>
      </c>
      <c r="O135" s="129">
        <f>5.215+5.135</f>
        <v>10.35</v>
      </c>
      <c r="P135" s="129"/>
      <c r="Q135" s="129">
        <v>8.0000000000000002E-3</v>
      </c>
      <c r="R135" s="129" t="s">
        <v>116</v>
      </c>
      <c r="S135" s="284" t="s">
        <v>3309</v>
      </c>
      <c r="T135" s="130" t="s">
        <v>2987</v>
      </c>
      <c r="U135" s="130"/>
      <c r="V135" s="131"/>
      <c r="W135" s="132">
        <v>44602</v>
      </c>
      <c r="X135" s="132">
        <v>44602</v>
      </c>
      <c r="Y135" s="132"/>
      <c r="Z135" s="132"/>
      <c r="AA135" s="132"/>
      <c r="AB135" s="133"/>
      <c r="AC135" s="126" t="s">
        <v>64</v>
      </c>
      <c r="AD135" s="134" t="s">
        <v>154</v>
      </c>
      <c r="AE135" s="134" t="s">
        <v>1246</v>
      </c>
      <c r="AF135" s="134"/>
      <c r="AG135" s="134">
        <v>44496</v>
      </c>
      <c r="AH135" s="134"/>
      <c r="AI135" s="134">
        <f t="shared" ca="1" si="20"/>
        <v>44963</v>
      </c>
      <c r="AJ135" s="126">
        <f t="shared" ca="1" si="17"/>
        <v>467</v>
      </c>
      <c r="AK135" s="126" t="str">
        <f t="shared" si="18"/>
        <v/>
      </c>
      <c r="AL135" s="134"/>
      <c r="AM135" s="143" t="s">
        <v>2664</v>
      </c>
      <c r="AN135" s="129">
        <v>10.385</v>
      </c>
      <c r="AO135" s="129">
        <v>10.395</v>
      </c>
      <c r="AP135" s="129">
        <v>10.419999999999998</v>
      </c>
      <c r="AQ135" s="129">
        <v>10.424999999999999</v>
      </c>
      <c r="AR135" s="126">
        <f t="shared" ca="1" si="19"/>
        <v>361</v>
      </c>
      <c r="AU135" s="99" t="s">
        <v>136</v>
      </c>
    </row>
    <row r="136" spans="1:47" s="99" customFormat="1" ht="21" customHeight="1" x14ac:dyDescent="0.35">
      <c r="A136" s="99">
        <v>424</v>
      </c>
      <c r="B136" s="126" t="str">
        <f t="shared" si="15"/>
        <v>0-304L/2B-001X776</v>
      </c>
      <c r="C136" s="126" t="s">
        <v>3299</v>
      </c>
      <c r="D136" s="126" t="s">
        <v>3026</v>
      </c>
      <c r="E136" s="143" t="s">
        <v>2697</v>
      </c>
      <c r="F136" s="143" t="s">
        <v>3310</v>
      </c>
      <c r="G136" s="126" t="s">
        <v>230</v>
      </c>
      <c r="H136" s="126" t="s">
        <v>116</v>
      </c>
      <c r="I136" s="127">
        <v>3.38</v>
      </c>
      <c r="J136" s="127">
        <v>1.35</v>
      </c>
      <c r="K136" s="127">
        <v>1.35</v>
      </c>
      <c r="L136" s="127">
        <v>1.37</v>
      </c>
      <c r="M136" s="144">
        <v>776</v>
      </c>
      <c r="N136" s="129">
        <v>10.14</v>
      </c>
      <c r="O136" s="129">
        <f>5.07+5.02</f>
        <v>10.09</v>
      </c>
      <c r="P136" s="129"/>
      <c r="Q136" s="129">
        <v>8.0000000000000002E-3</v>
      </c>
      <c r="R136" s="129" t="s">
        <v>116</v>
      </c>
      <c r="S136" s="284" t="s">
        <v>3309</v>
      </c>
      <c r="T136" s="130" t="s">
        <v>2987</v>
      </c>
      <c r="U136" s="130"/>
      <c r="V136" s="131"/>
      <c r="W136" s="132">
        <v>44603</v>
      </c>
      <c r="X136" s="132">
        <v>44603</v>
      </c>
      <c r="Y136" s="132"/>
      <c r="Z136" s="132"/>
      <c r="AA136" s="132"/>
      <c r="AB136" s="133" t="s">
        <v>1395</v>
      </c>
      <c r="AC136" s="126" t="s">
        <v>64</v>
      </c>
      <c r="AD136" s="134" t="s">
        <v>154</v>
      </c>
      <c r="AE136" s="134" t="s">
        <v>1516</v>
      </c>
      <c r="AF136" s="134"/>
      <c r="AG136" s="134">
        <v>44554</v>
      </c>
      <c r="AH136" s="134"/>
      <c r="AI136" s="134">
        <f t="shared" ca="1" si="20"/>
        <v>44963</v>
      </c>
      <c r="AJ136" s="126">
        <f t="shared" ca="1" si="17"/>
        <v>409</v>
      </c>
      <c r="AK136" s="126" t="str">
        <f t="shared" si="18"/>
        <v/>
      </c>
      <c r="AL136" s="134"/>
      <c r="AM136" s="143" t="s">
        <v>2691</v>
      </c>
      <c r="AN136" s="129">
        <v>10.125</v>
      </c>
      <c r="AO136" s="129">
        <v>10.135</v>
      </c>
      <c r="AP136" s="129">
        <v>10.159999999999998</v>
      </c>
      <c r="AQ136" s="129">
        <v>10.164999999999999</v>
      </c>
      <c r="AR136" s="126">
        <f t="shared" ca="1" si="19"/>
        <v>360</v>
      </c>
      <c r="AU136" s="99" t="s">
        <v>136</v>
      </c>
    </row>
    <row r="137" spans="1:47" s="99" customFormat="1" ht="21" customHeight="1" x14ac:dyDescent="0.35">
      <c r="A137" s="99">
        <v>424</v>
      </c>
      <c r="B137" s="126" t="str">
        <f t="shared" si="15"/>
        <v>0-304/2B-002X770</v>
      </c>
      <c r="C137" s="126" t="s">
        <v>3299</v>
      </c>
      <c r="D137" s="126" t="s">
        <v>3026</v>
      </c>
      <c r="E137" s="143" t="s">
        <v>2699</v>
      </c>
      <c r="F137" s="143" t="s">
        <v>3311</v>
      </c>
      <c r="G137" s="126">
        <v>304</v>
      </c>
      <c r="H137" s="126" t="s">
        <v>116</v>
      </c>
      <c r="I137" s="127">
        <v>3.9</v>
      </c>
      <c r="J137" s="127">
        <v>1.9</v>
      </c>
      <c r="K137" s="127">
        <v>1.89</v>
      </c>
      <c r="L137" s="127">
        <v>1.91</v>
      </c>
      <c r="M137" s="144">
        <v>770</v>
      </c>
      <c r="N137" s="129">
        <v>10.210000000000001</v>
      </c>
      <c r="O137" s="129">
        <f>5.05+5.115</f>
        <v>10.164999999999999</v>
      </c>
      <c r="P137" s="129"/>
      <c r="Q137" s="129"/>
      <c r="R137" s="129" t="s">
        <v>116</v>
      </c>
      <c r="S137" s="284" t="s">
        <v>3309</v>
      </c>
      <c r="T137" s="130" t="s">
        <v>2987</v>
      </c>
      <c r="U137" s="130"/>
      <c r="V137" s="131"/>
      <c r="W137" s="132">
        <v>44603</v>
      </c>
      <c r="X137" s="132">
        <v>44603</v>
      </c>
      <c r="Y137" s="132"/>
      <c r="Z137" s="132"/>
      <c r="AA137" s="132"/>
      <c r="AB137" s="133" t="s">
        <v>1395</v>
      </c>
      <c r="AC137" s="126" t="s">
        <v>64</v>
      </c>
      <c r="AD137" s="134" t="s">
        <v>154</v>
      </c>
      <c r="AE137" s="134" t="s">
        <v>1516</v>
      </c>
      <c r="AF137" s="134"/>
      <c r="AG137" s="134">
        <v>44554</v>
      </c>
      <c r="AH137" s="134"/>
      <c r="AI137" s="134">
        <f t="shared" ca="1" si="20"/>
        <v>44963</v>
      </c>
      <c r="AJ137" s="126">
        <f t="shared" ca="1" si="17"/>
        <v>409</v>
      </c>
      <c r="AK137" s="126" t="str">
        <f t="shared" si="18"/>
        <v/>
      </c>
      <c r="AL137" s="134"/>
      <c r="AM137" s="143" t="s">
        <v>1700</v>
      </c>
      <c r="AN137" s="129">
        <v>10.205</v>
      </c>
      <c r="AO137" s="129">
        <v>10.215</v>
      </c>
      <c r="AP137" s="129">
        <v>10.239999999999998</v>
      </c>
      <c r="AQ137" s="129">
        <v>10.244999999999999</v>
      </c>
      <c r="AR137" s="126">
        <f t="shared" ca="1" si="19"/>
        <v>360</v>
      </c>
      <c r="AU137" s="99" t="s">
        <v>136</v>
      </c>
    </row>
    <row r="138" spans="1:47" s="99" customFormat="1" ht="21" customHeight="1" x14ac:dyDescent="0.35">
      <c r="A138" s="99">
        <v>422</v>
      </c>
      <c r="B138" s="126" t="str">
        <f t="shared" si="15"/>
        <v>0-304L/2B-001X772</v>
      </c>
      <c r="C138" s="126" t="s">
        <v>3299</v>
      </c>
      <c r="D138" s="126" t="s">
        <v>3026</v>
      </c>
      <c r="E138" s="143" t="s">
        <v>2654</v>
      </c>
      <c r="F138" s="143" t="s">
        <v>3312</v>
      </c>
      <c r="G138" s="126" t="s">
        <v>230</v>
      </c>
      <c r="H138" s="126" t="s">
        <v>116</v>
      </c>
      <c r="I138" s="127">
        <v>2.91</v>
      </c>
      <c r="J138" s="127">
        <v>0.9</v>
      </c>
      <c r="K138" s="127">
        <v>0.89</v>
      </c>
      <c r="L138" s="127">
        <v>0.91</v>
      </c>
      <c r="M138" s="144">
        <v>772</v>
      </c>
      <c r="N138" s="129">
        <v>4.0250000000000004</v>
      </c>
      <c r="O138" s="129">
        <v>4.0250000000000004</v>
      </c>
      <c r="P138" s="129"/>
      <c r="Q138" s="129"/>
      <c r="R138" s="129" t="s">
        <v>116</v>
      </c>
      <c r="S138" s="284" t="s">
        <v>3309</v>
      </c>
      <c r="T138" s="130" t="s">
        <v>2987</v>
      </c>
      <c r="U138" s="130"/>
      <c r="V138" s="131"/>
      <c r="W138" s="132">
        <v>44602</v>
      </c>
      <c r="X138" s="132">
        <v>44603</v>
      </c>
      <c r="Y138" s="132"/>
      <c r="Z138" s="132"/>
      <c r="AA138" s="132"/>
      <c r="AB138" s="133"/>
      <c r="AC138" s="126" t="s">
        <v>64</v>
      </c>
      <c r="AD138" s="134" t="s">
        <v>154</v>
      </c>
      <c r="AE138" s="134" t="s">
        <v>1330</v>
      </c>
      <c r="AF138" s="134"/>
      <c r="AG138" s="134">
        <v>44516</v>
      </c>
      <c r="AH138" s="134"/>
      <c r="AI138" s="134">
        <f t="shared" ca="1" si="20"/>
        <v>44963</v>
      </c>
      <c r="AJ138" s="126">
        <f t="shared" ca="1" si="17"/>
        <v>447</v>
      </c>
      <c r="AK138" s="126" t="str">
        <f t="shared" si="18"/>
        <v/>
      </c>
      <c r="AL138" s="134"/>
      <c r="AM138" s="143" t="s">
        <v>2652</v>
      </c>
      <c r="AN138" s="129">
        <v>8.41</v>
      </c>
      <c r="AO138" s="129">
        <v>8.42</v>
      </c>
      <c r="AP138" s="129">
        <v>8.4449999999999985</v>
      </c>
      <c r="AQ138" s="129">
        <v>8.4499999999999993</v>
      </c>
      <c r="AR138" s="126">
        <f t="shared" ca="1" si="19"/>
        <v>360</v>
      </c>
      <c r="AU138" s="99" t="s">
        <v>136</v>
      </c>
    </row>
    <row r="139" spans="1:47" s="99" customFormat="1" ht="21" customHeight="1" x14ac:dyDescent="0.35">
      <c r="A139" s="99">
        <v>422</v>
      </c>
      <c r="B139" s="126" t="str">
        <f t="shared" si="15"/>
        <v>0-304L/2B-001X772</v>
      </c>
      <c r="C139" s="126" t="s">
        <v>3313</v>
      </c>
      <c r="D139" s="126" t="s">
        <v>3026</v>
      </c>
      <c r="E139" s="143" t="s">
        <v>2654</v>
      </c>
      <c r="F139" s="143" t="s">
        <v>3314</v>
      </c>
      <c r="G139" s="126" t="s">
        <v>230</v>
      </c>
      <c r="H139" s="126" t="s">
        <v>116</v>
      </c>
      <c r="I139" s="127">
        <v>2.91</v>
      </c>
      <c r="J139" s="127">
        <v>0.9</v>
      </c>
      <c r="K139" s="127">
        <v>0.89</v>
      </c>
      <c r="L139" s="127">
        <v>0.91</v>
      </c>
      <c r="M139" s="144">
        <v>772</v>
      </c>
      <c r="N139" s="129">
        <f>8.41-4.025</f>
        <v>4.3849999999999998</v>
      </c>
      <c r="O139" s="129">
        <v>4.3499999999999996</v>
      </c>
      <c r="P139" s="129"/>
      <c r="Q139" s="129">
        <v>5.0000000000000001E-3</v>
      </c>
      <c r="R139" s="129" t="s">
        <v>116</v>
      </c>
      <c r="S139" s="284" t="s">
        <v>3315</v>
      </c>
      <c r="T139" s="130" t="s">
        <v>2987</v>
      </c>
      <c r="U139" s="130"/>
      <c r="V139" s="131"/>
      <c r="W139" s="132">
        <v>44602</v>
      </c>
      <c r="X139" s="132">
        <v>44603</v>
      </c>
      <c r="Y139" s="132"/>
      <c r="Z139" s="132"/>
      <c r="AA139" s="132"/>
      <c r="AB139" s="133"/>
      <c r="AC139" s="126" t="s">
        <v>64</v>
      </c>
      <c r="AD139" s="134" t="s">
        <v>154</v>
      </c>
      <c r="AE139" s="134" t="s">
        <v>1330</v>
      </c>
      <c r="AF139" s="134"/>
      <c r="AG139" s="134">
        <v>44516</v>
      </c>
      <c r="AH139" s="134"/>
      <c r="AI139" s="134">
        <f t="shared" ca="1" si="20"/>
        <v>44963</v>
      </c>
      <c r="AJ139" s="126">
        <f t="shared" ca="1" si="17"/>
        <v>447</v>
      </c>
      <c r="AK139" s="126" t="str">
        <f t="shared" si="18"/>
        <v/>
      </c>
      <c r="AL139" s="134"/>
      <c r="AM139" s="143" t="s">
        <v>2652</v>
      </c>
      <c r="AN139" s="129">
        <v>8.41</v>
      </c>
      <c r="AO139" s="129">
        <v>8.42</v>
      </c>
      <c r="AP139" s="129">
        <v>8.4449999999999985</v>
      </c>
      <c r="AQ139" s="129">
        <v>8.4499999999999993</v>
      </c>
      <c r="AR139" s="126">
        <f t="shared" ca="1" si="19"/>
        <v>360</v>
      </c>
      <c r="AU139" s="99" t="s">
        <v>136</v>
      </c>
    </row>
    <row r="140" spans="1:47" s="99" customFormat="1" ht="21" customHeight="1" x14ac:dyDescent="0.35">
      <c r="A140" s="99">
        <v>422</v>
      </c>
      <c r="B140" s="126" t="str">
        <f t="shared" si="15"/>
        <v>0-304L/2B-001X772</v>
      </c>
      <c r="C140" s="126" t="s">
        <v>3313</v>
      </c>
      <c r="D140" s="126" t="s">
        <v>3026</v>
      </c>
      <c r="E140" s="143" t="s">
        <v>2694</v>
      </c>
      <c r="F140" s="143" t="s">
        <v>3316</v>
      </c>
      <c r="G140" s="126" t="s">
        <v>230</v>
      </c>
      <c r="H140" s="126" t="s">
        <v>116</v>
      </c>
      <c r="I140" s="127">
        <v>2.92</v>
      </c>
      <c r="J140" s="127">
        <v>1</v>
      </c>
      <c r="K140" s="127">
        <v>1</v>
      </c>
      <c r="L140" s="127">
        <v>1.01</v>
      </c>
      <c r="M140" s="144">
        <v>772</v>
      </c>
      <c r="N140" s="129">
        <v>7.9349999999999996</v>
      </c>
      <c r="O140" s="129">
        <f>3.995+3.905</f>
        <v>7.9</v>
      </c>
      <c r="P140" s="129"/>
      <c r="Q140" s="129">
        <v>6.0000000000000001E-3</v>
      </c>
      <c r="R140" s="129" t="s">
        <v>116</v>
      </c>
      <c r="S140" s="284" t="s">
        <v>3315</v>
      </c>
      <c r="T140" s="130" t="s">
        <v>2987</v>
      </c>
      <c r="U140" s="130"/>
      <c r="V140" s="131"/>
      <c r="W140" s="132">
        <v>44603</v>
      </c>
      <c r="X140" s="132">
        <v>44603</v>
      </c>
      <c r="Y140" s="132"/>
      <c r="Z140" s="132"/>
      <c r="AA140" s="132"/>
      <c r="AB140" s="133"/>
      <c r="AC140" s="126" t="s">
        <v>64</v>
      </c>
      <c r="AD140" s="134" t="s">
        <v>154</v>
      </c>
      <c r="AE140" s="134" t="s">
        <v>1296</v>
      </c>
      <c r="AF140" s="134"/>
      <c r="AG140" s="134">
        <v>44516</v>
      </c>
      <c r="AH140" s="134"/>
      <c r="AI140" s="134">
        <f t="shared" ca="1" si="20"/>
        <v>44963</v>
      </c>
      <c r="AJ140" s="126">
        <f t="shared" ca="1" si="17"/>
        <v>447</v>
      </c>
      <c r="AK140" s="126" t="str">
        <f t="shared" si="18"/>
        <v/>
      </c>
      <c r="AL140" s="134"/>
      <c r="AM140" s="143" t="s">
        <v>2696</v>
      </c>
      <c r="AN140" s="129">
        <v>7.9349999999999996</v>
      </c>
      <c r="AO140" s="129">
        <v>7.9450000000000003</v>
      </c>
      <c r="AP140" s="129">
        <v>7.9700000000000006</v>
      </c>
      <c r="AQ140" s="129">
        <v>7.9750000000000005</v>
      </c>
      <c r="AR140" s="126">
        <f t="shared" ca="1" si="19"/>
        <v>360</v>
      </c>
      <c r="AU140" s="99" t="s">
        <v>136</v>
      </c>
    </row>
    <row r="141" spans="1:47" s="99" customFormat="1" ht="21" customHeight="1" x14ac:dyDescent="0.35">
      <c r="A141" s="99">
        <v>422</v>
      </c>
      <c r="B141" s="126" t="str">
        <f t="shared" si="15"/>
        <v>0-304L/2B-001X771</v>
      </c>
      <c r="C141" s="126" t="s">
        <v>3313</v>
      </c>
      <c r="D141" s="126" t="s">
        <v>3026</v>
      </c>
      <c r="E141" s="143" t="s">
        <v>2682</v>
      </c>
      <c r="F141" s="143" t="s">
        <v>3317</v>
      </c>
      <c r="G141" s="126" t="s">
        <v>230</v>
      </c>
      <c r="H141" s="126" t="s">
        <v>116</v>
      </c>
      <c r="I141" s="127">
        <v>2.89</v>
      </c>
      <c r="J141" s="127">
        <v>0.8</v>
      </c>
      <c r="K141" s="127">
        <v>0.78</v>
      </c>
      <c r="L141" s="127">
        <v>0.8</v>
      </c>
      <c r="M141" s="144">
        <v>771</v>
      </c>
      <c r="N141" s="129">
        <v>8.4849999999999994</v>
      </c>
      <c r="O141" s="129">
        <f>4.22+4.23</f>
        <v>8.4499999999999993</v>
      </c>
      <c r="P141" s="129"/>
      <c r="Q141" s="129">
        <v>5.0000000000000001E-3</v>
      </c>
      <c r="R141" s="129" t="s">
        <v>116</v>
      </c>
      <c r="S141" s="284" t="s">
        <v>3315</v>
      </c>
      <c r="T141" s="130" t="s">
        <v>2987</v>
      </c>
      <c r="U141" s="130"/>
      <c r="V141" s="131"/>
      <c r="W141" s="132">
        <v>44603</v>
      </c>
      <c r="X141" s="132">
        <v>44603</v>
      </c>
      <c r="Y141" s="132"/>
      <c r="Z141" s="132"/>
      <c r="AA141" s="132"/>
      <c r="AB141" s="133"/>
      <c r="AC141" s="126" t="s">
        <v>64</v>
      </c>
      <c r="AD141" s="134" t="s">
        <v>154</v>
      </c>
      <c r="AE141" s="134" t="s">
        <v>1296</v>
      </c>
      <c r="AF141" s="134"/>
      <c r="AG141" s="134">
        <v>44516</v>
      </c>
      <c r="AH141" s="134"/>
      <c r="AI141" s="134">
        <f t="shared" ca="1" si="20"/>
        <v>44963</v>
      </c>
      <c r="AJ141" s="126">
        <f t="shared" ca="1" si="17"/>
        <v>447</v>
      </c>
      <c r="AK141" s="126" t="str">
        <f t="shared" si="18"/>
        <v/>
      </c>
      <c r="AL141" s="134"/>
      <c r="AM141" s="143" t="s">
        <v>2684</v>
      </c>
      <c r="AN141" s="129">
        <v>8.4749999999999996</v>
      </c>
      <c r="AO141" s="129">
        <v>8.4849999999999994</v>
      </c>
      <c r="AP141" s="129">
        <v>8.509999999999998</v>
      </c>
      <c r="AQ141" s="129">
        <v>8.5149999999999988</v>
      </c>
      <c r="AR141" s="126">
        <f t="shared" ca="1" si="19"/>
        <v>360</v>
      </c>
      <c r="AU141" s="99" t="s">
        <v>136</v>
      </c>
    </row>
    <row r="142" spans="1:47" s="99" customFormat="1" ht="21" customHeight="1" x14ac:dyDescent="0.35">
      <c r="A142" s="99">
        <v>422</v>
      </c>
      <c r="B142" s="126" t="str">
        <f t="shared" si="15"/>
        <v>0-304L/2B-001X770</v>
      </c>
      <c r="C142" s="126" t="s">
        <v>3313</v>
      </c>
      <c r="D142" s="126" t="s">
        <v>3026</v>
      </c>
      <c r="E142" s="143" t="s">
        <v>2665</v>
      </c>
      <c r="F142" s="143" t="s">
        <v>3318</v>
      </c>
      <c r="G142" s="126" t="s">
        <v>230</v>
      </c>
      <c r="H142" s="126" t="s">
        <v>116</v>
      </c>
      <c r="I142" s="127">
        <v>2.91</v>
      </c>
      <c r="J142" s="127">
        <v>1</v>
      </c>
      <c r="K142" s="127">
        <v>0.98</v>
      </c>
      <c r="L142" s="127">
        <v>1</v>
      </c>
      <c r="M142" s="144">
        <v>770</v>
      </c>
      <c r="N142" s="129">
        <v>8.5399999999999991</v>
      </c>
      <c r="O142" s="129">
        <f>4.485+4.02</f>
        <v>8.504999999999999</v>
      </c>
      <c r="P142" s="129"/>
      <c r="Q142" s="129"/>
      <c r="R142" s="129" t="s">
        <v>116</v>
      </c>
      <c r="S142" s="284" t="s">
        <v>3315</v>
      </c>
      <c r="T142" s="130" t="s">
        <v>2987</v>
      </c>
      <c r="U142" s="130"/>
      <c r="V142" s="131"/>
      <c r="W142" s="132">
        <v>44602</v>
      </c>
      <c r="X142" s="132">
        <v>44602</v>
      </c>
      <c r="Y142" s="132"/>
      <c r="Z142" s="132"/>
      <c r="AA142" s="132"/>
      <c r="AB142" s="133"/>
      <c r="AC142" s="126" t="s">
        <v>64</v>
      </c>
      <c r="AD142" s="134" t="s">
        <v>154</v>
      </c>
      <c r="AE142" s="134" t="s">
        <v>1296</v>
      </c>
      <c r="AF142" s="134"/>
      <c r="AG142" s="134">
        <v>44516</v>
      </c>
      <c r="AH142" s="134"/>
      <c r="AI142" s="134">
        <f t="shared" ca="1" si="20"/>
        <v>44963</v>
      </c>
      <c r="AJ142" s="126">
        <f t="shared" ca="1" si="17"/>
        <v>447</v>
      </c>
      <c r="AK142" s="126" t="str">
        <f t="shared" si="18"/>
        <v/>
      </c>
      <c r="AL142" s="134"/>
      <c r="AM142" s="143" t="s">
        <v>2667</v>
      </c>
      <c r="AN142" s="129">
        <v>8.5350000000000001</v>
      </c>
      <c r="AO142" s="129">
        <v>8.5449999999999999</v>
      </c>
      <c r="AP142" s="129">
        <v>8.5699999999999985</v>
      </c>
      <c r="AQ142" s="129">
        <v>8.5749999999999993</v>
      </c>
      <c r="AR142" s="126">
        <f t="shared" ca="1" si="19"/>
        <v>361</v>
      </c>
      <c r="AU142" s="99" t="s">
        <v>136</v>
      </c>
    </row>
    <row r="143" spans="1:47" s="99" customFormat="1" ht="21" customHeight="1" x14ac:dyDescent="0.35">
      <c r="A143" s="99">
        <v>421</v>
      </c>
      <c r="B143" s="126" t="str">
        <f t="shared" si="15"/>
        <v>0-304/2B-001X770</v>
      </c>
      <c r="C143" s="126" t="s">
        <v>3313</v>
      </c>
      <c r="D143" s="126" t="s">
        <v>3026</v>
      </c>
      <c r="E143" s="143" t="s">
        <v>2709</v>
      </c>
      <c r="F143" s="143" t="s">
        <v>3319</v>
      </c>
      <c r="G143" s="126">
        <v>304</v>
      </c>
      <c r="H143" s="126" t="s">
        <v>116</v>
      </c>
      <c r="I143" s="127">
        <v>3.01</v>
      </c>
      <c r="J143" s="127">
        <v>1.1499999999999999</v>
      </c>
      <c r="K143" s="127">
        <v>1.1299999999999999</v>
      </c>
      <c r="L143" s="127">
        <v>1.1499999999999999</v>
      </c>
      <c r="M143" s="144">
        <v>770</v>
      </c>
      <c r="N143" s="129">
        <v>10.54</v>
      </c>
      <c r="O143" s="129">
        <f>4.495+5.89</f>
        <v>10.385</v>
      </c>
      <c r="P143" s="129"/>
      <c r="Q143" s="129">
        <v>4.0000000000000001E-3</v>
      </c>
      <c r="R143" s="129" t="s">
        <v>116</v>
      </c>
      <c r="S143" s="284" t="s">
        <v>3320</v>
      </c>
      <c r="T143" s="130" t="s">
        <v>1206</v>
      </c>
      <c r="U143" s="130"/>
      <c r="V143" s="131"/>
      <c r="W143" s="132">
        <v>44603</v>
      </c>
      <c r="X143" s="132">
        <v>44604</v>
      </c>
      <c r="Y143" s="132"/>
      <c r="Z143" s="132"/>
      <c r="AA143" s="132"/>
      <c r="AB143" s="133"/>
      <c r="AC143" s="126" t="s">
        <v>64</v>
      </c>
      <c r="AD143" s="134" t="s">
        <v>154</v>
      </c>
      <c r="AE143" s="134" t="s">
        <v>1239</v>
      </c>
      <c r="AF143" s="134"/>
      <c r="AG143" s="134">
        <v>44496</v>
      </c>
      <c r="AH143" s="134"/>
      <c r="AI143" s="134">
        <f t="shared" ca="1" si="20"/>
        <v>44963</v>
      </c>
      <c r="AJ143" s="126">
        <f t="shared" ca="1" si="17"/>
        <v>467</v>
      </c>
      <c r="AK143" s="126" t="str">
        <f t="shared" si="18"/>
        <v/>
      </c>
      <c r="AL143" s="134"/>
      <c r="AM143" s="143" t="s">
        <v>2711</v>
      </c>
      <c r="AN143" s="129">
        <v>10.5</v>
      </c>
      <c r="AO143" s="129">
        <v>10.51</v>
      </c>
      <c r="AP143" s="129">
        <v>10.534999999999998</v>
      </c>
      <c r="AQ143" s="129">
        <v>10.54</v>
      </c>
      <c r="AR143" s="126">
        <f t="shared" ca="1" si="19"/>
        <v>359</v>
      </c>
      <c r="AU143" s="99" t="s">
        <v>136</v>
      </c>
    </row>
    <row r="144" spans="1:47" s="99" customFormat="1" ht="21" customHeight="1" x14ac:dyDescent="0.35">
      <c r="A144" s="99">
        <v>424</v>
      </c>
      <c r="B144" s="126" t="str">
        <f t="shared" si="15"/>
        <v>0-304/2B-001X771</v>
      </c>
      <c r="C144" s="126" t="s">
        <v>3313</v>
      </c>
      <c r="D144" s="126" t="s">
        <v>3026</v>
      </c>
      <c r="E144" s="143" t="s">
        <v>2757</v>
      </c>
      <c r="F144" s="143" t="s">
        <v>3321</v>
      </c>
      <c r="G144" s="126">
        <v>304</v>
      </c>
      <c r="H144" s="126" t="s">
        <v>116</v>
      </c>
      <c r="I144" s="127">
        <v>3.24</v>
      </c>
      <c r="J144" s="127">
        <v>1.2</v>
      </c>
      <c r="K144" s="127">
        <v>1.22</v>
      </c>
      <c r="L144" s="127">
        <v>1.24</v>
      </c>
      <c r="M144" s="144">
        <v>771</v>
      </c>
      <c r="N144" s="129">
        <v>10.57</v>
      </c>
      <c r="O144" s="129">
        <f>4.485+6.03</f>
        <v>10.515000000000001</v>
      </c>
      <c r="P144" s="129"/>
      <c r="Q144" s="129">
        <v>7.0000000000000001E-3</v>
      </c>
      <c r="R144" s="129" t="s">
        <v>116</v>
      </c>
      <c r="S144" s="284" t="s">
        <v>3322</v>
      </c>
      <c r="T144" s="130" t="s">
        <v>3323</v>
      </c>
      <c r="U144" s="130"/>
      <c r="V144" s="131"/>
      <c r="W144" s="132">
        <v>44605</v>
      </c>
      <c r="X144" s="132">
        <v>44605</v>
      </c>
      <c r="Y144" s="132"/>
      <c r="Z144" s="132"/>
      <c r="AA144" s="132"/>
      <c r="AB144" s="133" t="s">
        <v>1395</v>
      </c>
      <c r="AC144" s="126" t="s">
        <v>64</v>
      </c>
      <c r="AD144" s="134" t="s">
        <v>154</v>
      </c>
      <c r="AE144" s="134" t="s">
        <v>1330</v>
      </c>
      <c r="AF144" s="134"/>
      <c r="AG144" s="134">
        <v>44554</v>
      </c>
      <c r="AH144" s="134"/>
      <c r="AI144" s="134">
        <f t="shared" ca="1" si="20"/>
        <v>44963</v>
      </c>
      <c r="AJ144" s="126">
        <f t="shared" ca="1" si="17"/>
        <v>409</v>
      </c>
      <c r="AK144" s="126" t="str">
        <f t="shared" si="18"/>
        <v/>
      </c>
      <c r="AL144" s="134"/>
      <c r="AM144" s="143" t="s">
        <v>2745</v>
      </c>
      <c r="AN144" s="129">
        <v>10.555</v>
      </c>
      <c r="AO144" s="129">
        <v>10.565</v>
      </c>
      <c r="AP144" s="129">
        <v>10.589999999999998</v>
      </c>
      <c r="AQ144" s="129">
        <v>10.594999999999999</v>
      </c>
      <c r="AR144" s="126">
        <f t="shared" ca="1" si="19"/>
        <v>358</v>
      </c>
      <c r="AU144" s="99" t="s">
        <v>136</v>
      </c>
    </row>
    <row r="145" spans="1:47" s="99" customFormat="1" ht="21" customHeight="1" x14ac:dyDescent="0.35">
      <c r="A145" s="99">
        <v>424</v>
      </c>
      <c r="B145" s="126" t="str">
        <f t="shared" si="15"/>
        <v>0-304L/2B-001X768</v>
      </c>
      <c r="C145" s="126" t="s">
        <v>3313</v>
      </c>
      <c r="D145" s="126" t="s">
        <v>3026</v>
      </c>
      <c r="E145" s="143" t="s">
        <v>2759</v>
      </c>
      <c r="F145" s="143" t="s">
        <v>3324</v>
      </c>
      <c r="G145" s="126" t="s">
        <v>230</v>
      </c>
      <c r="H145" s="126" t="s">
        <v>116</v>
      </c>
      <c r="I145" s="127">
        <v>3.5</v>
      </c>
      <c r="J145" s="127">
        <v>1.45</v>
      </c>
      <c r="K145" s="127">
        <v>1.44</v>
      </c>
      <c r="L145" s="127">
        <v>1.46</v>
      </c>
      <c r="M145" s="144">
        <v>768</v>
      </c>
      <c r="N145" s="129">
        <v>10.43</v>
      </c>
      <c r="O145" s="129">
        <f>5.805+4.575</f>
        <v>10.379999999999999</v>
      </c>
      <c r="P145" s="129"/>
      <c r="Q145" s="129">
        <v>5.0000000000000001E-3</v>
      </c>
      <c r="R145" s="129" t="s">
        <v>116</v>
      </c>
      <c r="S145" s="284" t="s">
        <v>3325</v>
      </c>
      <c r="T145" s="130" t="s">
        <v>2992</v>
      </c>
      <c r="U145" s="130"/>
      <c r="V145" s="131"/>
      <c r="W145" s="132">
        <v>44605</v>
      </c>
      <c r="X145" s="132">
        <v>44605</v>
      </c>
      <c r="Y145" s="132"/>
      <c r="Z145" s="132"/>
      <c r="AA145" s="132"/>
      <c r="AB145" s="133" t="s">
        <v>1395</v>
      </c>
      <c r="AC145" s="126" t="s">
        <v>64</v>
      </c>
      <c r="AD145" s="134" t="s">
        <v>154</v>
      </c>
      <c r="AE145" s="134" t="s">
        <v>1516</v>
      </c>
      <c r="AF145" s="134"/>
      <c r="AG145" s="134">
        <v>44554</v>
      </c>
      <c r="AH145" s="134"/>
      <c r="AI145" s="134">
        <f t="shared" ca="1" si="20"/>
        <v>44963</v>
      </c>
      <c r="AJ145" s="126">
        <f t="shared" ca="1" si="17"/>
        <v>409</v>
      </c>
      <c r="AK145" s="126" t="str">
        <f t="shared" si="18"/>
        <v/>
      </c>
      <c r="AL145" s="134"/>
      <c r="AM145" s="143" t="s">
        <v>1641</v>
      </c>
      <c r="AN145" s="129">
        <v>10.43</v>
      </c>
      <c r="AO145" s="129">
        <v>10.44</v>
      </c>
      <c r="AP145" s="129">
        <v>10.464999999999998</v>
      </c>
      <c r="AQ145" s="129">
        <v>10.469999999999999</v>
      </c>
      <c r="AR145" s="126">
        <f t="shared" ca="1" si="19"/>
        <v>358</v>
      </c>
      <c r="AU145" s="99" t="s">
        <v>136</v>
      </c>
    </row>
    <row r="146" spans="1:47" s="99" customFormat="1" ht="21" customHeight="1" x14ac:dyDescent="0.35">
      <c r="A146" s="99">
        <v>424</v>
      </c>
      <c r="B146" s="126" t="str">
        <f t="shared" si="15"/>
        <v>0-304/2B-001X770</v>
      </c>
      <c r="C146" s="126" t="s">
        <v>3313</v>
      </c>
      <c r="D146" s="126" t="s">
        <v>3026</v>
      </c>
      <c r="E146" s="143" t="s">
        <v>2743</v>
      </c>
      <c r="F146" s="143" t="s">
        <v>3326</v>
      </c>
      <c r="G146" s="126">
        <v>304</v>
      </c>
      <c r="H146" s="126" t="s">
        <v>116</v>
      </c>
      <c r="I146" s="127">
        <v>3.25</v>
      </c>
      <c r="J146" s="127">
        <v>1.2</v>
      </c>
      <c r="K146" s="127">
        <v>1.2</v>
      </c>
      <c r="L146" s="127">
        <v>1.21</v>
      </c>
      <c r="M146" s="144">
        <v>770</v>
      </c>
      <c r="N146" s="129">
        <v>10.55</v>
      </c>
      <c r="O146" s="129">
        <f>5.19+5.33</f>
        <v>10.52</v>
      </c>
      <c r="P146" s="129"/>
      <c r="Q146" s="129"/>
      <c r="R146" s="129" t="s">
        <v>116</v>
      </c>
      <c r="S146" s="284" t="s">
        <v>3325</v>
      </c>
      <c r="T146" s="130" t="s">
        <v>2992</v>
      </c>
      <c r="U146" s="130"/>
      <c r="V146" s="131"/>
      <c r="W146" s="132">
        <v>44605</v>
      </c>
      <c r="X146" s="132">
        <v>44605</v>
      </c>
      <c r="Y146" s="132"/>
      <c r="Z146" s="132"/>
      <c r="AA146" s="132"/>
      <c r="AB146" s="133" t="s">
        <v>1395</v>
      </c>
      <c r="AC146" s="126" t="s">
        <v>64</v>
      </c>
      <c r="AD146" s="134" t="s">
        <v>154</v>
      </c>
      <c r="AE146" s="134" t="s">
        <v>1330</v>
      </c>
      <c r="AF146" s="134"/>
      <c r="AG146" s="134">
        <v>44554</v>
      </c>
      <c r="AH146" s="134"/>
      <c r="AI146" s="134">
        <f t="shared" ca="1" si="20"/>
        <v>44963</v>
      </c>
      <c r="AJ146" s="126">
        <f t="shared" ca="1" si="17"/>
        <v>409</v>
      </c>
      <c r="AK146" s="126" t="str">
        <f t="shared" si="18"/>
        <v/>
      </c>
      <c r="AL146" s="134"/>
      <c r="AM146" s="143" t="s">
        <v>2745</v>
      </c>
      <c r="AN146" s="129">
        <v>10.555</v>
      </c>
      <c r="AO146" s="129">
        <v>10.565</v>
      </c>
      <c r="AP146" s="129">
        <v>10.589999999999998</v>
      </c>
      <c r="AQ146" s="129">
        <v>10.594999999999999</v>
      </c>
      <c r="AR146" s="126">
        <f t="shared" ca="1" si="19"/>
        <v>358</v>
      </c>
      <c r="AU146" s="99" t="s">
        <v>136</v>
      </c>
    </row>
    <row r="147" spans="1:47" s="741" customFormat="1" ht="21" customHeight="1" x14ac:dyDescent="0.35">
      <c r="A147" s="741">
        <v>424</v>
      </c>
      <c r="B147" s="742" t="str">
        <f t="shared" si="15"/>
        <v>0-304L/2B-001X768</v>
      </c>
      <c r="C147" s="742" t="s">
        <v>3313</v>
      </c>
      <c r="D147" s="742" t="s">
        <v>3026</v>
      </c>
      <c r="E147" s="743" t="s">
        <v>1639</v>
      </c>
      <c r="F147" s="743" t="s">
        <v>3327</v>
      </c>
      <c r="G147" s="742" t="s">
        <v>230</v>
      </c>
      <c r="H147" s="742" t="s">
        <v>116</v>
      </c>
      <c r="I147" s="744">
        <v>3.5</v>
      </c>
      <c r="J147" s="744">
        <v>1.45</v>
      </c>
      <c r="K147" s="744">
        <v>1.43</v>
      </c>
      <c r="L147" s="744">
        <v>1.45</v>
      </c>
      <c r="M147" s="745">
        <v>768</v>
      </c>
      <c r="N147" s="824">
        <f>10.47</f>
        <v>10.47</v>
      </c>
      <c r="O147" s="746">
        <v>4.0250000000000004</v>
      </c>
      <c r="P147" s="746"/>
      <c r="Q147" s="746"/>
      <c r="R147" s="746" t="s">
        <v>116</v>
      </c>
      <c r="S147" s="747" t="s">
        <v>3325</v>
      </c>
      <c r="T147" s="748" t="s">
        <v>2992</v>
      </c>
      <c r="U147" s="748"/>
      <c r="V147" s="749"/>
      <c r="W147" s="750">
        <v>44605</v>
      </c>
      <c r="X147" s="750">
        <v>44606</v>
      </c>
      <c r="Y147" s="750"/>
      <c r="Z147" s="750"/>
      <c r="AA147" s="750"/>
      <c r="AB147" s="751" t="s">
        <v>1395</v>
      </c>
      <c r="AC147" s="742" t="s">
        <v>64</v>
      </c>
      <c r="AD147" s="752" t="s">
        <v>154</v>
      </c>
      <c r="AE147" s="752" t="s">
        <v>1516</v>
      </c>
      <c r="AF147" s="752"/>
      <c r="AG147" s="752">
        <v>44554</v>
      </c>
      <c r="AH147" s="752"/>
      <c r="AI147" s="752">
        <f t="shared" ca="1" si="20"/>
        <v>44963</v>
      </c>
      <c r="AJ147" s="742">
        <f t="shared" ca="1" si="17"/>
        <v>409</v>
      </c>
      <c r="AK147" s="742" t="str">
        <f t="shared" si="18"/>
        <v/>
      </c>
      <c r="AL147" s="752"/>
      <c r="AM147" s="743" t="s">
        <v>1641</v>
      </c>
      <c r="AN147" s="746">
        <v>10.435</v>
      </c>
      <c r="AO147" s="746">
        <v>10.445</v>
      </c>
      <c r="AP147" s="746">
        <v>10.469999999999999</v>
      </c>
      <c r="AQ147" s="746">
        <v>10.475</v>
      </c>
      <c r="AR147" s="742">
        <f t="shared" ca="1" si="19"/>
        <v>357</v>
      </c>
      <c r="AU147" s="741" t="s">
        <v>136</v>
      </c>
    </row>
    <row r="148" spans="1:47" s="741" customFormat="1" ht="21" customHeight="1" x14ac:dyDescent="0.35">
      <c r="A148" s="741">
        <v>424</v>
      </c>
      <c r="B148" s="742" t="str">
        <f t="shared" si="15"/>
        <v>0-304L/2B-001X768</v>
      </c>
      <c r="C148" s="742" t="s">
        <v>3328</v>
      </c>
      <c r="D148" s="742" t="s">
        <v>358</v>
      </c>
      <c r="E148" s="743" t="s">
        <v>1639</v>
      </c>
      <c r="F148" s="743" t="s">
        <v>1640</v>
      </c>
      <c r="G148" s="742" t="s">
        <v>230</v>
      </c>
      <c r="H148" s="742" t="s">
        <v>116</v>
      </c>
      <c r="I148" s="744">
        <v>3.5</v>
      </c>
      <c r="J148" s="744">
        <v>1.45</v>
      </c>
      <c r="K148" s="744">
        <v>1.43</v>
      </c>
      <c r="L148" s="744">
        <v>1.45</v>
      </c>
      <c r="M148" s="745">
        <v>768</v>
      </c>
      <c r="N148" s="825"/>
      <c r="O148" s="746">
        <v>6.39</v>
      </c>
      <c r="P148" s="746"/>
      <c r="Q148" s="746"/>
      <c r="R148" s="746" t="s">
        <v>116</v>
      </c>
      <c r="S148" s="747"/>
      <c r="T148" s="748" t="s">
        <v>446</v>
      </c>
      <c r="U148" s="748"/>
      <c r="V148" s="749"/>
      <c r="W148" s="750">
        <v>44605</v>
      </c>
      <c r="X148" s="750">
        <v>44606</v>
      </c>
      <c r="Y148" s="750">
        <v>44607</v>
      </c>
      <c r="Z148" s="750"/>
      <c r="AA148" s="750"/>
      <c r="AB148" s="751" t="s">
        <v>1395</v>
      </c>
      <c r="AC148" s="742" t="s">
        <v>64</v>
      </c>
      <c r="AD148" s="752" t="s">
        <v>154</v>
      </c>
      <c r="AE148" s="752" t="s">
        <v>1516</v>
      </c>
      <c r="AF148" s="752"/>
      <c r="AG148" s="752">
        <v>44554</v>
      </c>
      <c r="AH148" s="752"/>
      <c r="AI148" s="752">
        <f t="shared" ca="1" si="20"/>
        <v>44963</v>
      </c>
      <c r="AJ148" s="742">
        <f t="shared" ca="1" si="17"/>
        <v>409</v>
      </c>
      <c r="AK148" s="742">
        <f t="shared" ca="1" si="18"/>
        <v>356</v>
      </c>
      <c r="AL148" s="752"/>
      <c r="AM148" s="743" t="s">
        <v>1641</v>
      </c>
      <c r="AN148" s="746">
        <v>10.435</v>
      </c>
      <c r="AO148" s="746">
        <v>10.445</v>
      </c>
      <c r="AP148" s="746">
        <v>10.469999999999999</v>
      </c>
      <c r="AQ148" s="746">
        <v>10.475</v>
      </c>
      <c r="AR148" s="742">
        <f t="shared" ca="1" si="19"/>
        <v>357</v>
      </c>
      <c r="AU148" s="741" t="s">
        <v>136</v>
      </c>
    </row>
    <row r="149" spans="1:47" s="99" customFormat="1" ht="21" customHeight="1" x14ac:dyDescent="0.35">
      <c r="A149" s="99">
        <v>424</v>
      </c>
      <c r="B149" s="126" t="str">
        <f t="shared" si="15"/>
        <v>0-304L/2B-002X768</v>
      </c>
      <c r="C149" s="126" t="s">
        <v>3313</v>
      </c>
      <c r="D149" s="126" t="s">
        <v>3026</v>
      </c>
      <c r="E149" s="143" t="s">
        <v>2765</v>
      </c>
      <c r="F149" s="143" t="s">
        <v>3329</v>
      </c>
      <c r="G149" s="126" t="s">
        <v>230</v>
      </c>
      <c r="H149" s="126" t="s">
        <v>116</v>
      </c>
      <c r="I149" s="127">
        <v>3.98</v>
      </c>
      <c r="J149" s="127">
        <v>2</v>
      </c>
      <c r="K149" s="127">
        <v>2.0099999999999998</v>
      </c>
      <c r="L149" s="127">
        <v>2.04</v>
      </c>
      <c r="M149" s="144">
        <v>768</v>
      </c>
      <c r="N149" s="129">
        <v>10.33</v>
      </c>
      <c r="O149" s="129">
        <f>5.09+5.165</f>
        <v>10.254999999999999</v>
      </c>
      <c r="P149" s="129"/>
      <c r="Q149" s="129"/>
      <c r="R149" s="129" t="s">
        <v>116</v>
      </c>
      <c r="S149" s="284" t="s">
        <v>3322</v>
      </c>
      <c r="T149" s="130" t="s">
        <v>3330</v>
      </c>
      <c r="U149" s="130"/>
      <c r="V149" s="131"/>
      <c r="W149" s="132">
        <v>44605</v>
      </c>
      <c r="X149" s="132">
        <v>44606</v>
      </c>
      <c r="Y149" s="132"/>
      <c r="Z149" s="132"/>
      <c r="AA149" s="132"/>
      <c r="AB149" s="133" t="s">
        <v>1395</v>
      </c>
      <c r="AC149" s="126" t="s">
        <v>64</v>
      </c>
      <c r="AD149" s="134" t="s">
        <v>154</v>
      </c>
      <c r="AE149" s="134" t="s">
        <v>1516</v>
      </c>
      <c r="AF149" s="134"/>
      <c r="AG149" s="134">
        <v>44554</v>
      </c>
      <c r="AH149" s="134"/>
      <c r="AI149" s="134">
        <f t="shared" ca="1" si="20"/>
        <v>44963</v>
      </c>
      <c r="AJ149" s="126">
        <f t="shared" ca="1" si="17"/>
        <v>409</v>
      </c>
      <c r="AK149" s="126" t="str">
        <f t="shared" si="18"/>
        <v/>
      </c>
      <c r="AL149" s="134"/>
      <c r="AM149" s="143" t="s">
        <v>2767</v>
      </c>
      <c r="AN149" s="129">
        <v>10.305</v>
      </c>
      <c r="AO149" s="129">
        <v>10.315</v>
      </c>
      <c r="AP149" s="129">
        <v>10.339999999999998</v>
      </c>
      <c r="AQ149" s="129">
        <v>10.344999999999999</v>
      </c>
      <c r="AR149" s="126">
        <f t="shared" ca="1" si="19"/>
        <v>357</v>
      </c>
      <c r="AU149" s="99" t="s">
        <v>136</v>
      </c>
    </row>
    <row r="150" spans="1:47" s="99" customFormat="1" ht="21" customHeight="1" x14ac:dyDescent="0.35">
      <c r="A150" s="99">
        <v>424</v>
      </c>
      <c r="B150" s="126" t="str">
        <f t="shared" si="15"/>
        <v>0-304L/2B-001X774</v>
      </c>
      <c r="C150" s="126" t="s">
        <v>3313</v>
      </c>
      <c r="D150" s="126" t="s">
        <v>3026</v>
      </c>
      <c r="E150" s="143" t="s">
        <v>2789</v>
      </c>
      <c r="F150" s="143" t="s">
        <v>3331</v>
      </c>
      <c r="G150" s="126" t="s">
        <v>230</v>
      </c>
      <c r="H150" s="126" t="s">
        <v>116</v>
      </c>
      <c r="I150" s="127">
        <v>3.5</v>
      </c>
      <c r="J150" s="127">
        <v>1.45</v>
      </c>
      <c r="K150" s="127">
        <v>1.45</v>
      </c>
      <c r="L150" s="127">
        <v>1.46</v>
      </c>
      <c r="M150" s="144">
        <v>774</v>
      </c>
      <c r="N150" s="129">
        <v>5.05</v>
      </c>
      <c r="O150" s="129">
        <v>5.05</v>
      </c>
      <c r="P150" s="129"/>
      <c r="Q150" s="129"/>
      <c r="R150" s="129" t="s">
        <v>116</v>
      </c>
      <c r="S150" s="284" t="s">
        <v>3325</v>
      </c>
      <c r="T150" s="130" t="s">
        <v>2992</v>
      </c>
      <c r="U150" s="130"/>
      <c r="V150" s="131"/>
      <c r="W150" s="132">
        <v>44606</v>
      </c>
      <c r="X150" s="132">
        <v>44606</v>
      </c>
      <c r="Y150" s="132"/>
      <c r="Z150" s="132"/>
      <c r="AA150" s="132"/>
      <c r="AB150" s="133" t="s">
        <v>1395</v>
      </c>
      <c r="AC150" s="126" t="s">
        <v>64</v>
      </c>
      <c r="AD150" s="134" t="s">
        <v>154</v>
      </c>
      <c r="AE150" s="134" t="s">
        <v>1330</v>
      </c>
      <c r="AF150" s="134"/>
      <c r="AG150" s="134">
        <v>44554</v>
      </c>
      <c r="AH150" s="134"/>
      <c r="AI150" s="134">
        <f t="shared" ca="1" si="20"/>
        <v>44963</v>
      </c>
      <c r="AJ150" s="126">
        <f t="shared" ca="1" si="17"/>
        <v>409</v>
      </c>
      <c r="AK150" s="126" t="str">
        <f t="shared" si="18"/>
        <v/>
      </c>
      <c r="AL150" s="134"/>
      <c r="AM150" s="143" t="s">
        <v>1367</v>
      </c>
      <c r="AN150" s="129">
        <v>9.9949999999999992</v>
      </c>
      <c r="AO150" s="129">
        <v>10.005000000000001</v>
      </c>
      <c r="AP150" s="129">
        <v>10.029999999999999</v>
      </c>
      <c r="AQ150" s="129">
        <v>10.035</v>
      </c>
      <c r="AR150" s="126">
        <f t="shared" ca="1" si="19"/>
        <v>357</v>
      </c>
      <c r="AU150" s="99" t="s">
        <v>136</v>
      </c>
    </row>
    <row r="151" spans="1:47" s="99" customFormat="1" ht="21" customHeight="1" x14ac:dyDescent="0.35">
      <c r="A151" s="99">
        <v>424</v>
      </c>
      <c r="B151" s="126" t="str">
        <f t="shared" si="15"/>
        <v>0-304L/2B-001X774</v>
      </c>
      <c r="C151" s="126" t="s">
        <v>3332</v>
      </c>
      <c r="D151" s="126" t="s">
        <v>3026</v>
      </c>
      <c r="E151" s="143" t="s">
        <v>2789</v>
      </c>
      <c r="F151" s="143" t="s">
        <v>3333</v>
      </c>
      <c r="G151" s="126" t="s">
        <v>230</v>
      </c>
      <c r="H151" s="126" t="s">
        <v>116</v>
      </c>
      <c r="I151" s="127">
        <v>3.5</v>
      </c>
      <c r="J151" s="127">
        <v>1.45</v>
      </c>
      <c r="K151" s="127">
        <v>1.45</v>
      </c>
      <c r="L151" s="127">
        <v>1.46</v>
      </c>
      <c r="M151" s="144">
        <v>774</v>
      </c>
      <c r="N151" s="129">
        <f>10.005-5.05</f>
        <v>4.955000000000001</v>
      </c>
      <c r="O151" s="129">
        <v>4.9050000000000002</v>
      </c>
      <c r="P151" s="129"/>
      <c r="Q151" s="129">
        <v>8.9999999999999993E-3</v>
      </c>
      <c r="R151" s="129" t="s">
        <v>116</v>
      </c>
      <c r="S151" s="284" t="s">
        <v>3325</v>
      </c>
      <c r="T151" s="130" t="s">
        <v>2992</v>
      </c>
      <c r="U151" s="130"/>
      <c r="V151" s="131"/>
      <c r="W151" s="132">
        <v>44606</v>
      </c>
      <c r="X151" s="132">
        <v>44606</v>
      </c>
      <c r="Y151" s="132"/>
      <c r="Z151" s="132"/>
      <c r="AA151" s="132"/>
      <c r="AB151" s="133" t="s">
        <v>1395</v>
      </c>
      <c r="AC151" s="126" t="s">
        <v>64</v>
      </c>
      <c r="AD151" s="134" t="s">
        <v>154</v>
      </c>
      <c r="AE151" s="134" t="s">
        <v>1330</v>
      </c>
      <c r="AF151" s="134"/>
      <c r="AG151" s="134">
        <v>44554</v>
      </c>
      <c r="AH151" s="134"/>
      <c r="AI151" s="134">
        <f t="shared" ca="1" si="20"/>
        <v>44963</v>
      </c>
      <c r="AJ151" s="126">
        <f t="shared" ca="1" si="17"/>
        <v>409</v>
      </c>
      <c r="AK151" s="126" t="str">
        <f t="shared" si="18"/>
        <v/>
      </c>
      <c r="AL151" s="134"/>
      <c r="AM151" s="143" t="s">
        <v>1367</v>
      </c>
      <c r="AN151" s="129">
        <v>9.9949999999999992</v>
      </c>
      <c r="AO151" s="129">
        <v>10.005000000000001</v>
      </c>
      <c r="AP151" s="129">
        <v>10.029999999999999</v>
      </c>
      <c r="AQ151" s="129">
        <v>10.035</v>
      </c>
      <c r="AR151" s="126">
        <f t="shared" ca="1" si="19"/>
        <v>357</v>
      </c>
      <c r="AU151" s="99" t="s">
        <v>136</v>
      </c>
    </row>
    <row r="152" spans="1:47" s="99" customFormat="1" ht="21" customHeight="1" x14ac:dyDescent="0.35">
      <c r="A152" s="99">
        <v>421</v>
      </c>
      <c r="B152" s="126" t="str">
        <f t="shared" si="15"/>
        <v>0-304L/2B-001X770</v>
      </c>
      <c r="C152" s="126" t="s">
        <v>3332</v>
      </c>
      <c r="D152" s="126" t="s">
        <v>3026</v>
      </c>
      <c r="E152" s="143" t="s">
        <v>2775</v>
      </c>
      <c r="F152" s="143" t="s">
        <v>3334</v>
      </c>
      <c r="G152" s="126" t="s">
        <v>230</v>
      </c>
      <c r="H152" s="126" t="s">
        <v>116</v>
      </c>
      <c r="I152" s="127">
        <v>2.92</v>
      </c>
      <c r="J152" s="127">
        <v>0.9</v>
      </c>
      <c r="K152" s="127">
        <v>0.88</v>
      </c>
      <c r="L152" s="127">
        <v>0.89</v>
      </c>
      <c r="M152" s="144">
        <v>770</v>
      </c>
      <c r="N152" s="129">
        <v>10.494999999999999</v>
      </c>
      <c r="O152" s="129">
        <f>5.275+5.18</f>
        <v>10.455</v>
      </c>
      <c r="P152" s="129"/>
      <c r="Q152" s="129">
        <v>6.0000000000000001E-3</v>
      </c>
      <c r="R152" s="129" t="s">
        <v>116</v>
      </c>
      <c r="S152" s="284" t="s">
        <v>3335</v>
      </c>
      <c r="T152" s="130" t="s">
        <v>3336</v>
      </c>
      <c r="U152" s="130"/>
      <c r="V152" s="131"/>
      <c r="W152" s="132">
        <v>44606</v>
      </c>
      <c r="X152" s="132">
        <v>44606</v>
      </c>
      <c r="Y152" s="132"/>
      <c r="Z152" s="132"/>
      <c r="AA152" s="132"/>
      <c r="AB152" s="133"/>
      <c r="AC152" s="126" t="s">
        <v>64</v>
      </c>
      <c r="AD152" s="134" t="s">
        <v>154</v>
      </c>
      <c r="AE152" s="134" t="s">
        <v>1246</v>
      </c>
      <c r="AF152" s="134"/>
      <c r="AG152" s="134">
        <v>44496</v>
      </c>
      <c r="AH152" s="134"/>
      <c r="AI152" s="134">
        <f t="shared" ca="1" si="20"/>
        <v>44963</v>
      </c>
      <c r="AJ152" s="126">
        <f t="shared" ca="1" si="17"/>
        <v>467</v>
      </c>
      <c r="AK152" s="126" t="str">
        <f t="shared" si="18"/>
        <v/>
      </c>
      <c r="AL152" s="134"/>
      <c r="AM152" s="143" t="s">
        <v>2777</v>
      </c>
      <c r="AN152" s="129">
        <v>10.475</v>
      </c>
      <c r="AO152" s="129">
        <v>10.484999999999999</v>
      </c>
      <c r="AP152" s="129">
        <v>10.509999999999998</v>
      </c>
      <c r="AQ152" s="129">
        <v>10.514999999999999</v>
      </c>
      <c r="AR152" s="126">
        <f t="shared" ca="1" si="19"/>
        <v>357</v>
      </c>
      <c r="AU152" s="99" t="s">
        <v>136</v>
      </c>
    </row>
    <row r="153" spans="1:47" s="99" customFormat="1" ht="21" customHeight="1" x14ac:dyDescent="0.35">
      <c r="A153" s="99">
        <v>424</v>
      </c>
      <c r="B153" s="126" t="str">
        <f t="shared" ref="B153:B216" si="21">IF(C153="HOLD RM","HOLD RM",IF(C153="BAL","WIP",IF(C153="HOLD SLT","HOLD SLT",IF(C153="MILL","RM",IF(C153="RE SLT","WIP",IF(C153="RM","RM",IF(C153="RM BAL","RM",IF(C153="RM SLT","RM",IF(C153="RR","WIP",IF(C153="SKP","WIP",IF(C153="SLT","WIP",IF(C153="CTL","WIP",IF(C153="RM SLT RUST","RM SLT RUST",0)))))))))))))&amp;"-"&amp;G153&amp;"/"&amp;IF(H153="2B","2B",IF(H153="NO.1","1D",IF(H153="FH","FH",0)))&amp;"-"&amp;IF(J153="",(TEXT(I153,"0.00")),TEXT(J153,"0.00"))&amp;"X"&amp;M153</f>
        <v>0-304L/2B-001X771</v>
      </c>
      <c r="C153" s="126" t="s">
        <v>3332</v>
      </c>
      <c r="D153" s="126" t="s">
        <v>3026</v>
      </c>
      <c r="E153" s="143" t="s">
        <v>2786</v>
      </c>
      <c r="F153" s="143" t="s">
        <v>3337</v>
      </c>
      <c r="G153" s="126" t="s">
        <v>230</v>
      </c>
      <c r="H153" s="126" t="s">
        <v>116</v>
      </c>
      <c r="I153" s="127">
        <v>3.34</v>
      </c>
      <c r="J153" s="127">
        <v>1.1499999999999999</v>
      </c>
      <c r="K153" s="127">
        <v>1.1499999999999999</v>
      </c>
      <c r="L153" s="127">
        <v>1.17</v>
      </c>
      <c r="M153" s="144">
        <v>771</v>
      </c>
      <c r="N153" s="129">
        <v>10.455</v>
      </c>
      <c r="O153" s="129">
        <f>5.03+5.39</f>
        <v>10.42</v>
      </c>
      <c r="P153" s="129"/>
      <c r="Q153" s="129"/>
      <c r="R153" s="129" t="s">
        <v>116</v>
      </c>
      <c r="S153" s="284" t="s">
        <v>3338</v>
      </c>
      <c r="T153" s="130" t="s">
        <v>1206</v>
      </c>
      <c r="U153" s="130"/>
      <c r="V153" s="131"/>
      <c r="W153" s="132">
        <v>44606</v>
      </c>
      <c r="X153" s="132">
        <v>44606</v>
      </c>
      <c r="Y153" s="132"/>
      <c r="Z153" s="132"/>
      <c r="AA153" s="132"/>
      <c r="AB153" s="133" t="s">
        <v>1395</v>
      </c>
      <c r="AC153" s="126" t="s">
        <v>64</v>
      </c>
      <c r="AD153" s="134" t="s">
        <v>154</v>
      </c>
      <c r="AE153" s="134" t="s">
        <v>1330</v>
      </c>
      <c r="AF153" s="134"/>
      <c r="AG153" s="134">
        <v>44554</v>
      </c>
      <c r="AH153" s="134"/>
      <c r="AI153" s="134">
        <f t="shared" ca="1" si="20"/>
        <v>44963</v>
      </c>
      <c r="AJ153" s="126">
        <f t="shared" ref="AJ153:AJ213" ca="1" si="22">IF(AG153&lt;&gt;0,AI153-AG153,0)</f>
        <v>409</v>
      </c>
      <c r="AK153" s="126" t="str">
        <f t="shared" ref="AK153:AK216" si="23">IF(ISNUMBER(Y153)=TRUE,AI153-Y153,IF(Y153="","",(AI153)-(MID(RIGHT(Y153,10),4,2)&amp;"/"&amp;LEFT((RIGHT(Y153,10)),2)&amp;"/"&amp;RIGHT(Y153,4))))</f>
        <v/>
      </c>
      <c r="AL153" s="134"/>
      <c r="AM153" s="143" t="s">
        <v>2788</v>
      </c>
      <c r="AN153" s="129">
        <v>10.44</v>
      </c>
      <c r="AO153" s="129">
        <v>10.45</v>
      </c>
      <c r="AP153" s="129">
        <v>10.474999999999998</v>
      </c>
      <c r="AQ153" s="129">
        <v>10.479999999999999</v>
      </c>
      <c r="AR153" s="126">
        <f t="shared" ref="AR153:AR216" ca="1" si="24">IF(ISNUMBER(X153)=TRUE,AI153-X153,IF(X153="","",(AI153)-(MID(RIGHT(X153,10),4,2)&amp;"/"&amp;LEFT((RIGHT(X153,10)),2)&amp;"/"&amp;RIGHT(X153,4))))</f>
        <v>357</v>
      </c>
      <c r="AU153" s="99" t="s">
        <v>136</v>
      </c>
    </row>
    <row r="154" spans="1:47" s="99" customFormat="1" ht="21" customHeight="1" x14ac:dyDescent="0.35">
      <c r="A154" s="99">
        <v>421</v>
      </c>
      <c r="B154" s="126" t="str">
        <f t="shared" si="21"/>
        <v>0-304L/2B-001X770</v>
      </c>
      <c r="C154" s="126" t="s">
        <v>3332</v>
      </c>
      <c r="D154" s="126" t="s">
        <v>3026</v>
      </c>
      <c r="E154" s="143" t="s">
        <v>2734</v>
      </c>
      <c r="F154" s="143" t="s">
        <v>3339</v>
      </c>
      <c r="G154" s="126" t="s">
        <v>230</v>
      </c>
      <c r="H154" s="126" t="s">
        <v>116</v>
      </c>
      <c r="I154" s="127">
        <v>2.8</v>
      </c>
      <c r="J154" s="127">
        <v>0.8</v>
      </c>
      <c r="K154" s="127">
        <v>0.8</v>
      </c>
      <c r="L154" s="127">
        <v>0.82</v>
      </c>
      <c r="M154" s="144">
        <v>770</v>
      </c>
      <c r="N154" s="129">
        <v>10.435</v>
      </c>
      <c r="O154" s="129">
        <f>5.205+5.175</f>
        <v>10.379999999999999</v>
      </c>
      <c r="P154" s="129"/>
      <c r="Q154" s="129">
        <v>0.01</v>
      </c>
      <c r="R154" s="129" t="s">
        <v>116</v>
      </c>
      <c r="S154" s="284" t="s">
        <v>3340</v>
      </c>
      <c r="T154" s="130" t="s">
        <v>1206</v>
      </c>
      <c r="U154" s="130"/>
      <c r="V154" s="131"/>
      <c r="W154" s="132">
        <v>44604</v>
      </c>
      <c r="X154" s="132">
        <v>44604</v>
      </c>
      <c r="Y154" s="132"/>
      <c r="Z154" s="132"/>
      <c r="AA154" s="132"/>
      <c r="AB154" s="133"/>
      <c r="AC154" s="126" t="s">
        <v>64</v>
      </c>
      <c r="AD154" s="134" t="s">
        <v>154</v>
      </c>
      <c r="AE154" s="134" t="s">
        <v>1239</v>
      </c>
      <c r="AF154" s="134"/>
      <c r="AG154" s="134">
        <v>44496</v>
      </c>
      <c r="AH154" s="134"/>
      <c r="AI154" s="134">
        <f t="shared" ca="1" si="20"/>
        <v>44963</v>
      </c>
      <c r="AJ154" s="126">
        <f t="shared" ca="1" si="22"/>
        <v>467</v>
      </c>
      <c r="AK154" s="126" t="str">
        <f t="shared" si="23"/>
        <v/>
      </c>
      <c r="AL154" s="134"/>
      <c r="AM154" s="143" t="s">
        <v>2728</v>
      </c>
      <c r="AN154" s="129">
        <v>10.404999999999999</v>
      </c>
      <c r="AO154" s="129">
        <v>10.414999999999999</v>
      </c>
      <c r="AP154" s="129">
        <v>10.439999999999998</v>
      </c>
      <c r="AQ154" s="129">
        <v>10.444999999999999</v>
      </c>
      <c r="AR154" s="126">
        <f t="shared" ca="1" si="24"/>
        <v>359</v>
      </c>
      <c r="AU154" s="99" t="s">
        <v>136</v>
      </c>
    </row>
    <row r="155" spans="1:47" s="99" customFormat="1" ht="21" customHeight="1" x14ac:dyDescent="0.35">
      <c r="A155" s="99">
        <v>422</v>
      </c>
      <c r="B155" s="126" t="str">
        <f t="shared" si="21"/>
        <v>0-304L/2B-001X772</v>
      </c>
      <c r="C155" s="126" t="s">
        <v>3332</v>
      </c>
      <c r="D155" s="126" t="s">
        <v>3026</v>
      </c>
      <c r="E155" s="143" t="s">
        <v>2701</v>
      </c>
      <c r="F155" s="143" t="s">
        <v>3341</v>
      </c>
      <c r="G155" s="126" t="s">
        <v>230</v>
      </c>
      <c r="H155" s="126" t="s">
        <v>116</v>
      </c>
      <c r="I155" s="127">
        <v>2.89</v>
      </c>
      <c r="J155" s="127">
        <v>0.9</v>
      </c>
      <c r="K155" s="127">
        <v>0.91</v>
      </c>
      <c r="L155" s="127">
        <v>0.94</v>
      </c>
      <c r="M155" s="144">
        <v>772</v>
      </c>
      <c r="N155" s="129">
        <v>10.435</v>
      </c>
      <c r="O155" s="129">
        <f>5.96+4.445</f>
        <v>10.405000000000001</v>
      </c>
      <c r="P155" s="129">
        <v>0.03</v>
      </c>
      <c r="Q155" s="129"/>
      <c r="R155" s="129" t="s">
        <v>116</v>
      </c>
      <c r="S155" s="284" t="s">
        <v>3338</v>
      </c>
      <c r="T155" s="130" t="s">
        <v>1206</v>
      </c>
      <c r="U155" s="130"/>
      <c r="V155" s="131"/>
      <c r="W155" s="132">
        <v>44603</v>
      </c>
      <c r="X155" s="132">
        <v>44603</v>
      </c>
      <c r="Y155" s="132"/>
      <c r="Z155" s="132"/>
      <c r="AA155" s="132"/>
      <c r="AB155" s="133"/>
      <c r="AC155" s="126" t="s">
        <v>64</v>
      </c>
      <c r="AD155" s="134" t="s">
        <v>154</v>
      </c>
      <c r="AE155" s="134" t="s">
        <v>1296</v>
      </c>
      <c r="AF155" s="134"/>
      <c r="AG155" s="134">
        <v>44516</v>
      </c>
      <c r="AH155" s="134"/>
      <c r="AI155" s="134">
        <f t="shared" ca="1" si="20"/>
        <v>44963</v>
      </c>
      <c r="AJ155" s="126">
        <f t="shared" ca="1" si="22"/>
        <v>447</v>
      </c>
      <c r="AK155" s="126" t="str">
        <f t="shared" si="23"/>
        <v/>
      </c>
      <c r="AL155" s="134"/>
      <c r="AM155" s="143" t="s">
        <v>2703</v>
      </c>
      <c r="AN155" s="129">
        <v>10.46</v>
      </c>
      <c r="AO155" s="129">
        <v>10.47</v>
      </c>
      <c r="AP155" s="129">
        <v>10.494999999999999</v>
      </c>
      <c r="AQ155" s="129">
        <v>10.5</v>
      </c>
      <c r="AR155" s="126">
        <f t="shared" ca="1" si="24"/>
        <v>360</v>
      </c>
      <c r="AU155" s="99" t="s">
        <v>136</v>
      </c>
    </row>
    <row r="156" spans="1:47" s="99" customFormat="1" ht="21" customHeight="1" x14ac:dyDescent="0.35">
      <c r="A156" s="99">
        <v>424</v>
      </c>
      <c r="B156" s="126" t="str">
        <f t="shared" si="21"/>
        <v>0-304L/2B-002X774</v>
      </c>
      <c r="C156" s="126" t="s">
        <v>3342</v>
      </c>
      <c r="D156" s="126" t="s">
        <v>358</v>
      </c>
      <c r="E156" s="143" t="s">
        <v>2808</v>
      </c>
      <c r="F156" s="143" t="s">
        <v>2809</v>
      </c>
      <c r="G156" s="126" t="s">
        <v>230</v>
      </c>
      <c r="H156" s="126" t="s">
        <v>116</v>
      </c>
      <c r="I156" s="127">
        <v>3.78</v>
      </c>
      <c r="J156" s="127">
        <v>1.5</v>
      </c>
      <c r="K156" s="127">
        <v>1.48</v>
      </c>
      <c r="L156" s="127">
        <v>1.51</v>
      </c>
      <c r="M156" s="144">
        <v>774</v>
      </c>
      <c r="N156" s="129">
        <v>10.404999999999999</v>
      </c>
      <c r="O156" s="129">
        <v>10.37</v>
      </c>
      <c r="P156" s="129"/>
      <c r="Q156" s="129"/>
      <c r="R156" s="129" t="s">
        <v>116</v>
      </c>
      <c r="S156" s="284"/>
      <c r="T156" s="130" t="s">
        <v>1143</v>
      </c>
      <c r="U156" s="130"/>
      <c r="V156" s="131"/>
      <c r="W156" s="132">
        <v>44607</v>
      </c>
      <c r="X156" s="132">
        <v>44607</v>
      </c>
      <c r="Y156" s="132">
        <v>44608</v>
      </c>
      <c r="Z156" s="132"/>
      <c r="AA156" s="132"/>
      <c r="AB156" s="133" t="s">
        <v>1395</v>
      </c>
      <c r="AC156" s="126" t="s">
        <v>64</v>
      </c>
      <c r="AD156" s="134" t="s">
        <v>154</v>
      </c>
      <c r="AE156" s="134" t="s">
        <v>1330</v>
      </c>
      <c r="AF156" s="134"/>
      <c r="AG156" s="134">
        <v>44554</v>
      </c>
      <c r="AH156" s="134"/>
      <c r="AI156" s="134">
        <f t="shared" ca="1" si="20"/>
        <v>44963</v>
      </c>
      <c r="AJ156" s="126">
        <f t="shared" ca="1" si="22"/>
        <v>409</v>
      </c>
      <c r="AK156" s="126">
        <f t="shared" ca="1" si="23"/>
        <v>355</v>
      </c>
      <c r="AL156" s="134"/>
      <c r="AM156" s="143" t="s">
        <v>2670</v>
      </c>
      <c r="AN156" s="129">
        <v>10.4</v>
      </c>
      <c r="AO156" s="129">
        <v>10.41</v>
      </c>
      <c r="AP156" s="129">
        <v>10.434999999999999</v>
      </c>
      <c r="AQ156" s="129">
        <v>10.44</v>
      </c>
      <c r="AR156" s="126">
        <f t="shared" ca="1" si="24"/>
        <v>356</v>
      </c>
      <c r="AU156" s="99" t="s">
        <v>136</v>
      </c>
    </row>
    <row r="157" spans="1:47" s="99" customFormat="1" ht="21" customHeight="1" x14ac:dyDescent="0.35">
      <c r="A157" s="99">
        <v>422</v>
      </c>
      <c r="B157" s="126" t="str">
        <f t="shared" si="21"/>
        <v>0-304L/2B-002X777</v>
      </c>
      <c r="C157" s="126" t="s">
        <v>3332</v>
      </c>
      <c r="D157" s="126" t="s">
        <v>3026</v>
      </c>
      <c r="E157" s="143" t="s">
        <v>2746</v>
      </c>
      <c r="F157" s="143" t="s">
        <v>3343</v>
      </c>
      <c r="G157" s="126" t="s">
        <v>230</v>
      </c>
      <c r="H157" s="126" t="s">
        <v>116</v>
      </c>
      <c r="I157" s="127">
        <v>3.77</v>
      </c>
      <c r="J157" s="127">
        <v>2</v>
      </c>
      <c r="K157" s="127">
        <v>2</v>
      </c>
      <c r="L157" s="127">
        <v>2.02</v>
      </c>
      <c r="M157" s="144">
        <v>777</v>
      </c>
      <c r="N157" s="129">
        <v>10.56</v>
      </c>
      <c r="O157" s="129">
        <f>4.79+5.72</f>
        <v>10.51</v>
      </c>
      <c r="P157" s="129"/>
      <c r="Q157" s="129"/>
      <c r="R157" s="129" t="s">
        <v>116</v>
      </c>
      <c r="S157" s="284" t="s">
        <v>3338</v>
      </c>
      <c r="T157" s="130" t="s">
        <v>1206</v>
      </c>
      <c r="U157" s="130"/>
      <c r="V157" s="131"/>
      <c r="W157" s="132">
        <v>44605</v>
      </c>
      <c r="X157" s="132">
        <v>44605</v>
      </c>
      <c r="Y157" s="132"/>
      <c r="Z157" s="132"/>
      <c r="AA157" s="132"/>
      <c r="AB157" s="133"/>
      <c r="AC157" s="126" t="s">
        <v>64</v>
      </c>
      <c r="AD157" s="134" t="s">
        <v>154</v>
      </c>
      <c r="AE157" s="134" t="s">
        <v>1330</v>
      </c>
      <c r="AF157" s="134"/>
      <c r="AG157" s="134">
        <v>44516</v>
      </c>
      <c r="AH157" s="134"/>
      <c r="AI157" s="134">
        <f t="shared" ca="1" si="20"/>
        <v>44963</v>
      </c>
      <c r="AJ157" s="126">
        <f t="shared" ca="1" si="22"/>
        <v>447</v>
      </c>
      <c r="AK157" s="126" t="str">
        <f t="shared" si="23"/>
        <v/>
      </c>
      <c r="AL157" s="134"/>
      <c r="AM157" s="143" t="s">
        <v>2748</v>
      </c>
      <c r="AN157" s="129">
        <v>10.555</v>
      </c>
      <c r="AO157" s="129">
        <v>10.565</v>
      </c>
      <c r="AP157" s="129">
        <v>10.589999999999998</v>
      </c>
      <c r="AQ157" s="129">
        <v>10.594999999999999</v>
      </c>
      <c r="AR157" s="126">
        <f t="shared" ca="1" si="24"/>
        <v>358</v>
      </c>
      <c r="AU157" s="99" t="s">
        <v>136</v>
      </c>
    </row>
    <row r="158" spans="1:47" s="99" customFormat="1" ht="21" customHeight="1" x14ac:dyDescent="0.35">
      <c r="A158" s="99">
        <v>422</v>
      </c>
      <c r="B158" s="126" t="str">
        <f t="shared" si="21"/>
        <v>0-304/2B-001X766</v>
      </c>
      <c r="C158" s="126" t="s">
        <v>3332</v>
      </c>
      <c r="D158" s="126" t="s">
        <v>3026</v>
      </c>
      <c r="E158" s="143" t="s">
        <v>2721</v>
      </c>
      <c r="F158" s="143" t="s">
        <v>3344</v>
      </c>
      <c r="G158" s="126">
        <v>304</v>
      </c>
      <c r="H158" s="126" t="s">
        <v>116</v>
      </c>
      <c r="I158" s="127">
        <v>3.17</v>
      </c>
      <c r="J158" s="127">
        <v>1.1499999999999999</v>
      </c>
      <c r="K158" s="127">
        <v>1.1100000000000001</v>
      </c>
      <c r="L158" s="127">
        <v>1.1399999999999999</v>
      </c>
      <c r="M158" s="144">
        <v>766</v>
      </c>
      <c r="N158" s="129">
        <v>10.24</v>
      </c>
      <c r="O158" s="129">
        <f>6.005+4.165</f>
        <v>10.17</v>
      </c>
      <c r="P158" s="129"/>
      <c r="Q158" s="129">
        <v>2.1000000000000001E-2</v>
      </c>
      <c r="R158" s="129" t="s">
        <v>116</v>
      </c>
      <c r="S158" s="284" t="s">
        <v>3338</v>
      </c>
      <c r="T158" s="130" t="s">
        <v>1206</v>
      </c>
      <c r="U158" s="130"/>
      <c r="V158" s="131"/>
      <c r="W158" s="132">
        <v>44604</v>
      </c>
      <c r="X158" s="132">
        <v>44604</v>
      </c>
      <c r="Y158" s="132"/>
      <c r="Z158" s="132"/>
      <c r="AA158" s="132"/>
      <c r="AB158" s="133"/>
      <c r="AC158" s="126" t="s">
        <v>64</v>
      </c>
      <c r="AD158" s="134" t="s">
        <v>154</v>
      </c>
      <c r="AE158" s="134" t="s">
        <v>1330</v>
      </c>
      <c r="AF158" s="134"/>
      <c r="AG158" s="134">
        <v>44516</v>
      </c>
      <c r="AH158" s="134"/>
      <c r="AI158" s="134">
        <f t="shared" ca="1" si="20"/>
        <v>44963</v>
      </c>
      <c r="AJ158" s="126">
        <f t="shared" ca="1" si="22"/>
        <v>447</v>
      </c>
      <c r="AK158" s="126" t="str">
        <f t="shared" si="23"/>
        <v/>
      </c>
      <c r="AL158" s="134"/>
      <c r="AM158" s="143" t="s">
        <v>2723</v>
      </c>
      <c r="AN158" s="129">
        <v>10.23</v>
      </c>
      <c r="AO158" s="129">
        <v>10.24</v>
      </c>
      <c r="AP158" s="129">
        <v>10.264999999999999</v>
      </c>
      <c r="AQ158" s="129">
        <v>10.27</v>
      </c>
      <c r="AR158" s="126">
        <f t="shared" ca="1" si="24"/>
        <v>359</v>
      </c>
      <c r="AU158" s="99" t="s">
        <v>136</v>
      </c>
    </row>
    <row r="159" spans="1:47" s="99" customFormat="1" ht="21" customHeight="1" x14ac:dyDescent="0.35">
      <c r="A159" s="99">
        <v>424</v>
      </c>
      <c r="B159" s="126" t="str">
        <f t="shared" si="21"/>
        <v>0-304L/2B-001X775</v>
      </c>
      <c r="C159" s="126" t="s">
        <v>3332</v>
      </c>
      <c r="D159" s="126" t="s">
        <v>3026</v>
      </c>
      <c r="E159" s="143" t="s">
        <v>2689</v>
      </c>
      <c r="F159" s="143" t="s">
        <v>3345</v>
      </c>
      <c r="G159" s="126" t="s">
        <v>230</v>
      </c>
      <c r="H159" s="126" t="s">
        <v>116</v>
      </c>
      <c r="I159" s="127">
        <v>3.38</v>
      </c>
      <c r="J159" s="127">
        <v>1.45</v>
      </c>
      <c r="K159" s="127">
        <v>1.43</v>
      </c>
      <c r="L159" s="127">
        <v>1.44</v>
      </c>
      <c r="M159" s="144">
        <v>775</v>
      </c>
      <c r="N159" s="129">
        <v>10.11</v>
      </c>
      <c r="O159" s="129">
        <f>4.02+6.02</f>
        <v>10.039999999999999</v>
      </c>
      <c r="P159" s="129"/>
      <c r="Q159" s="129">
        <v>1.7000000000000001E-2</v>
      </c>
      <c r="R159" s="129" t="s">
        <v>116</v>
      </c>
      <c r="S159" s="284" t="s">
        <v>3320</v>
      </c>
      <c r="T159" s="130" t="s">
        <v>1206</v>
      </c>
      <c r="U159" s="130"/>
      <c r="V159" s="131"/>
      <c r="W159" s="132">
        <v>44603</v>
      </c>
      <c r="X159" s="132">
        <v>44603</v>
      </c>
      <c r="Y159" s="132"/>
      <c r="Z159" s="132"/>
      <c r="AA159" s="132"/>
      <c r="AB159" s="133" t="s">
        <v>1395</v>
      </c>
      <c r="AC159" s="126" t="s">
        <v>64</v>
      </c>
      <c r="AD159" s="134" t="s">
        <v>154</v>
      </c>
      <c r="AE159" s="134" t="s">
        <v>1516</v>
      </c>
      <c r="AF159" s="134"/>
      <c r="AG159" s="134">
        <v>44554</v>
      </c>
      <c r="AH159" s="134"/>
      <c r="AI159" s="134">
        <f t="shared" ca="1" si="20"/>
        <v>44963</v>
      </c>
      <c r="AJ159" s="126">
        <f t="shared" ca="1" si="22"/>
        <v>409</v>
      </c>
      <c r="AK159" s="126" t="str">
        <f t="shared" si="23"/>
        <v/>
      </c>
      <c r="AL159" s="134"/>
      <c r="AM159" s="143" t="s">
        <v>2691</v>
      </c>
      <c r="AN159" s="129">
        <v>10.095000000000001</v>
      </c>
      <c r="AO159" s="129">
        <v>10.105</v>
      </c>
      <c r="AP159" s="129">
        <v>10.129999999999999</v>
      </c>
      <c r="AQ159" s="129">
        <v>10.135</v>
      </c>
      <c r="AR159" s="126">
        <f t="shared" ca="1" si="24"/>
        <v>360</v>
      </c>
      <c r="AU159" s="99" t="s">
        <v>136</v>
      </c>
    </row>
    <row r="160" spans="1:47" s="99" customFormat="1" ht="21" customHeight="1" x14ac:dyDescent="0.35">
      <c r="A160" s="99">
        <v>424</v>
      </c>
      <c r="B160" s="126" t="str">
        <f t="shared" si="21"/>
        <v>0-304L/2B-001X768</v>
      </c>
      <c r="C160" s="126" t="s">
        <v>3332</v>
      </c>
      <c r="D160" s="126" t="s">
        <v>3026</v>
      </c>
      <c r="E160" s="143" t="s">
        <v>2677</v>
      </c>
      <c r="F160" s="143" t="s">
        <v>3346</v>
      </c>
      <c r="G160" s="126" t="s">
        <v>230</v>
      </c>
      <c r="H160" s="126" t="s">
        <v>116</v>
      </c>
      <c r="I160" s="127">
        <v>3.78</v>
      </c>
      <c r="J160" s="127">
        <v>1.45</v>
      </c>
      <c r="K160" s="127"/>
      <c r="L160" s="127"/>
      <c r="M160" s="144">
        <v>768</v>
      </c>
      <c r="N160" s="129">
        <v>8.02</v>
      </c>
      <c r="O160" s="129">
        <f>3.98+4.04</f>
        <v>8.02</v>
      </c>
      <c r="P160" s="129"/>
      <c r="Q160" s="129"/>
      <c r="R160" s="129" t="s">
        <v>116</v>
      </c>
      <c r="S160" s="284" t="s">
        <v>3338</v>
      </c>
      <c r="T160" s="130" t="s">
        <v>1206</v>
      </c>
      <c r="U160" s="130"/>
      <c r="V160" s="131"/>
      <c r="W160" s="132">
        <v>44602</v>
      </c>
      <c r="X160" s="132">
        <v>44603</v>
      </c>
      <c r="Y160" s="132"/>
      <c r="Z160" s="132"/>
      <c r="AA160" s="132"/>
      <c r="AB160" s="133" t="s">
        <v>1395</v>
      </c>
      <c r="AC160" s="126" t="s">
        <v>64</v>
      </c>
      <c r="AD160" s="134" t="s">
        <v>154</v>
      </c>
      <c r="AE160" s="134" t="s">
        <v>1516</v>
      </c>
      <c r="AF160" s="134"/>
      <c r="AG160" s="134">
        <v>44554</v>
      </c>
      <c r="AH160" s="134"/>
      <c r="AI160" s="134">
        <f t="shared" ca="1" si="20"/>
        <v>44963</v>
      </c>
      <c r="AJ160" s="126">
        <f t="shared" ca="1" si="22"/>
        <v>409</v>
      </c>
      <c r="AK160" s="126" t="str">
        <f t="shared" si="23"/>
        <v/>
      </c>
      <c r="AL160" s="134"/>
      <c r="AM160" s="143" t="s">
        <v>1575</v>
      </c>
      <c r="AN160" s="129">
        <v>12.06</v>
      </c>
      <c r="AO160" s="129">
        <v>12.07</v>
      </c>
      <c r="AP160" s="129">
        <v>12.094999999999999</v>
      </c>
      <c r="AQ160" s="129">
        <v>12.1</v>
      </c>
      <c r="AR160" s="126">
        <f t="shared" ca="1" si="24"/>
        <v>360</v>
      </c>
      <c r="AU160" s="99" t="s">
        <v>136</v>
      </c>
    </row>
    <row r="161" spans="1:47" s="99" customFormat="1" ht="21" customHeight="1" x14ac:dyDescent="0.35">
      <c r="A161" s="99">
        <v>424</v>
      </c>
      <c r="B161" s="126" t="str">
        <f t="shared" si="21"/>
        <v>0-304L/2B-001X768</v>
      </c>
      <c r="C161" s="126" t="s">
        <v>3347</v>
      </c>
      <c r="D161" s="126" t="s">
        <v>3026</v>
      </c>
      <c r="E161" s="143" t="s">
        <v>2677</v>
      </c>
      <c r="F161" s="143" t="s">
        <v>3348</v>
      </c>
      <c r="G161" s="126" t="s">
        <v>230</v>
      </c>
      <c r="H161" s="126" t="s">
        <v>116</v>
      </c>
      <c r="I161" s="127">
        <v>3.78</v>
      </c>
      <c r="J161" s="127">
        <v>1.45</v>
      </c>
      <c r="K161" s="127"/>
      <c r="L161" s="127"/>
      <c r="M161" s="144">
        <v>768</v>
      </c>
      <c r="N161" s="129">
        <f>11.975-3.98-4.04</f>
        <v>3.9549999999999992</v>
      </c>
      <c r="O161" s="129">
        <v>3.89</v>
      </c>
      <c r="P161" s="129"/>
      <c r="Q161" s="129"/>
      <c r="R161" s="129" t="s">
        <v>116</v>
      </c>
      <c r="S161" s="284" t="s">
        <v>3338</v>
      </c>
      <c r="T161" s="130" t="s">
        <v>1206</v>
      </c>
      <c r="U161" s="130"/>
      <c r="V161" s="131"/>
      <c r="W161" s="132">
        <v>44602</v>
      </c>
      <c r="X161" s="132">
        <v>44603</v>
      </c>
      <c r="Y161" s="132"/>
      <c r="Z161" s="132"/>
      <c r="AA161" s="132"/>
      <c r="AB161" s="133" t="s">
        <v>1395</v>
      </c>
      <c r="AC161" s="126" t="s">
        <v>64</v>
      </c>
      <c r="AD161" s="134" t="s">
        <v>154</v>
      </c>
      <c r="AE161" s="134" t="s">
        <v>1516</v>
      </c>
      <c r="AF161" s="134"/>
      <c r="AG161" s="134">
        <v>44554</v>
      </c>
      <c r="AH161" s="134"/>
      <c r="AI161" s="134">
        <f t="shared" ca="1" si="20"/>
        <v>44963</v>
      </c>
      <c r="AJ161" s="126">
        <f t="shared" ca="1" si="22"/>
        <v>409</v>
      </c>
      <c r="AK161" s="126" t="str">
        <f t="shared" si="23"/>
        <v/>
      </c>
      <c r="AL161" s="134"/>
      <c r="AM161" s="143" t="s">
        <v>1575</v>
      </c>
      <c r="AN161" s="129">
        <v>12.06</v>
      </c>
      <c r="AO161" s="129">
        <v>12.07</v>
      </c>
      <c r="AP161" s="129">
        <v>12.094999999999999</v>
      </c>
      <c r="AQ161" s="129">
        <v>12.1</v>
      </c>
      <c r="AR161" s="126">
        <f t="shared" ca="1" si="24"/>
        <v>360</v>
      </c>
      <c r="AU161" s="99" t="s">
        <v>136</v>
      </c>
    </row>
    <row r="162" spans="1:47" s="99" customFormat="1" ht="21" customHeight="1" x14ac:dyDescent="0.35">
      <c r="A162" s="99">
        <v>421</v>
      </c>
      <c r="B162" s="126" t="str">
        <f t="shared" si="21"/>
        <v>0-304L/2B-001X770</v>
      </c>
      <c r="C162" s="126" t="s">
        <v>3347</v>
      </c>
      <c r="D162" s="126" t="s">
        <v>3026</v>
      </c>
      <c r="E162" s="143" t="s">
        <v>2704</v>
      </c>
      <c r="F162" s="143" t="s">
        <v>3349</v>
      </c>
      <c r="G162" s="126" t="s">
        <v>230</v>
      </c>
      <c r="H162" s="126" t="s">
        <v>116</v>
      </c>
      <c r="I162" s="127">
        <v>2.87</v>
      </c>
      <c r="J162" s="127">
        <v>0.9</v>
      </c>
      <c r="K162" s="127"/>
      <c r="L162" s="127"/>
      <c r="M162" s="144">
        <v>770</v>
      </c>
      <c r="N162" s="129">
        <v>7.93</v>
      </c>
      <c r="O162" s="129">
        <f>3.995+3.89</f>
        <v>7.8849999999999998</v>
      </c>
      <c r="P162" s="129"/>
      <c r="Q162" s="129"/>
      <c r="R162" s="129" t="s">
        <v>116</v>
      </c>
      <c r="S162" s="284" t="s">
        <v>3338</v>
      </c>
      <c r="T162" s="130" t="s">
        <v>1206</v>
      </c>
      <c r="U162" s="130"/>
      <c r="V162" s="131"/>
      <c r="W162" s="132">
        <v>44603</v>
      </c>
      <c r="X162" s="132">
        <v>44604</v>
      </c>
      <c r="Y162" s="132"/>
      <c r="Z162" s="132"/>
      <c r="AA162" s="132"/>
      <c r="AB162" s="133"/>
      <c r="AC162" s="126" t="s">
        <v>64</v>
      </c>
      <c r="AD162" s="134" t="s">
        <v>154</v>
      </c>
      <c r="AE162" s="134" t="s">
        <v>1190</v>
      </c>
      <c r="AF162" s="134"/>
      <c r="AG162" s="134">
        <v>44496</v>
      </c>
      <c r="AH162" s="134"/>
      <c r="AI162" s="134">
        <f t="shared" ca="1" si="20"/>
        <v>44963</v>
      </c>
      <c r="AJ162" s="126">
        <f t="shared" ca="1" si="22"/>
        <v>467</v>
      </c>
      <c r="AK162" s="126" t="str">
        <f t="shared" si="23"/>
        <v/>
      </c>
      <c r="AL162" s="134"/>
      <c r="AM162" s="143" t="s">
        <v>1234</v>
      </c>
      <c r="AN162" s="129">
        <v>7.915</v>
      </c>
      <c r="AO162" s="129">
        <v>7.9249999999999998</v>
      </c>
      <c r="AP162" s="129">
        <v>7.95</v>
      </c>
      <c r="AQ162" s="129">
        <v>7.9550000000000001</v>
      </c>
      <c r="AR162" s="126">
        <f t="shared" ca="1" si="24"/>
        <v>359</v>
      </c>
      <c r="AU162" s="99" t="s">
        <v>136</v>
      </c>
    </row>
    <row r="163" spans="1:47" s="99" customFormat="1" ht="21" customHeight="1" x14ac:dyDescent="0.35">
      <c r="A163" s="99">
        <v>421</v>
      </c>
      <c r="B163" s="126" t="str">
        <f t="shared" si="21"/>
        <v>0-304L/2B-001X770</v>
      </c>
      <c r="C163" s="126" t="s">
        <v>3347</v>
      </c>
      <c r="D163" s="126" t="s">
        <v>3026</v>
      </c>
      <c r="E163" s="143" t="s">
        <v>2726</v>
      </c>
      <c r="F163" s="143" t="s">
        <v>3350</v>
      </c>
      <c r="G163" s="126" t="s">
        <v>230</v>
      </c>
      <c r="H163" s="126" t="s">
        <v>116</v>
      </c>
      <c r="I163" s="127">
        <v>2.8</v>
      </c>
      <c r="J163" s="127">
        <v>0.7</v>
      </c>
      <c r="K163" s="127"/>
      <c r="L163" s="127"/>
      <c r="M163" s="144">
        <v>770</v>
      </c>
      <c r="N163" s="129">
        <v>10.3</v>
      </c>
      <c r="O163" s="129">
        <f>5.21+5.14</f>
        <v>10.35</v>
      </c>
      <c r="P163" s="129"/>
      <c r="Q163" s="129"/>
      <c r="R163" s="129" t="s">
        <v>116</v>
      </c>
      <c r="S163" s="284" t="s">
        <v>3351</v>
      </c>
      <c r="T163" s="130" t="s">
        <v>1206</v>
      </c>
      <c r="U163" s="130"/>
      <c r="V163" s="131"/>
      <c r="W163" s="132">
        <v>44604</v>
      </c>
      <c r="X163" s="132">
        <v>44605</v>
      </c>
      <c r="Y163" s="132"/>
      <c r="Z163" s="132"/>
      <c r="AA163" s="132"/>
      <c r="AB163" s="133"/>
      <c r="AC163" s="126" t="s">
        <v>64</v>
      </c>
      <c r="AD163" s="134" t="s">
        <v>154</v>
      </c>
      <c r="AE163" s="134" t="s">
        <v>1239</v>
      </c>
      <c r="AF163" s="134"/>
      <c r="AG163" s="134">
        <v>44496</v>
      </c>
      <c r="AH163" s="134"/>
      <c r="AI163" s="134">
        <f t="shared" ca="1" si="20"/>
        <v>44963</v>
      </c>
      <c r="AJ163" s="126">
        <f t="shared" ca="1" si="22"/>
        <v>467</v>
      </c>
      <c r="AK163" s="126" t="str">
        <f t="shared" si="23"/>
        <v/>
      </c>
      <c r="AL163" s="134"/>
      <c r="AM163" s="143" t="s">
        <v>2728</v>
      </c>
      <c r="AN163" s="129">
        <v>10.375</v>
      </c>
      <c r="AO163" s="129">
        <v>10.385</v>
      </c>
      <c r="AP163" s="129">
        <v>10.409999999999998</v>
      </c>
      <c r="AQ163" s="129">
        <v>10.414999999999999</v>
      </c>
      <c r="AR163" s="126">
        <f t="shared" ca="1" si="24"/>
        <v>358</v>
      </c>
      <c r="AU163" s="99" t="s">
        <v>136</v>
      </c>
    </row>
    <row r="164" spans="1:47" s="99" customFormat="1" ht="21" customHeight="1" x14ac:dyDescent="0.35">
      <c r="A164" s="99">
        <v>422</v>
      </c>
      <c r="B164" s="126" t="str">
        <f t="shared" si="21"/>
        <v>0-304L/2B-001X769</v>
      </c>
      <c r="C164" s="126" t="s">
        <v>3347</v>
      </c>
      <c r="D164" s="126" t="s">
        <v>3026</v>
      </c>
      <c r="E164" s="143" t="s">
        <v>2686</v>
      </c>
      <c r="F164" s="143" t="s">
        <v>3352</v>
      </c>
      <c r="G164" s="126" t="s">
        <v>230</v>
      </c>
      <c r="H164" s="126" t="s">
        <v>116</v>
      </c>
      <c r="I164" s="127">
        <v>2.89</v>
      </c>
      <c r="J164" s="127">
        <v>0.9</v>
      </c>
      <c r="K164" s="127"/>
      <c r="L164" s="127"/>
      <c r="M164" s="144">
        <v>769</v>
      </c>
      <c r="N164" s="129">
        <v>8.2799999999999994</v>
      </c>
      <c r="O164" s="129">
        <f>4.13+4.105</f>
        <v>8.2349999999999994</v>
      </c>
      <c r="P164" s="129"/>
      <c r="Q164" s="129"/>
      <c r="R164" s="129" t="s">
        <v>116</v>
      </c>
      <c r="S164" s="284" t="s">
        <v>3338</v>
      </c>
      <c r="T164" s="130" t="s">
        <v>1206</v>
      </c>
      <c r="U164" s="130"/>
      <c r="V164" s="131"/>
      <c r="W164" s="132">
        <v>44603</v>
      </c>
      <c r="X164" s="132">
        <v>44603</v>
      </c>
      <c r="Y164" s="132"/>
      <c r="Z164" s="132"/>
      <c r="AA164" s="132"/>
      <c r="AB164" s="133"/>
      <c r="AC164" s="126" t="s">
        <v>64</v>
      </c>
      <c r="AD164" s="134" t="s">
        <v>154</v>
      </c>
      <c r="AE164" s="134" t="s">
        <v>1330</v>
      </c>
      <c r="AF164" s="134"/>
      <c r="AG164" s="134">
        <v>44516</v>
      </c>
      <c r="AH164" s="134"/>
      <c r="AI164" s="134">
        <f t="shared" ca="1" si="20"/>
        <v>44963</v>
      </c>
      <c r="AJ164" s="126">
        <f t="shared" ca="1" si="22"/>
        <v>447</v>
      </c>
      <c r="AK164" s="126" t="str">
        <f t="shared" si="23"/>
        <v/>
      </c>
      <c r="AL164" s="134"/>
      <c r="AM164" s="143" t="s">
        <v>2688</v>
      </c>
      <c r="AN164" s="129">
        <v>8.27</v>
      </c>
      <c r="AO164" s="129">
        <v>8.2799999999999994</v>
      </c>
      <c r="AP164" s="129">
        <v>8.3049999999999979</v>
      </c>
      <c r="AQ164" s="129">
        <v>8.3099999999999987</v>
      </c>
      <c r="AR164" s="126">
        <f t="shared" ca="1" si="24"/>
        <v>360</v>
      </c>
      <c r="AU164" s="99" t="s">
        <v>136</v>
      </c>
    </row>
    <row r="165" spans="1:47" s="99" customFormat="1" ht="21" customHeight="1" x14ac:dyDescent="0.35">
      <c r="A165" s="99">
        <v>424</v>
      </c>
      <c r="B165" s="126" t="str">
        <f t="shared" si="21"/>
        <v>0-304/2B-001X770</v>
      </c>
      <c r="C165" s="126" t="s">
        <v>3347</v>
      </c>
      <c r="D165" s="126" t="s">
        <v>3026</v>
      </c>
      <c r="E165" s="143" t="s">
        <v>2736</v>
      </c>
      <c r="F165" s="143" t="s">
        <v>3353</v>
      </c>
      <c r="G165" s="126">
        <v>304</v>
      </c>
      <c r="H165" s="126" t="s">
        <v>116</v>
      </c>
      <c r="I165" s="127">
        <v>3.26</v>
      </c>
      <c r="J165" s="127">
        <v>1.1499999999999999</v>
      </c>
      <c r="K165" s="127"/>
      <c r="L165" s="127"/>
      <c r="M165" s="144">
        <v>770</v>
      </c>
      <c r="N165" s="129">
        <v>10.43</v>
      </c>
      <c r="O165" s="129">
        <f>6.02+4.36</f>
        <v>10.379999999999999</v>
      </c>
      <c r="P165" s="129"/>
      <c r="Q165" s="129">
        <v>4.0000000000000001E-3</v>
      </c>
      <c r="R165" s="129" t="s">
        <v>116</v>
      </c>
      <c r="S165" s="284" t="s">
        <v>3354</v>
      </c>
      <c r="T165" s="130" t="s">
        <v>2990</v>
      </c>
      <c r="U165" s="130"/>
      <c r="V165" s="131"/>
      <c r="W165" s="132">
        <v>44604</v>
      </c>
      <c r="X165" s="132">
        <v>44605</v>
      </c>
      <c r="Y165" s="132"/>
      <c r="Z165" s="132"/>
      <c r="AA165" s="132"/>
      <c r="AB165" s="133" t="s">
        <v>1395</v>
      </c>
      <c r="AC165" s="126" t="s">
        <v>64</v>
      </c>
      <c r="AD165" s="134" t="s">
        <v>154</v>
      </c>
      <c r="AE165" s="134" t="s">
        <v>1330</v>
      </c>
      <c r="AF165" s="134"/>
      <c r="AG165" s="134">
        <v>44554</v>
      </c>
      <c r="AH165" s="134"/>
      <c r="AI165" s="134">
        <f t="shared" ca="1" si="20"/>
        <v>44963</v>
      </c>
      <c r="AJ165" s="126">
        <f t="shared" ca="1" si="22"/>
        <v>409</v>
      </c>
      <c r="AK165" s="126" t="str">
        <f t="shared" si="23"/>
        <v/>
      </c>
      <c r="AL165" s="134"/>
      <c r="AM165" s="143" t="s">
        <v>2731</v>
      </c>
      <c r="AN165" s="129">
        <v>10.414999999999999</v>
      </c>
      <c r="AO165" s="129">
        <v>10.425000000000001</v>
      </c>
      <c r="AP165" s="129">
        <v>10.45</v>
      </c>
      <c r="AQ165" s="129">
        <v>10.455</v>
      </c>
      <c r="AR165" s="126">
        <f t="shared" ca="1" si="24"/>
        <v>358</v>
      </c>
      <c r="AU165" s="99" t="s">
        <v>136</v>
      </c>
    </row>
    <row r="166" spans="1:47" s="99" customFormat="1" ht="21" customHeight="1" x14ac:dyDescent="0.35">
      <c r="A166" s="99">
        <v>424</v>
      </c>
      <c r="B166" s="126" t="str">
        <f t="shared" si="21"/>
        <v>0-304/2B-001X772</v>
      </c>
      <c r="C166" s="126" t="s">
        <v>3347</v>
      </c>
      <c r="D166" s="126" t="s">
        <v>3026</v>
      </c>
      <c r="E166" s="143" t="s">
        <v>2724</v>
      </c>
      <c r="F166" s="143" t="s">
        <v>3355</v>
      </c>
      <c r="G166" s="126">
        <v>304</v>
      </c>
      <c r="H166" s="126" t="s">
        <v>116</v>
      </c>
      <c r="I166" s="127">
        <v>3.23</v>
      </c>
      <c r="J166" s="127">
        <v>1.1499999999999999</v>
      </c>
      <c r="K166" s="149">
        <v>1.1499999999999999</v>
      </c>
      <c r="L166" s="149">
        <v>1.18</v>
      </c>
      <c r="M166" s="144">
        <v>772</v>
      </c>
      <c r="N166" s="129">
        <v>10.57</v>
      </c>
      <c r="O166" s="129">
        <f>6.025+4.5</f>
        <v>10.525</v>
      </c>
      <c r="P166" s="129"/>
      <c r="Q166" s="129">
        <v>4.0000000000000001E-3</v>
      </c>
      <c r="R166" s="129" t="s">
        <v>116</v>
      </c>
      <c r="S166" s="284" t="s">
        <v>3354</v>
      </c>
      <c r="T166" s="130" t="s">
        <v>2990</v>
      </c>
      <c r="U166" s="130"/>
      <c r="V166" s="131"/>
      <c r="W166" s="132">
        <v>44604</v>
      </c>
      <c r="X166" s="132">
        <v>44604</v>
      </c>
      <c r="Y166" s="132"/>
      <c r="Z166" s="132"/>
      <c r="AA166" s="132"/>
      <c r="AB166" s="133" t="s">
        <v>1395</v>
      </c>
      <c r="AC166" s="126" t="s">
        <v>64</v>
      </c>
      <c r="AD166" s="134" t="s">
        <v>154</v>
      </c>
      <c r="AE166" s="134" t="s">
        <v>1330</v>
      </c>
      <c r="AF166" s="134"/>
      <c r="AG166" s="134">
        <v>44554</v>
      </c>
      <c r="AH166" s="134"/>
      <c r="AI166" s="134">
        <f t="shared" ca="1" si="20"/>
        <v>44963</v>
      </c>
      <c r="AJ166" s="126">
        <f t="shared" ca="1" si="22"/>
        <v>409</v>
      </c>
      <c r="AK166" s="126" t="str">
        <f t="shared" si="23"/>
        <v/>
      </c>
      <c r="AL166" s="134"/>
      <c r="AM166" s="143" t="s">
        <v>2720</v>
      </c>
      <c r="AN166" s="129">
        <v>10.58</v>
      </c>
      <c r="AO166" s="129">
        <v>10.59</v>
      </c>
      <c r="AP166" s="129">
        <v>10.614999999999998</v>
      </c>
      <c r="AQ166" s="129">
        <v>10.62</v>
      </c>
      <c r="AR166" s="126">
        <f t="shared" ca="1" si="24"/>
        <v>359</v>
      </c>
      <c r="AU166" s="99" t="s">
        <v>136</v>
      </c>
    </row>
    <row r="167" spans="1:47" s="99" customFormat="1" ht="21" customHeight="1" x14ac:dyDescent="0.35">
      <c r="A167" s="99">
        <v>424</v>
      </c>
      <c r="B167" s="126" t="str">
        <f t="shared" si="21"/>
        <v>0-304L/2B-001X770</v>
      </c>
      <c r="C167" s="126" t="s">
        <v>3347</v>
      </c>
      <c r="D167" s="126" t="s">
        <v>3026</v>
      </c>
      <c r="E167" s="143" t="s">
        <v>2714</v>
      </c>
      <c r="F167" s="143" t="s">
        <v>3356</v>
      </c>
      <c r="G167" s="126" t="s">
        <v>230</v>
      </c>
      <c r="H167" s="126" t="s">
        <v>116</v>
      </c>
      <c r="I167" s="127">
        <v>3.38</v>
      </c>
      <c r="J167" s="127">
        <v>1.45</v>
      </c>
      <c r="K167" s="127">
        <v>1.43</v>
      </c>
      <c r="L167" s="127">
        <v>1.46</v>
      </c>
      <c r="M167" s="144">
        <v>770</v>
      </c>
      <c r="N167" s="129">
        <v>10.56</v>
      </c>
      <c r="O167" s="129">
        <f>5.165+5.345</f>
        <v>10.51</v>
      </c>
      <c r="P167" s="129"/>
      <c r="Q167" s="129">
        <v>3.5000000000000003E-2</v>
      </c>
      <c r="R167" s="129" t="s">
        <v>116</v>
      </c>
      <c r="S167" s="284" t="s">
        <v>3354</v>
      </c>
      <c r="T167" s="130" t="s">
        <v>2990</v>
      </c>
      <c r="U167" s="130"/>
      <c r="V167" s="131"/>
      <c r="W167" s="132">
        <v>44604</v>
      </c>
      <c r="X167" s="132">
        <v>44604</v>
      </c>
      <c r="Y167" s="132"/>
      <c r="Z167" s="132"/>
      <c r="AA167" s="132"/>
      <c r="AB167" s="133" t="s">
        <v>1395</v>
      </c>
      <c r="AC167" s="126" t="s">
        <v>64</v>
      </c>
      <c r="AD167" s="134" t="s">
        <v>154</v>
      </c>
      <c r="AE167" s="134" t="s">
        <v>1516</v>
      </c>
      <c r="AF167" s="134"/>
      <c r="AG167" s="134">
        <v>44554</v>
      </c>
      <c r="AH167" s="134"/>
      <c r="AI167" s="134">
        <f t="shared" ca="1" si="20"/>
        <v>44963</v>
      </c>
      <c r="AJ167" s="126">
        <f t="shared" ca="1" si="22"/>
        <v>409</v>
      </c>
      <c r="AK167" s="126" t="str">
        <f t="shared" si="23"/>
        <v/>
      </c>
      <c r="AL167" s="134"/>
      <c r="AM167" s="143" t="s">
        <v>2658</v>
      </c>
      <c r="AN167" s="129">
        <v>10.57</v>
      </c>
      <c r="AO167" s="129">
        <v>10.58</v>
      </c>
      <c r="AP167" s="129">
        <v>10.604999999999999</v>
      </c>
      <c r="AQ167" s="129">
        <v>10.61</v>
      </c>
      <c r="AR167" s="126">
        <f t="shared" ca="1" si="24"/>
        <v>359</v>
      </c>
      <c r="AU167" s="99" t="s">
        <v>136</v>
      </c>
    </row>
    <row r="168" spans="1:47" s="99" customFormat="1" ht="21" customHeight="1" x14ac:dyDescent="0.35">
      <c r="A168" s="99">
        <v>424</v>
      </c>
      <c r="B168" s="126" t="str">
        <f t="shared" si="21"/>
        <v>0-304/2B-001X770</v>
      </c>
      <c r="C168" s="126" t="s">
        <v>3347</v>
      </c>
      <c r="D168" s="126" t="s">
        <v>3026</v>
      </c>
      <c r="E168" s="143" t="s">
        <v>2718</v>
      </c>
      <c r="F168" s="143" t="s">
        <v>3357</v>
      </c>
      <c r="G168" s="126">
        <v>304</v>
      </c>
      <c r="H168" s="126" t="s">
        <v>116</v>
      </c>
      <c r="I168" s="127">
        <v>3.24</v>
      </c>
      <c r="J168" s="127">
        <v>1.1499999999999999</v>
      </c>
      <c r="K168" s="149">
        <v>1.1399999999999999</v>
      </c>
      <c r="L168" s="149">
        <v>1.17</v>
      </c>
      <c r="M168" s="144">
        <v>770</v>
      </c>
      <c r="N168" s="129">
        <v>10.56</v>
      </c>
      <c r="O168" s="129">
        <f>5.99+4.52</f>
        <v>10.51</v>
      </c>
      <c r="P168" s="129"/>
      <c r="Q168" s="129"/>
      <c r="R168" s="129" t="s">
        <v>116</v>
      </c>
      <c r="S168" s="284" t="s">
        <v>3354</v>
      </c>
      <c r="T168" s="130" t="s">
        <v>2990</v>
      </c>
      <c r="U168" s="130"/>
      <c r="V168" s="131"/>
      <c r="W168" s="132">
        <v>44604</v>
      </c>
      <c r="X168" s="132">
        <v>44604</v>
      </c>
      <c r="Y168" s="132"/>
      <c r="Z168" s="132"/>
      <c r="AA168" s="132"/>
      <c r="AB168" s="133" t="s">
        <v>1395</v>
      </c>
      <c r="AC168" s="126" t="s">
        <v>64</v>
      </c>
      <c r="AD168" s="134" t="s">
        <v>154</v>
      </c>
      <c r="AE168" s="134" t="s">
        <v>1330</v>
      </c>
      <c r="AF168" s="134"/>
      <c r="AG168" s="134">
        <v>44554</v>
      </c>
      <c r="AH168" s="134"/>
      <c r="AI168" s="134">
        <f t="shared" ca="1" si="20"/>
        <v>44963</v>
      </c>
      <c r="AJ168" s="126">
        <f t="shared" ca="1" si="22"/>
        <v>409</v>
      </c>
      <c r="AK168" s="126" t="str">
        <f t="shared" si="23"/>
        <v/>
      </c>
      <c r="AL168" s="134"/>
      <c r="AM168" s="143" t="s">
        <v>2720</v>
      </c>
      <c r="AN168" s="129">
        <v>10.54</v>
      </c>
      <c r="AO168" s="129">
        <v>10.55</v>
      </c>
      <c r="AP168" s="129">
        <v>10.574999999999999</v>
      </c>
      <c r="AQ168" s="129">
        <v>10.58</v>
      </c>
      <c r="AR168" s="126">
        <f t="shared" ca="1" si="24"/>
        <v>359</v>
      </c>
      <c r="AU168" s="99" t="s">
        <v>136</v>
      </c>
    </row>
    <row r="169" spans="1:47" s="99" customFormat="1" ht="21" customHeight="1" x14ac:dyDescent="0.35">
      <c r="A169" s="99">
        <v>424</v>
      </c>
      <c r="B169" s="126" t="str">
        <f t="shared" si="21"/>
        <v>0-304/2B-001X768</v>
      </c>
      <c r="C169" s="126" t="s">
        <v>3347</v>
      </c>
      <c r="D169" s="126" t="s">
        <v>3026</v>
      </c>
      <c r="E169" s="143" t="s">
        <v>2732</v>
      </c>
      <c r="F169" s="143" t="s">
        <v>3358</v>
      </c>
      <c r="G169" s="126">
        <v>304</v>
      </c>
      <c r="H169" s="126" t="s">
        <v>116</v>
      </c>
      <c r="I169" s="127">
        <v>3.39</v>
      </c>
      <c r="J169" s="127">
        <v>1.45</v>
      </c>
      <c r="K169" s="149">
        <v>1.44</v>
      </c>
      <c r="L169" s="149">
        <v>1.46</v>
      </c>
      <c r="M169" s="144">
        <v>768</v>
      </c>
      <c r="N169" s="129">
        <v>12.005000000000001</v>
      </c>
      <c r="O169" s="129">
        <f>3.99+3.97+3.99</f>
        <v>11.950000000000001</v>
      </c>
      <c r="P169" s="129"/>
      <c r="Q169" s="129"/>
      <c r="R169" s="129" t="s">
        <v>116</v>
      </c>
      <c r="S169" s="284" t="s">
        <v>3354</v>
      </c>
      <c r="T169" s="130" t="s">
        <v>2990</v>
      </c>
      <c r="U169" s="130"/>
      <c r="V169" s="131"/>
      <c r="W169" s="132">
        <v>44604</v>
      </c>
      <c r="X169" s="132">
        <v>44604</v>
      </c>
      <c r="Y169" s="132"/>
      <c r="Z169" s="132"/>
      <c r="AA169" s="132"/>
      <c r="AB169" s="133" t="s">
        <v>1395</v>
      </c>
      <c r="AC169" s="126" t="s">
        <v>64</v>
      </c>
      <c r="AD169" s="134" t="s">
        <v>154</v>
      </c>
      <c r="AE169" s="134" t="s">
        <v>1516</v>
      </c>
      <c r="AF169" s="134"/>
      <c r="AG169" s="134">
        <v>44554</v>
      </c>
      <c r="AH169" s="134"/>
      <c r="AI169" s="134">
        <f t="shared" ca="1" si="20"/>
        <v>44963</v>
      </c>
      <c r="AJ169" s="126">
        <f t="shared" ca="1" si="22"/>
        <v>409</v>
      </c>
      <c r="AK169" s="126" t="str">
        <f t="shared" si="23"/>
        <v/>
      </c>
      <c r="AL169" s="134"/>
      <c r="AM169" s="143" t="s">
        <v>1884</v>
      </c>
      <c r="AN169" s="129">
        <v>12.005000000000001</v>
      </c>
      <c r="AO169" s="129">
        <v>12.015000000000001</v>
      </c>
      <c r="AP169" s="129">
        <v>12.04</v>
      </c>
      <c r="AQ169" s="129">
        <v>12.045</v>
      </c>
      <c r="AR169" s="126">
        <f t="shared" ca="1" si="24"/>
        <v>359</v>
      </c>
      <c r="AU169" s="99" t="s">
        <v>136</v>
      </c>
    </row>
    <row r="170" spans="1:47" s="99" customFormat="1" ht="21" customHeight="1" x14ac:dyDescent="0.35">
      <c r="A170" s="99">
        <v>424</v>
      </c>
      <c r="B170" s="126" t="str">
        <f t="shared" si="21"/>
        <v>0-304/2B-001X771</v>
      </c>
      <c r="C170" s="126" t="s">
        <v>3347</v>
      </c>
      <c r="D170" s="126" t="s">
        <v>3026</v>
      </c>
      <c r="E170" s="143" t="s">
        <v>2729</v>
      </c>
      <c r="F170" s="143" t="s">
        <v>3359</v>
      </c>
      <c r="G170" s="126">
        <v>304</v>
      </c>
      <c r="H170" s="126" t="s">
        <v>116</v>
      </c>
      <c r="I170" s="127">
        <v>3.26</v>
      </c>
      <c r="J170" s="127">
        <v>1.1499999999999999</v>
      </c>
      <c r="K170" s="149">
        <v>1.1499999999999999</v>
      </c>
      <c r="L170" s="149">
        <v>1.1599999999999999</v>
      </c>
      <c r="M170" s="144">
        <v>771</v>
      </c>
      <c r="N170" s="129">
        <v>10.414999999999999</v>
      </c>
      <c r="O170" s="129">
        <f>5.275+5.12</f>
        <v>10.395</v>
      </c>
      <c r="P170" s="129"/>
      <c r="Q170" s="129"/>
      <c r="R170" s="129" t="s">
        <v>116</v>
      </c>
      <c r="S170" s="284" t="s">
        <v>3354</v>
      </c>
      <c r="T170" s="130" t="s">
        <v>2990</v>
      </c>
      <c r="U170" s="130"/>
      <c r="V170" s="131"/>
      <c r="W170" s="132">
        <v>44604</v>
      </c>
      <c r="X170" s="132">
        <v>44604</v>
      </c>
      <c r="Y170" s="132"/>
      <c r="Z170" s="132"/>
      <c r="AA170" s="132"/>
      <c r="AB170" s="133" t="s">
        <v>1395</v>
      </c>
      <c r="AC170" s="126" t="s">
        <v>64</v>
      </c>
      <c r="AD170" s="134" t="s">
        <v>154</v>
      </c>
      <c r="AE170" s="134" t="s">
        <v>1330</v>
      </c>
      <c r="AF170" s="134"/>
      <c r="AG170" s="134">
        <v>44554</v>
      </c>
      <c r="AH170" s="134"/>
      <c r="AI170" s="134">
        <f t="shared" ca="1" si="20"/>
        <v>44963</v>
      </c>
      <c r="AJ170" s="126">
        <f t="shared" ca="1" si="22"/>
        <v>409</v>
      </c>
      <c r="AK170" s="126" t="str">
        <f t="shared" si="23"/>
        <v/>
      </c>
      <c r="AL170" s="134"/>
      <c r="AM170" s="143" t="s">
        <v>2731</v>
      </c>
      <c r="AN170" s="129">
        <v>10.435</v>
      </c>
      <c r="AO170" s="129">
        <v>10.445</v>
      </c>
      <c r="AP170" s="129">
        <v>10.469999999999999</v>
      </c>
      <c r="AQ170" s="129">
        <v>10.475</v>
      </c>
      <c r="AR170" s="126">
        <f t="shared" ca="1" si="24"/>
        <v>359</v>
      </c>
      <c r="AU170" s="99" t="s">
        <v>136</v>
      </c>
    </row>
    <row r="171" spans="1:47" s="99" customFormat="1" ht="21" customHeight="1" x14ac:dyDescent="0.35">
      <c r="A171" s="99">
        <v>424</v>
      </c>
      <c r="B171" s="126" t="str">
        <f t="shared" si="21"/>
        <v>0-304L/2B-001X770</v>
      </c>
      <c r="C171" s="126" t="s">
        <v>3360</v>
      </c>
      <c r="D171" s="126" t="s">
        <v>3026</v>
      </c>
      <c r="E171" s="143" t="s">
        <v>2716</v>
      </c>
      <c r="F171" s="143" t="s">
        <v>3361</v>
      </c>
      <c r="G171" s="126" t="s">
        <v>230</v>
      </c>
      <c r="H171" s="126" t="s">
        <v>116</v>
      </c>
      <c r="I171" s="127">
        <v>3.38</v>
      </c>
      <c r="J171" s="127">
        <v>1.45</v>
      </c>
      <c r="K171" s="149"/>
      <c r="L171" s="149"/>
      <c r="M171" s="144">
        <v>770</v>
      </c>
      <c r="N171" s="129">
        <v>10.41</v>
      </c>
      <c r="O171" s="129">
        <f>5.145+5.205</f>
        <v>10.35</v>
      </c>
      <c r="P171" s="129"/>
      <c r="Q171" s="129"/>
      <c r="R171" s="129" t="s">
        <v>116</v>
      </c>
      <c r="S171" s="284" t="s">
        <v>3354</v>
      </c>
      <c r="T171" s="130" t="s">
        <v>2990</v>
      </c>
      <c r="U171" s="130"/>
      <c r="V171" s="131"/>
      <c r="W171" s="132">
        <v>44604</v>
      </c>
      <c r="X171" s="132">
        <v>44604</v>
      </c>
      <c r="Y171" s="132"/>
      <c r="Z171" s="132"/>
      <c r="AA171" s="132"/>
      <c r="AB171" s="133" t="s">
        <v>1395</v>
      </c>
      <c r="AC171" s="126" t="s">
        <v>64</v>
      </c>
      <c r="AD171" s="134" t="s">
        <v>154</v>
      </c>
      <c r="AE171" s="134" t="s">
        <v>1516</v>
      </c>
      <c r="AF171" s="134"/>
      <c r="AG171" s="134">
        <v>44554</v>
      </c>
      <c r="AH171" s="134"/>
      <c r="AI171" s="134">
        <f t="shared" ca="1" si="20"/>
        <v>44963</v>
      </c>
      <c r="AJ171" s="126">
        <f t="shared" ca="1" si="22"/>
        <v>409</v>
      </c>
      <c r="AK171" s="126" t="str">
        <f t="shared" si="23"/>
        <v/>
      </c>
      <c r="AL171" s="134"/>
      <c r="AM171" s="143" t="s">
        <v>2611</v>
      </c>
      <c r="AN171" s="129">
        <v>10.395</v>
      </c>
      <c r="AO171" s="129">
        <v>10.404999999999999</v>
      </c>
      <c r="AP171" s="129">
        <v>10.429999999999998</v>
      </c>
      <c r="AQ171" s="129">
        <v>10.434999999999999</v>
      </c>
      <c r="AR171" s="126">
        <f t="shared" ca="1" si="24"/>
        <v>359</v>
      </c>
      <c r="AU171" s="99" t="s">
        <v>136</v>
      </c>
    </row>
    <row r="172" spans="1:47" s="99" customFormat="1" ht="21" customHeight="1" x14ac:dyDescent="0.35">
      <c r="A172" s="99">
        <v>421</v>
      </c>
      <c r="B172" s="126" t="str">
        <f t="shared" si="21"/>
        <v>0-304L/2B-001X770</v>
      </c>
      <c r="C172" s="126" t="s">
        <v>3360</v>
      </c>
      <c r="D172" s="126" t="s">
        <v>3026</v>
      </c>
      <c r="E172" s="143" t="s">
        <v>2749</v>
      </c>
      <c r="F172" s="143" t="s">
        <v>3362</v>
      </c>
      <c r="G172" s="126" t="s">
        <v>230</v>
      </c>
      <c r="H172" s="126" t="s">
        <v>116</v>
      </c>
      <c r="I172" s="127">
        <v>2.89</v>
      </c>
      <c r="J172" s="127">
        <v>0.9</v>
      </c>
      <c r="K172" s="149"/>
      <c r="L172" s="149"/>
      <c r="M172" s="144">
        <v>770</v>
      </c>
      <c r="N172" s="129">
        <v>12.07</v>
      </c>
      <c r="O172" s="129">
        <f>3.995+3.99+4.04</f>
        <v>12.025</v>
      </c>
      <c r="P172" s="129"/>
      <c r="Q172" s="129"/>
      <c r="R172" s="129" t="s">
        <v>116</v>
      </c>
      <c r="S172" s="284" t="s">
        <v>3354</v>
      </c>
      <c r="T172" s="130" t="s">
        <v>2990</v>
      </c>
      <c r="U172" s="130"/>
      <c r="V172" s="131"/>
      <c r="W172" s="132">
        <v>44605</v>
      </c>
      <c r="X172" s="132">
        <v>44605</v>
      </c>
      <c r="Y172" s="132"/>
      <c r="Z172" s="132"/>
      <c r="AA172" s="132"/>
      <c r="AB172" s="133"/>
      <c r="AC172" s="126" t="s">
        <v>64</v>
      </c>
      <c r="AD172" s="134" t="s">
        <v>154</v>
      </c>
      <c r="AE172" s="134" t="s">
        <v>1190</v>
      </c>
      <c r="AF172" s="134"/>
      <c r="AG172" s="134">
        <v>44496</v>
      </c>
      <c r="AH172" s="134"/>
      <c r="AI172" s="134">
        <f t="shared" ca="1" si="20"/>
        <v>44963</v>
      </c>
      <c r="AJ172" s="126">
        <f t="shared" ca="1" si="22"/>
        <v>467</v>
      </c>
      <c r="AK172" s="126" t="str">
        <f t="shared" si="23"/>
        <v/>
      </c>
      <c r="AL172" s="134"/>
      <c r="AM172" s="143" t="s">
        <v>2751</v>
      </c>
      <c r="AN172" s="129">
        <v>12.055</v>
      </c>
      <c r="AO172" s="129">
        <v>12.065</v>
      </c>
      <c r="AP172" s="129">
        <v>12.089999999999998</v>
      </c>
      <c r="AQ172" s="129">
        <v>12.094999999999999</v>
      </c>
      <c r="AR172" s="126">
        <f t="shared" ca="1" si="24"/>
        <v>358</v>
      </c>
      <c r="AU172" s="99" t="s">
        <v>136</v>
      </c>
    </row>
    <row r="173" spans="1:47" s="99" customFormat="1" ht="21" customHeight="1" x14ac:dyDescent="0.35">
      <c r="A173" s="99">
        <v>422</v>
      </c>
      <c r="B173" s="126" t="str">
        <f t="shared" si="21"/>
        <v>0-304L/2B-001X768</v>
      </c>
      <c r="C173" s="126" t="s">
        <v>3360</v>
      </c>
      <c r="D173" s="126" t="s">
        <v>3026</v>
      </c>
      <c r="E173" s="143" t="s">
        <v>2754</v>
      </c>
      <c r="F173" s="143" t="s">
        <v>3363</v>
      </c>
      <c r="G173" s="126" t="s">
        <v>230</v>
      </c>
      <c r="H173" s="126" t="s">
        <v>116</v>
      </c>
      <c r="I173" s="127">
        <v>3.44</v>
      </c>
      <c r="J173" s="127">
        <v>1.45</v>
      </c>
      <c r="K173" s="149"/>
      <c r="L173" s="149"/>
      <c r="M173" s="144">
        <v>768</v>
      </c>
      <c r="N173" s="129">
        <v>12.19</v>
      </c>
      <c r="O173" s="129">
        <f>4.005+4.005+4.125</f>
        <v>12.135</v>
      </c>
      <c r="P173" s="129"/>
      <c r="Q173" s="129">
        <v>1.7000000000000001E-2</v>
      </c>
      <c r="R173" s="129" t="s">
        <v>116</v>
      </c>
      <c r="S173" s="284" t="s">
        <v>3364</v>
      </c>
      <c r="T173" s="130" t="s">
        <v>3365</v>
      </c>
      <c r="U173" s="130"/>
      <c r="V173" s="131"/>
      <c r="W173" s="132">
        <v>44605</v>
      </c>
      <c r="X173" s="132">
        <v>44605</v>
      </c>
      <c r="Y173" s="132"/>
      <c r="Z173" s="132"/>
      <c r="AA173" s="132"/>
      <c r="AB173" s="133"/>
      <c r="AC173" s="126" t="s">
        <v>64</v>
      </c>
      <c r="AD173" s="134" t="s">
        <v>154</v>
      </c>
      <c r="AE173" s="134" t="s">
        <v>1330</v>
      </c>
      <c r="AF173" s="134"/>
      <c r="AG173" s="134">
        <v>44516</v>
      </c>
      <c r="AH173" s="134"/>
      <c r="AI173" s="134">
        <f t="shared" ca="1" si="20"/>
        <v>44963</v>
      </c>
      <c r="AJ173" s="126">
        <f t="shared" ca="1" si="22"/>
        <v>447</v>
      </c>
      <c r="AK173" s="126" t="str">
        <f t="shared" si="23"/>
        <v/>
      </c>
      <c r="AL173" s="134"/>
      <c r="AM173" s="143" t="s">
        <v>2756</v>
      </c>
      <c r="AN173" s="129">
        <v>12.2</v>
      </c>
      <c r="AO173" s="129">
        <v>12.21</v>
      </c>
      <c r="AP173" s="129">
        <v>12.234999999999999</v>
      </c>
      <c r="AQ173" s="129">
        <v>12.24</v>
      </c>
      <c r="AR173" s="126">
        <f t="shared" ca="1" si="24"/>
        <v>358</v>
      </c>
      <c r="AU173" s="99" t="s">
        <v>136</v>
      </c>
    </row>
    <row r="174" spans="1:47" s="99" customFormat="1" ht="21" customHeight="1" x14ac:dyDescent="0.35">
      <c r="A174" s="99">
        <v>421</v>
      </c>
      <c r="B174" s="126" t="str">
        <f t="shared" si="21"/>
        <v>0-304L/2B-001X770</v>
      </c>
      <c r="C174" s="126" t="s">
        <v>3360</v>
      </c>
      <c r="D174" s="126" t="s">
        <v>3026</v>
      </c>
      <c r="E174" s="143" t="s">
        <v>2738</v>
      </c>
      <c r="F174" s="143" t="s">
        <v>3366</v>
      </c>
      <c r="G174" s="126" t="s">
        <v>230</v>
      </c>
      <c r="H174" s="126" t="s">
        <v>116</v>
      </c>
      <c r="I174" s="127">
        <v>2.92</v>
      </c>
      <c r="J174" s="127">
        <v>0.9</v>
      </c>
      <c r="K174" s="149"/>
      <c r="L174" s="149"/>
      <c r="M174" s="144">
        <v>770</v>
      </c>
      <c r="N174" s="129">
        <v>8.2799999999999994</v>
      </c>
      <c r="O174" s="129">
        <f>4.06+4.19</f>
        <v>8.25</v>
      </c>
      <c r="P174" s="129"/>
      <c r="Q174" s="129">
        <v>5.0000000000000001E-3</v>
      </c>
      <c r="R174" s="129" t="s">
        <v>116</v>
      </c>
      <c r="S174" s="284" t="s">
        <v>3354</v>
      </c>
      <c r="T174" s="130" t="s">
        <v>2990</v>
      </c>
      <c r="U174" s="130"/>
      <c r="V174" s="131"/>
      <c r="W174" s="132">
        <v>44604</v>
      </c>
      <c r="X174" s="132">
        <v>44605</v>
      </c>
      <c r="Y174" s="132"/>
      <c r="Z174" s="132"/>
      <c r="AA174" s="132"/>
      <c r="AB174" s="133"/>
      <c r="AC174" s="126" t="s">
        <v>64</v>
      </c>
      <c r="AD174" s="134" t="s">
        <v>154</v>
      </c>
      <c r="AE174" s="134" t="s">
        <v>1190</v>
      </c>
      <c r="AF174" s="134"/>
      <c r="AG174" s="134">
        <v>44496</v>
      </c>
      <c r="AH174" s="134"/>
      <c r="AI174" s="134">
        <f t="shared" ca="1" si="20"/>
        <v>44963</v>
      </c>
      <c r="AJ174" s="126">
        <f t="shared" ca="1" si="22"/>
        <v>467</v>
      </c>
      <c r="AK174" s="126" t="str">
        <f t="shared" si="23"/>
        <v/>
      </c>
      <c r="AL174" s="134"/>
      <c r="AM174" s="143" t="s">
        <v>2740</v>
      </c>
      <c r="AN174" s="129">
        <v>8.2850000000000001</v>
      </c>
      <c r="AO174" s="129">
        <v>8.2949999999999999</v>
      </c>
      <c r="AP174" s="129">
        <v>8.3199999999999985</v>
      </c>
      <c r="AQ174" s="129">
        <v>8.3249999999999993</v>
      </c>
      <c r="AR174" s="126">
        <f t="shared" ca="1" si="24"/>
        <v>358</v>
      </c>
      <c r="AU174" s="99" t="s">
        <v>136</v>
      </c>
    </row>
    <row r="175" spans="1:47" s="99" customFormat="1" ht="21" customHeight="1" x14ac:dyDescent="0.35">
      <c r="A175" s="99">
        <v>422</v>
      </c>
      <c r="B175" s="126" t="str">
        <f t="shared" si="21"/>
        <v>0-304L/2B-001X768</v>
      </c>
      <c r="C175" s="126" t="s">
        <v>3360</v>
      </c>
      <c r="D175" s="126" t="s">
        <v>3026</v>
      </c>
      <c r="E175" s="143" t="s">
        <v>2791</v>
      </c>
      <c r="F175" s="143" t="s">
        <v>3367</v>
      </c>
      <c r="G175" s="126" t="s">
        <v>230</v>
      </c>
      <c r="H175" s="126" t="s">
        <v>116</v>
      </c>
      <c r="I175" s="127">
        <v>2.8</v>
      </c>
      <c r="J175" s="127">
        <v>0.8</v>
      </c>
      <c r="K175" s="149"/>
      <c r="L175" s="149"/>
      <c r="M175" s="144">
        <v>768</v>
      </c>
      <c r="N175" s="129">
        <v>9.9949999999999992</v>
      </c>
      <c r="O175" s="129">
        <f>4.3+5.64</f>
        <v>9.94</v>
      </c>
      <c r="P175" s="129"/>
      <c r="Q175" s="129">
        <v>2.4E-2</v>
      </c>
      <c r="R175" s="129" t="s">
        <v>116</v>
      </c>
      <c r="S175" s="284" t="s">
        <v>3368</v>
      </c>
      <c r="T175" s="130" t="s">
        <v>2987</v>
      </c>
      <c r="U175" s="130"/>
      <c r="V175" s="131"/>
      <c r="W175" s="132">
        <v>44606</v>
      </c>
      <c r="X175" s="132">
        <v>44607</v>
      </c>
      <c r="Y175" s="132"/>
      <c r="Z175" s="132"/>
      <c r="AA175" s="132"/>
      <c r="AB175" s="133"/>
      <c r="AC175" s="126" t="s">
        <v>64</v>
      </c>
      <c r="AD175" s="134" t="s">
        <v>154</v>
      </c>
      <c r="AE175" s="134" t="s">
        <v>1330</v>
      </c>
      <c r="AF175" s="134"/>
      <c r="AG175" s="134">
        <v>44516</v>
      </c>
      <c r="AH175" s="134"/>
      <c r="AI175" s="134">
        <f t="shared" ca="1" si="20"/>
        <v>44963</v>
      </c>
      <c r="AJ175" s="126">
        <f t="shared" ca="1" si="22"/>
        <v>447</v>
      </c>
      <c r="AK175" s="126" t="str">
        <f t="shared" si="23"/>
        <v/>
      </c>
      <c r="AL175" s="134"/>
      <c r="AM175" s="143" t="s">
        <v>2793</v>
      </c>
      <c r="AN175" s="129">
        <v>9.99</v>
      </c>
      <c r="AO175" s="129">
        <v>10</v>
      </c>
      <c r="AP175" s="129">
        <v>10.024999999999999</v>
      </c>
      <c r="AQ175" s="129">
        <v>10.029999999999999</v>
      </c>
      <c r="AR175" s="126">
        <f t="shared" ca="1" si="24"/>
        <v>356</v>
      </c>
      <c r="AU175" s="99" t="s">
        <v>136</v>
      </c>
    </row>
    <row r="176" spans="1:47" s="583" customFormat="1" ht="21" customHeight="1" x14ac:dyDescent="0.35">
      <c r="A176" s="583">
        <v>421</v>
      </c>
      <c r="B176" s="584" t="str">
        <f t="shared" si="21"/>
        <v>0-304L/2B-001X770</v>
      </c>
      <c r="C176" s="584" t="s">
        <v>3369</v>
      </c>
      <c r="D176" s="584" t="s">
        <v>63</v>
      </c>
      <c r="E176" s="586" t="s">
        <v>2752</v>
      </c>
      <c r="F176" s="586" t="s">
        <v>3370</v>
      </c>
      <c r="G176" s="584" t="s">
        <v>230</v>
      </c>
      <c r="H176" s="584" t="s">
        <v>116</v>
      </c>
      <c r="I176" s="587">
        <v>2.89</v>
      </c>
      <c r="J176" s="587">
        <v>1</v>
      </c>
      <c r="K176" s="719"/>
      <c r="L176" s="719"/>
      <c r="M176" s="723">
        <v>770</v>
      </c>
      <c r="N176" s="845">
        <v>12.08</v>
      </c>
      <c r="O176" s="589">
        <v>6.0350000000000001</v>
      </c>
      <c r="P176" s="589"/>
      <c r="Q176" s="589"/>
      <c r="R176" s="589" t="s">
        <v>116</v>
      </c>
      <c r="S176" s="593"/>
      <c r="T176" s="721" t="s">
        <v>2987</v>
      </c>
      <c r="U176" s="721"/>
      <c r="V176" s="722" t="s">
        <v>3371</v>
      </c>
      <c r="W176" s="596">
        <v>44605</v>
      </c>
      <c r="X176" s="596">
        <v>44605</v>
      </c>
      <c r="Y176" s="596">
        <v>44610</v>
      </c>
      <c r="Z176" s="596"/>
      <c r="AA176" s="596"/>
      <c r="AB176" s="597"/>
      <c r="AC176" s="584" t="s">
        <v>64</v>
      </c>
      <c r="AD176" s="598" t="s">
        <v>154</v>
      </c>
      <c r="AE176" s="598" t="s">
        <v>1190</v>
      </c>
      <c r="AF176" s="598"/>
      <c r="AG176" s="598">
        <v>44496</v>
      </c>
      <c r="AH176" s="598"/>
      <c r="AI176" s="598">
        <f t="shared" ca="1" si="20"/>
        <v>44963</v>
      </c>
      <c r="AJ176" s="584">
        <f t="shared" ca="1" si="22"/>
        <v>467</v>
      </c>
      <c r="AK176" s="584">
        <f t="shared" ca="1" si="23"/>
        <v>353</v>
      </c>
      <c r="AL176" s="598"/>
      <c r="AM176" s="586" t="s">
        <v>1222</v>
      </c>
      <c r="AN176" s="589">
        <v>12.065</v>
      </c>
      <c r="AO176" s="589">
        <v>12.074999999999999</v>
      </c>
      <c r="AP176" s="589">
        <v>12.099999999999998</v>
      </c>
      <c r="AQ176" s="589">
        <v>12.104999999999999</v>
      </c>
      <c r="AR176" s="584">
        <f t="shared" ca="1" si="24"/>
        <v>358</v>
      </c>
      <c r="AU176" s="583" t="s">
        <v>136</v>
      </c>
    </row>
    <row r="177" spans="1:47" s="99" customFormat="1" ht="21" customHeight="1" x14ac:dyDescent="0.35">
      <c r="A177" s="99">
        <v>421</v>
      </c>
      <c r="B177" s="126" t="str">
        <f t="shared" si="21"/>
        <v>0-304L/2B-001X770</v>
      </c>
      <c r="C177" s="126" t="s">
        <v>3360</v>
      </c>
      <c r="D177" s="126" t="s">
        <v>3026</v>
      </c>
      <c r="E177" s="143" t="s">
        <v>2752</v>
      </c>
      <c r="F177" s="143" t="s">
        <v>3372</v>
      </c>
      <c r="G177" s="126" t="s">
        <v>230</v>
      </c>
      <c r="H177" s="126" t="s">
        <v>116</v>
      </c>
      <c r="I177" s="127">
        <v>2.89</v>
      </c>
      <c r="J177" s="127">
        <v>1</v>
      </c>
      <c r="K177" s="149"/>
      <c r="L177" s="149"/>
      <c r="M177" s="144">
        <v>770</v>
      </c>
      <c r="N177" s="815"/>
      <c r="O177" s="129">
        <v>6</v>
      </c>
      <c r="P177" s="129"/>
      <c r="Q177" s="129"/>
      <c r="R177" s="129" t="s">
        <v>116</v>
      </c>
      <c r="S177" s="284" t="s">
        <v>3373</v>
      </c>
      <c r="T177" s="130" t="s">
        <v>2987</v>
      </c>
      <c r="U177" s="130"/>
      <c r="V177" s="131"/>
      <c r="W177" s="132">
        <v>44605</v>
      </c>
      <c r="X177" s="132">
        <v>44605</v>
      </c>
      <c r="Y177" s="132"/>
      <c r="Z177" s="132"/>
      <c r="AA177" s="132"/>
      <c r="AB177" s="133"/>
      <c r="AC177" s="126" t="s">
        <v>64</v>
      </c>
      <c r="AD177" s="134" t="s">
        <v>154</v>
      </c>
      <c r="AE177" s="134" t="s">
        <v>1190</v>
      </c>
      <c r="AF177" s="134"/>
      <c r="AG177" s="134">
        <v>44496</v>
      </c>
      <c r="AH177" s="134"/>
      <c r="AI177" s="134">
        <f t="shared" ca="1" si="20"/>
        <v>44963</v>
      </c>
      <c r="AJ177" s="126">
        <f t="shared" ca="1" si="22"/>
        <v>467</v>
      </c>
      <c r="AK177" s="126" t="str">
        <f t="shared" si="23"/>
        <v/>
      </c>
      <c r="AL177" s="134"/>
      <c r="AM177" s="143" t="s">
        <v>1222</v>
      </c>
      <c r="AN177" s="129">
        <v>12.065</v>
      </c>
      <c r="AO177" s="129">
        <v>12.074999999999999</v>
      </c>
      <c r="AP177" s="129">
        <v>12.099999999999998</v>
      </c>
      <c r="AQ177" s="129">
        <v>12.104999999999999</v>
      </c>
      <c r="AR177" s="126">
        <f t="shared" ca="1" si="24"/>
        <v>358</v>
      </c>
      <c r="AU177" s="99" t="s">
        <v>136</v>
      </c>
    </row>
    <row r="178" spans="1:47" s="99" customFormat="1" ht="21" customHeight="1" x14ac:dyDescent="0.35">
      <c r="A178" s="99">
        <v>421</v>
      </c>
      <c r="B178" s="126" t="str">
        <f t="shared" si="21"/>
        <v>0-304L/2B-001X770</v>
      </c>
      <c r="C178" s="126" t="s">
        <v>3360</v>
      </c>
      <c r="D178" s="126" t="s">
        <v>3026</v>
      </c>
      <c r="E178" s="143" t="s">
        <v>2806</v>
      </c>
      <c r="F178" s="143" t="s">
        <v>3374</v>
      </c>
      <c r="G178" s="126" t="s">
        <v>230</v>
      </c>
      <c r="H178" s="126" t="s">
        <v>116</v>
      </c>
      <c r="I178" s="127">
        <v>2.81</v>
      </c>
      <c r="J178" s="127">
        <v>0.9</v>
      </c>
      <c r="K178" s="149"/>
      <c r="L178" s="149"/>
      <c r="M178" s="144">
        <v>770</v>
      </c>
      <c r="N178" s="129">
        <v>12.25</v>
      </c>
      <c r="O178" s="129">
        <f>3.985+4.005+4.175</f>
        <v>12.164999999999999</v>
      </c>
      <c r="P178" s="129"/>
      <c r="Q178" s="129"/>
      <c r="R178" s="129" t="s">
        <v>116</v>
      </c>
      <c r="S178" s="284" t="s">
        <v>3375</v>
      </c>
      <c r="T178" s="130" t="s">
        <v>3376</v>
      </c>
      <c r="U178" s="130"/>
      <c r="V178" s="131"/>
      <c r="W178" s="132">
        <v>44607</v>
      </c>
      <c r="X178" s="132">
        <v>44607</v>
      </c>
      <c r="Y178" s="132"/>
      <c r="Z178" s="132"/>
      <c r="AA178" s="132"/>
      <c r="AB178" s="133"/>
      <c r="AC178" s="126" t="s">
        <v>64</v>
      </c>
      <c r="AD178" s="134" t="s">
        <v>154</v>
      </c>
      <c r="AE178" s="134" t="s">
        <v>1190</v>
      </c>
      <c r="AF178" s="134"/>
      <c r="AG178" s="134">
        <v>44496</v>
      </c>
      <c r="AH178" s="134"/>
      <c r="AI178" s="134">
        <f t="shared" ca="1" si="20"/>
        <v>44963</v>
      </c>
      <c r="AJ178" s="126">
        <f t="shared" ca="1" si="22"/>
        <v>467</v>
      </c>
      <c r="AK178" s="126" t="str">
        <f t="shared" si="23"/>
        <v/>
      </c>
      <c r="AL178" s="134"/>
      <c r="AM178" s="143" t="s">
        <v>1191</v>
      </c>
      <c r="AN178" s="129">
        <v>12.195</v>
      </c>
      <c r="AO178" s="129">
        <v>12.205</v>
      </c>
      <c r="AP178" s="129">
        <v>12.229999999999999</v>
      </c>
      <c r="AQ178" s="129">
        <v>12.234999999999999</v>
      </c>
      <c r="AR178" s="126">
        <f t="shared" ca="1" si="24"/>
        <v>356</v>
      </c>
      <c r="AU178" s="99" t="s">
        <v>136</v>
      </c>
    </row>
    <row r="179" spans="1:47" s="99" customFormat="1" ht="21" customHeight="1" x14ac:dyDescent="0.35">
      <c r="A179" s="99">
        <v>421</v>
      </c>
      <c r="B179" s="126" t="str">
        <f t="shared" si="21"/>
        <v>0-304L/2B-001X770</v>
      </c>
      <c r="C179" s="126" t="s">
        <v>3360</v>
      </c>
      <c r="D179" s="126" t="s">
        <v>3026</v>
      </c>
      <c r="E179" s="143" t="s">
        <v>2794</v>
      </c>
      <c r="F179" s="143" t="s">
        <v>3377</v>
      </c>
      <c r="G179" s="126" t="s">
        <v>230</v>
      </c>
      <c r="H179" s="126" t="s">
        <v>116</v>
      </c>
      <c r="I179" s="127">
        <v>2.92</v>
      </c>
      <c r="J179" s="127">
        <v>1</v>
      </c>
      <c r="K179" s="149"/>
      <c r="L179" s="149"/>
      <c r="M179" s="144">
        <v>770</v>
      </c>
      <c r="N179" s="129">
        <v>10.545</v>
      </c>
      <c r="O179" s="129">
        <f>5.225+5.255</f>
        <v>10.48</v>
      </c>
      <c r="P179" s="129"/>
      <c r="Q179" s="129"/>
      <c r="R179" s="129" t="s">
        <v>116</v>
      </c>
      <c r="S179" s="284" t="s">
        <v>3368</v>
      </c>
      <c r="T179" s="130" t="s">
        <v>2987</v>
      </c>
      <c r="U179" s="130"/>
      <c r="V179" s="131"/>
      <c r="W179" s="132">
        <v>44606</v>
      </c>
      <c r="X179" s="132">
        <v>44606</v>
      </c>
      <c r="Y179" s="132"/>
      <c r="Z179" s="132"/>
      <c r="AA179" s="132"/>
      <c r="AB179" s="133"/>
      <c r="AC179" s="126" t="s">
        <v>64</v>
      </c>
      <c r="AD179" s="134" t="s">
        <v>154</v>
      </c>
      <c r="AE179" s="134" t="s">
        <v>1246</v>
      </c>
      <c r="AF179" s="134"/>
      <c r="AG179" s="134">
        <v>44496</v>
      </c>
      <c r="AH179" s="134"/>
      <c r="AI179" s="134">
        <f t="shared" ca="1" si="20"/>
        <v>44963</v>
      </c>
      <c r="AJ179" s="126">
        <f t="shared" ca="1" si="22"/>
        <v>467</v>
      </c>
      <c r="AK179" s="126" t="str">
        <f t="shared" si="23"/>
        <v/>
      </c>
      <c r="AL179" s="134"/>
      <c r="AM179" s="143" t="s">
        <v>2777</v>
      </c>
      <c r="AN179" s="129">
        <v>10.51</v>
      </c>
      <c r="AO179" s="129">
        <v>10.52</v>
      </c>
      <c r="AP179" s="129">
        <v>10.544999999999998</v>
      </c>
      <c r="AQ179" s="129">
        <v>10.549999999999999</v>
      </c>
      <c r="AR179" s="126">
        <f t="shared" ca="1" si="24"/>
        <v>357</v>
      </c>
      <c r="AU179" s="99" t="s">
        <v>136</v>
      </c>
    </row>
    <row r="180" spans="1:47" s="99" customFormat="1" ht="21" customHeight="1" x14ac:dyDescent="0.35">
      <c r="A180" s="99">
        <v>424</v>
      </c>
      <c r="B180" s="126" t="str">
        <f t="shared" si="21"/>
        <v>0-304/2B-002X770</v>
      </c>
      <c r="C180" s="126" t="s">
        <v>3360</v>
      </c>
      <c r="D180" s="126" t="s">
        <v>3026</v>
      </c>
      <c r="E180" s="143" t="s">
        <v>2847</v>
      </c>
      <c r="F180" s="143" t="s">
        <v>3378</v>
      </c>
      <c r="G180" s="126">
        <v>304</v>
      </c>
      <c r="H180" s="126" t="s">
        <v>116</v>
      </c>
      <c r="I180" s="127">
        <v>3.74</v>
      </c>
      <c r="J180" s="127">
        <v>1.5</v>
      </c>
      <c r="K180" s="149">
        <v>1.48</v>
      </c>
      <c r="L180" s="149">
        <v>1.5</v>
      </c>
      <c r="M180" s="144">
        <v>770</v>
      </c>
      <c r="N180" s="129">
        <v>5.2249999999999996</v>
      </c>
      <c r="O180" s="129">
        <v>5.2249999999999996</v>
      </c>
      <c r="P180" s="129"/>
      <c r="Q180" s="129"/>
      <c r="R180" s="129" t="s">
        <v>116</v>
      </c>
      <c r="S180" s="284" t="s">
        <v>3379</v>
      </c>
      <c r="T180" s="130" t="s">
        <v>3001</v>
      </c>
      <c r="U180" s="130"/>
      <c r="V180" s="131"/>
      <c r="W180" s="132">
        <v>44610</v>
      </c>
      <c r="X180" s="132">
        <v>44610</v>
      </c>
      <c r="Y180" s="132"/>
      <c r="Z180" s="132"/>
      <c r="AA180" s="132"/>
      <c r="AB180" s="133" t="s">
        <v>1395</v>
      </c>
      <c r="AC180" s="126" t="s">
        <v>64</v>
      </c>
      <c r="AD180" s="134" t="s">
        <v>154</v>
      </c>
      <c r="AE180" s="134" t="s">
        <v>1330</v>
      </c>
      <c r="AF180" s="134"/>
      <c r="AG180" s="134">
        <v>44554</v>
      </c>
      <c r="AH180" s="134"/>
      <c r="AI180" s="134">
        <f t="shared" ca="1" si="20"/>
        <v>44963</v>
      </c>
      <c r="AJ180" s="126">
        <f t="shared" ca="1" si="22"/>
        <v>409</v>
      </c>
      <c r="AK180" s="126" t="str">
        <f t="shared" si="23"/>
        <v/>
      </c>
      <c r="AL180" s="134"/>
      <c r="AM180" s="143" t="s">
        <v>1427</v>
      </c>
      <c r="AN180" s="129">
        <v>10.375</v>
      </c>
      <c r="AO180" s="129">
        <v>10.385</v>
      </c>
      <c r="AP180" s="129">
        <v>10.409999999999998</v>
      </c>
      <c r="AQ180" s="129">
        <v>10.414999999999999</v>
      </c>
      <c r="AR180" s="126">
        <f t="shared" ca="1" si="24"/>
        <v>353</v>
      </c>
      <c r="AU180" s="99" t="s">
        <v>136</v>
      </c>
    </row>
    <row r="181" spans="1:47" s="99" customFormat="1" ht="21" customHeight="1" x14ac:dyDescent="0.35">
      <c r="A181" s="99">
        <v>424</v>
      </c>
      <c r="B181" s="126" t="str">
        <f t="shared" si="21"/>
        <v>0-304/2B-002X770</v>
      </c>
      <c r="C181" s="126" t="s">
        <v>3380</v>
      </c>
      <c r="D181" s="126" t="s">
        <v>3026</v>
      </c>
      <c r="E181" s="143" t="s">
        <v>2847</v>
      </c>
      <c r="F181" s="143" t="s">
        <v>3381</v>
      </c>
      <c r="G181" s="126">
        <v>304</v>
      </c>
      <c r="H181" s="126" t="s">
        <v>116</v>
      </c>
      <c r="I181" s="127">
        <v>3.74</v>
      </c>
      <c r="J181" s="127">
        <v>1.5</v>
      </c>
      <c r="K181" s="149">
        <v>1.48</v>
      </c>
      <c r="L181" s="149">
        <v>1.5</v>
      </c>
      <c r="M181" s="144">
        <v>770</v>
      </c>
      <c r="N181" s="129">
        <f>10.39-5.225</f>
        <v>5.1650000000000009</v>
      </c>
      <c r="O181" s="129">
        <v>5.1100000000000003</v>
      </c>
      <c r="P181" s="129"/>
      <c r="Q181" s="129"/>
      <c r="R181" s="129" t="s">
        <v>116</v>
      </c>
      <c r="S181" s="284" t="s">
        <v>3379</v>
      </c>
      <c r="T181" s="130" t="s">
        <v>3001</v>
      </c>
      <c r="U181" s="130"/>
      <c r="V181" s="131"/>
      <c r="W181" s="132">
        <v>44610</v>
      </c>
      <c r="X181" s="132">
        <v>44610</v>
      </c>
      <c r="Y181" s="132"/>
      <c r="Z181" s="132"/>
      <c r="AA181" s="132"/>
      <c r="AB181" s="133" t="s">
        <v>1395</v>
      </c>
      <c r="AC181" s="126" t="s">
        <v>64</v>
      </c>
      <c r="AD181" s="134" t="s">
        <v>154</v>
      </c>
      <c r="AE181" s="134" t="s">
        <v>1330</v>
      </c>
      <c r="AF181" s="134"/>
      <c r="AG181" s="134">
        <v>44554</v>
      </c>
      <c r="AH181" s="134"/>
      <c r="AI181" s="134">
        <f t="shared" ca="1" si="20"/>
        <v>44963</v>
      </c>
      <c r="AJ181" s="126">
        <f t="shared" ca="1" si="22"/>
        <v>409</v>
      </c>
      <c r="AK181" s="126" t="str">
        <f t="shared" si="23"/>
        <v/>
      </c>
      <c r="AL181" s="134"/>
      <c r="AM181" s="143" t="s">
        <v>1427</v>
      </c>
      <c r="AN181" s="129">
        <v>10.375</v>
      </c>
      <c r="AO181" s="129">
        <v>10.385</v>
      </c>
      <c r="AP181" s="129">
        <v>10.409999999999998</v>
      </c>
      <c r="AQ181" s="129">
        <v>10.414999999999999</v>
      </c>
      <c r="AR181" s="126">
        <f t="shared" ca="1" si="24"/>
        <v>353</v>
      </c>
      <c r="AU181" s="99" t="s">
        <v>136</v>
      </c>
    </row>
    <row r="182" spans="1:47" s="99" customFormat="1" ht="21" customHeight="1" x14ac:dyDescent="0.35">
      <c r="A182" s="99">
        <v>421</v>
      </c>
      <c r="B182" s="126" t="str">
        <f t="shared" si="21"/>
        <v>0-304/2B-001X770</v>
      </c>
      <c r="C182" s="126" t="s">
        <v>3380</v>
      </c>
      <c r="D182" s="126" t="s">
        <v>3026</v>
      </c>
      <c r="E182" s="143" t="s">
        <v>2835</v>
      </c>
      <c r="F182" s="143" t="s">
        <v>3382</v>
      </c>
      <c r="G182" s="126">
        <v>304</v>
      </c>
      <c r="H182" s="126" t="s">
        <v>116</v>
      </c>
      <c r="I182" s="127">
        <v>3</v>
      </c>
      <c r="J182" s="127">
        <v>1</v>
      </c>
      <c r="K182" s="149">
        <v>1.01</v>
      </c>
      <c r="L182" s="149">
        <v>1.02</v>
      </c>
      <c r="M182" s="144">
        <v>770</v>
      </c>
      <c r="N182" s="129">
        <v>10.505000000000001</v>
      </c>
      <c r="O182" s="129">
        <f>5.185+5.25</f>
        <v>10.434999999999999</v>
      </c>
      <c r="P182" s="129"/>
      <c r="Q182" s="129"/>
      <c r="R182" s="129" t="s">
        <v>116</v>
      </c>
      <c r="S182" s="284" t="s">
        <v>3379</v>
      </c>
      <c r="T182" s="130" t="s">
        <v>3001</v>
      </c>
      <c r="U182" s="130"/>
      <c r="V182" s="131"/>
      <c r="W182" s="132">
        <v>44608</v>
      </c>
      <c r="X182" s="132">
        <v>44609</v>
      </c>
      <c r="Y182" s="132"/>
      <c r="Z182" s="132"/>
      <c r="AA182" s="132"/>
      <c r="AB182" s="133"/>
      <c r="AC182" s="126" t="s">
        <v>64</v>
      </c>
      <c r="AD182" s="134" t="s">
        <v>154</v>
      </c>
      <c r="AE182" s="134" t="s">
        <v>1239</v>
      </c>
      <c r="AF182" s="134"/>
      <c r="AG182" s="134">
        <v>44496</v>
      </c>
      <c r="AH182" s="134"/>
      <c r="AI182" s="134">
        <f t="shared" ca="1" si="20"/>
        <v>44963</v>
      </c>
      <c r="AJ182" s="126">
        <f t="shared" ca="1" si="22"/>
        <v>467</v>
      </c>
      <c r="AK182" s="126" t="str">
        <f t="shared" si="23"/>
        <v/>
      </c>
      <c r="AL182" s="134"/>
      <c r="AM182" s="143" t="s">
        <v>2837</v>
      </c>
      <c r="AN182" s="129">
        <v>10.494999999999999</v>
      </c>
      <c r="AO182" s="129">
        <v>10.505000000000001</v>
      </c>
      <c r="AP182" s="129">
        <v>10.53</v>
      </c>
      <c r="AQ182" s="129">
        <v>10.535</v>
      </c>
      <c r="AR182" s="126">
        <f t="shared" ca="1" si="24"/>
        <v>354</v>
      </c>
      <c r="AU182" s="99" t="s">
        <v>136</v>
      </c>
    </row>
    <row r="183" spans="1:47" s="99" customFormat="1" ht="21" customHeight="1" x14ac:dyDescent="0.35">
      <c r="A183" s="99">
        <v>421</v>
      </c>
      <c r="B183" s="126" t="str">
        <f t="shared" si="21"/>
        <v>0-304L/2B-001X770</v>
      </c>
      <c r="C183" s="126" t="s">
        <v>3380</v>
      </c>
      <c r="D183" s="126" t="s">
        <v>3026</v>
      </c>
      <c r="E183" s="143" t="s">
        <v>2799</v>
      </c>
      <c r="F183" s="143" t="s">
        <v>3383</v>
      </c>
      <c r="G183" s="126" t="s">
        <v>230</v>
      </c>
      <c r="H183" s="126" t="s">
        <v>116</v>
      </c>
      <c r="I183" s="127">
        <v>3.5</v>
      </c>
      <c r="J183" s="127">
        <v>1.2</v>
      </c>
      <c r="K183" s="149">
        <v>1.19</v>
      </c>
      <c r="L183" s="149">
        <v>1.21</v>
      </c>
      <c r="M183" s="144">
        <v>770</v>
      </c>
      <c r="N183" s="129">
        <v>8.9600000000000009</v>
      </c>
      <c r="O183" s="129">
        <f>4.5+4.415</f>
        <v>8.9149999999999991</v>
      </c>
      <c r="P183" s="129"/>
      <c r="Q183" s="129"/>
      <c r="R183" s="129" t="s">
        <v>116</v>
      </c>
      <c r="S183" s="284" t="s">
        <v>3379</v>
      </c>
      <c r="T183" s="130" t="s">
        <v>3001</v>
      </c>
      <c r="U183" s="130"/>
      <c r="V183" s="131"/>
      <c r="W183" s="132">
        <v>44606</v>
      </c>
      <c r="X183" s="132">
        <v>44607</v>
      </c>
      <c r="Y183" s="132"/>
      <c r="Z183" s="132"/>
      <c r="AA183" s="132"/>
      <c r="AB183" s="133"/>
      <c r="AC183" s="126" t="s">
        <v>64</v>
      </c>
      <c r="AD183" s="134" t="s">
        <v>154</v>
      </c>
      <c r="AE183" s="134" t="s">
        <v>1246</v>
      </c>
      <c r="AF183" s="134"/>
      <c r="AG183" s="134">
        <v>44496</v>
      </c>
      <c r="AH183" s="134"/>
      <c r="AI183" s="134">
        <f t="shared" ca="1" si="20"/>
        <v>44963</v>
      </c>
      <c r="AJ183" s="126">
        <f t="shared" ca="1" si="22"/>
        <v>467</v>
      </c>
      <c r="AK183" s="126" t="str">
        <f t="shared" si="23"/>
        <v/>
      </c>
      <c r="AL183" s="134"/>
      <c r="AM183" s="143" t="s">
        <v>2801</v>
      </c>
      <c r="AN183" s="129">
        <v>8.9499999999999993</v>
      </c>
      <c r="AO183" s="129">
        <v>8.9600000000000009</v>
      </c>
      <c r="AP183" s="129">
        <v>8.9849999999999994</v>
      </c>
      <c r="AQ183" s="129">
        <v>8.99</v>
      </c>
      <c r="AR183" s="126">
        <f t="shared" ca="1" si="24"/>
        <v>356</v>
      </c>
      <c r="AU183" s="99" t="s">
        <v>136</v>
      </c>
    </row>
    <row r="184" spans="1:47" s="99" customFormat="1" ht="21" customHeight="1" x14ac:dyDescent="0.35">
      <c r="A184" s="99">
        <v>421</v>
      </c>
      <c r="B184" s="126" t="str">
        <f t="shared" si="21"/>
        <v>0-304L/2B-001X770</v>
      </c>
      <c r="C184" s="126" t="s">
        <v>3380</v>
      </c>
      <c r="D184" s="126" t="s">
        <v>3026</v>
      </c>
      <c r="E184" s="143" t="s">
        <v>2833</v>
      </c>
      <c r="F184" s="143" t="s">
        <v>3384</v>
      </c>
      <c r="G184" s="126" t="s">
        <v>230</v>
      </c>
      <c r="H184" s="126" t="s">
        <v>116</v>
      </c>
      <c r="I184" s="127">
        <v>2.96</v>
      </c>
      <c r="J184" s="127">
        <v>0.8</v>
      </c>
      <c r="K184" s="149">
        <v>0.8</v>
      </c>
      <c r="L184" s="149">
        <v>0.82</v>
      </c>
      <c r="M184" s="144">
        <v>770</v>
      </c>
      <c r="N184" s="129">
        <v>10.119999999999999</v>
      </c>
      <c r="O184" s="129">
        <f>5.08+5</f>
        <v>10.08</v>
      </c>
      <c r="P184" s="129"/>
      <c r="Q184" s="129"/>
      <c r="R184" s="129" t="s">
        <v>116</v>
      </c>
      <c r="S184" s="284" t="s">
        <v>3379</v>
      </c>
      <c r="T184" s="130" t="s">
        <v>3001</v>
      </c>
      <c r="U184" s="130"/>
      <c r="V184" s="131"/>
      <c r="W184" s="132">
        <v>44608</v>
      </c>
      <c r="X184" s="132">
        <v>44610</v>
      </c>
      <c r="Y184" s="132"/>
      <c r="Z184" s="132"/>
      <c r="AA184" s="132"/>
      <c r="AB184" s="133"/>
      <c r="AC184" s="126" t="s">
        <v>64</v>
      </c>
      <c r="AD184" s="134" t="s">
        <v>154</v>
      </c>
      <c r="AE184" s="134" t="s">
        <v>1246</v>
      </c>
      <c r="AF184" s="134"/>
      <c r="AG184" s="134">
        <v>44496</v>
      </c>
      <c r="AH184" s="134"/>
      <c r="AI184" s="134">
        <f t="shared" ca="1" si="20"/>
        <v>44963</v>
      </c>
      <c r="AJ184" s="126">
        <f t="shared" ca="1" si="22"/>
        <v>467</v>
      </c>
      <c r="AK184" s="126" t="str">
        <f t="shared" si="23"/>
        <v/>
      </c>
      <c r="AL184" s="134"/>
      <c r="AM184" s="143" t="s">
        <v>2798</v>
      </c>
      <c r="AN184" s="129">
        <v>10.1</v>
      </c>
      <c r="AO184" s="129">
        <v>10.11</v>
      </c>
      <c r="AP184" s="129">
        <v>10.134999999999998</v>
      </c>
      <c r="AQ184" s="129">
        <v>10.139999999999999</v>
      </c>
      <c r="AR184" s="126">
        <f t="shared" ca="1" si="24"/>
        <v>353</v>
      </c>
      <c r="AU184" s="99" t="s">
        <v>136</v>
      </c>
    </row>
    <row r="185" spans="1:47" s="99" customFormat="1" ht="21" customHeight="1" x14ac:dyDescent="0.35">
      <c r="A185" s="99">
        <v>422</v>
      </c>
      <c r="B185" s="126" t="str">
        <f t="shared" si="21"/>
        <v>0-304L/2B-001X765</v>
      </c>
      <c r="C185" s="126" t="s">
        <v>3380</v>
      </c>
      <c r="D185" s="126" t="s">
        <v>3026</v>
      </c>
      <c r="E185" s="143" t="s">
        <v>2706</v>
      </c>
      <c r="F185" s="143" t="s">
        <v>3385</v>
      </c>
      <c r="G185" s="126" t="s">
        <v>230</v>
      </c>
      <c r="H185" s="126" t="s">
        <v>116</v>
      </c>
      <c r="I185" s="127">
        <v>2.88</v>
      </c>
      <c r="J185" s="127">
        <v>0.9</v>
      </c>
      <c r="K185" s="149">
        <v>0.88</v>
      </c>
      <c r="L185" s="149">
        <v>0.89</v>
      </c>
      <c r="M185" s="144">
        <v>765</v>
      </c>
      <c r="N185" s="129">
        <v>7.0149999999999997</v>
      </c>
      <c r="O185" s="129">
        <f>3.525+3.475</f>
        <v>7</v>
      </c>
      <c r="P185" s="129"/>
      <c r="Q185" s="129"/>
      <c r="R185" s="129" t="s">
        <v>116</v>
      </c>
      <c r="S185" s="284" t="s">
        <v>3386</v>
      </c>
      <c r="T185" s="130" t="s">
        <v>3387</v>
      </c>
      <c r="U185" s="130"/>
      <c r="V185" s="131"/>
      <c r="W185" s="132">
        <v>44603</v>
      </c>
      <c r="X185" s="132">
        <v>44604</v>
      </c>
      <c r="Y185" s="132"/>
      <c r="Z185" s="132"/>
      <c r="AA185" s="132"/>
      <c r="AB185" s="133"/>
      <c r="AC185" s="126" t="s">
        <v>64</v>
      </c>
      <c r="AD185" s="134" t="s">
        <v>154</v>
      </c>
      <c r="AE185" s="134" t="s">
        <v>1296</v>
      </c>
      <c r="AF185" s="134"/>
      <c r="AG185" s="134">
        <v>44516</v>
      </c>
      <c r="AH185" s="134"/>
      <c r="AI185" s="134">
        <f t="shared" ca="1" si="20"/>
        <v>44963</v>
      </c>
      <c r="AJ185" s="126">
        <f t="shared" ca="1" si="22"/>
        <v>447</v>
      </c>
      <c r="AK185" s="126" t="str">
        <f t="shared" si="23"/>
        <v/>
      </c>
      <c r="AL185" s="134"/>
      <c r="AM185" s="143" t="s">
        <v>2708</v>
      </c>
      <c r="AN185" s="129">
        <v>7.0250000000000004</v>
      </c>
      <c r="AO185" s="129">
        <v>7.0350000000000001</v>
      </c>
      <c r="AP185" s="129">
        <v>7.0600000000000005</v>
      </c>
      <c r="AQ185" s="129">
        <v>7.0650000000000004</v>
      </c>
      <c r="AR185" s="126">
        <f t="shared" ca="1" si="24"/>
        <v>359</v>
      </c>
      <c r="AU185" s="99" t="s">
        <v>136</v>
      </c>
    </row>
    <row r="186" spans="1:47" s="99" customFormat="1" ht="21" customHeight="1" x14ac:dyDescent="0.35">
      <c r="A186" s="99">
        <v>422</v>
      </c>
      <c r="B186" s="126" t="str">
        <f t="shared" si="21"/>
        <v>0-304L/2B-001X768</v>
      </c>
      <c r="C186" s="126" t="s">
        <v>3380</v>
      </c>
      <c r="D186" s="126" t="s">
        <v>3026</v>
      </c>
      <c r="E186" s="143" t="s">
        <v>2692</v>
      </c>
      <c r="F186" s="143" t="s">
        <v>3388</v>
      </c>
      <c r="G186" s="126" t="s">
        <v>230</v>
      </c>
      <c r="H186" s="126" t="s">
        <v>116</v>
      </c>
      <c r="I186" s="127">
        <v>2.88</v>
      </c>
      <c r="J186" s="127">
        <v>0.9</v>
      </c>
      <c r="K186" s="149">
        <v>0.91</v>
      </c>
      <c r="L186" s="149">
        <v>0.93</v>
      </c>
      <c r="M186" s="144">
        <v>768</v>
      </c>
      <c r="N186" s="129">
        <v>7.2750000000000004</v>
      </c>
      <c r="O186" s="129">
        <f>3.6+3.645</f>
        <v>7.2450000000000001</v>
      </c>
      <c r="P186" s="129"/>
      <c r="Q186" s="129"/>
      <c r="R186" s="129" t="s">
        <v>116</v>
      </c>
      <c r="S186" s="284" t="s">
        <v>3338</v>
      </c>
      <c r="T186" s="130" t="s">
        <v>1206</v>
      </c>
      <c r="U186" s="130"/>
      <c r="V186" s="131"/>
      <c r="W186" s="132">
        <v>44603</v>
      </c>
      <c r="X186" s="132">
        <v>44603</v>
      </c>
      <c r="Y186" s="132"/>
      <c r="Z186" s="132"/>
      <c r="AA186" s="132"/>
      <c r="AB186" s="133"/>
      <c r="AC186" s="126" t="s">
        <v>64</v>
      </c>
      <c r="AD186" s="134" t="s">
        <v>154</v>
      </c>
      <c r="AE186" s="134" t="s">
        <v>1330</v>
      </c>
      <c r="AF186" s="134"/>
      <c r="AG186" s="134">
        <v>44516</v>
      </c>
      <c r="AH186" s="134"/>
      <c r="AI186" s="134">
        <f t="shared" ca="1" si="20"/>
        <v>44963</v>
      </c>
      <c r="AJ186" s="126">
        <f t="shared" ca="1" si="22"/>
        <v>447</v>
      </c>
      <c r="AK186" s="126" t="str">
        <f t="shared" si="23"/>
        <v/>
      </c>
      <c r="AL186" s="134"/>
      <c r="AM186" s="143" t="s">
        <v>1347</v>
      </c>
      <c r="AN186" s="129">
        <v>7.2850000000000001</v>
      </c>
      <c r="AO186" s="129">
        <v>7.2949999999999999</v>
      </c>
      <c r="AP186" s="129">
        <v>7.32</v>
      </c>
      <c r="AQ186" s="129">
        <v>7.3250000000000002</v>
      </c>
      <c r="AR186" s="126">
        <f t="shared" ca="1" si="24"/>
        <v>360</v>
      </c>
      <c r="AU186" s="99" t="s">
        <v>136</v>
      </c>
    </row>
    <row r="187" spans="1:47" s="99" customFormat="1" ht="21" customHeight="1" x14ac:dyDescent="0.35">
      <c r="A187" s="99">
        <v>422</v>
      </c>
      <c r="B187" s="126" t="str">
        <f t="shared" si="21"/>
        <v>0-304L/2B-001X770</v>
      </c>
      <c r="C187" s="126" t="s">
        <v>3380</v>
      </c>
      <c r="D187" s="126" t="s">
        <v>3026</v>
      </c>
      <c r="E187" s="143" t="s">
        <v>2829</v>
      </c>
      <c r="F187" s="143" t="s">
        <v>3389</v>
      </c>
      <c r="G187" s="126" t="s">
        <v>230</v>
      </c>
      <c r="H187" s="126" t="s">
        <v>116</v>
      </c>
      <c r="I187" s="127">
        <v>2.9</v>
      </c>
      <c r="J187" s="127">
        <v>0.9</v>
      </c>
      <c r="K187" s="149">
        <v>0.91</v>
      </c>
      <c r="L187" s="149">
        <v>0.93</v>
      </c>
      <c r="M187" s="144">
        <v>770</v>
      </c>
      <c r="N187" s="129">
        <v>8.48</v>
      </c>
      <c r="O187" s="129">
        <f>4.01+4.42</f>
        <v>8.43</v>
      </c>
      <c r="P187" s="129">
        <v>2.5000000000000001E-2</v>
      </c>
      <c r="Q187" s="129"/>
      <c r="R187" s="129" t="s">
        <v>116</v>
      </c>
      <c r="S187" s="284" t="s">
        <v>3390</v>
      </c>
      <c r="T187" s="130" t="s">
        <v>1206</v>
      </c>
      <c r="U187" s="130"/>
      <c r="V187" s="131"/>
      <c r="W187" s="132">
        <v>44608</v>
      </c>
      <c r="X187" s="132">
        <v>44608</v>
      </c>
      <c r="Y187" s="132"/>
      <c r="Z187" s="132"/>
      <c r="AA187" s="132"/>
      <c r="AB187" s="133"/>
      <c r="AC187" s="126" t="s">
        <v>64</v>
      </c>
      <c r="AD187" s="134" t="s">
        <v>154</v>
      </c>
      <c r="AE187" s="134" t="s">
        <v>1296</v>
      </c>
      <c r="AF187" s="134"/>
      <c r="AG187" s="134">
        <v>44516</v>
      </c>
      <c r="AH187" s="134"/>
      <c r="AI187" s="134">
        <f t="shared" ca="1" si="20"/>
        <v>44963</v>
      </c>
      <c r="AJ187" s="126">
        <f t="shared" ca="1" si="22"/>
        <v>447</v>
      </c>
      <c r="AK187" s="126" t="str">
        <f t="shared" si="23"/>
        <v/>
      </c>
      <c r="AL187" s="134"/>
      <c r="AM187" s="143" t="s">
        <v>2684</v>
      </c>
      <c r="AN187" s="129">
        <v>8.4749999999999996</v>
      </c>
      <c r="AO187" s="129">
        <v>8.4849999999999994</v>
      </c>
      <c r="AP187" s="129">
        <v>8.509999999999998</v>
      </c>
      <c r="AQ187" s="129">
        <v>8.5149999999999988</v>
      </c>
      <c r="AR187" s="126">
        <f t="shared" ca="1" si="24"/>
        <v>355</v>
      </c>
      <c r="AU187" s="99" t="s">
        <v>136</v>
      </c>
    </row>
    <row r="188" spans="1:47" s="99" customFormat="1" ht="21" customHeight="1" x14ac:dyDescent="0.35">
      <c r="A188" s="99">
        <v>421</v>
      </c>
      <c r="B188" s="126" t="str">
        <f t="shared" si="21"/>
        <v>0-304L/2B-001X770</v>
      </c>
      <c r="C188" s="126" t="s">
        <v>3380</v>
      </c>
      <c r="D188" s="126" t="s">
        <v>3026</v>
      </c>
      <c r="E188" s="143" t="s">
        <v>2818</v>
      </c>
      <c r="F188" s="143" t="s">
        <v>3391</v>
      </c>
      <c r="G188" s="126" t="s">
        <v>230</v>
      </c>
      <c r="H188" s="126" t="s">
        <v>116</v>
      </c>
      <c r="I188" s="127">
        <v>2.79</v>
      </c>
      <c r="J188" s="127">
        <v>0.8</v>
      </c>
      <c r="K188" s="149">
        <v>0.82</v>
      </c>
      <c r="L188" s="149">
        <v>0.84</v>
      </c>
      <c r="M188" s="144">
        <v>770</v>
      </c>
      <c r="N188" s="129">
        <v>10.535</v>
      </c>
      <c r="O188" s="129">
        <f>5.1+5.365</f>
        <v>10.465</v>
      </c>
      <c r="P188" s="129"/>
      <c r="Q188" s="129">
        <v>8.0000000000000002E-3</v>
      </c>
      <c r="R188" s="129" t="s">
        <v>116</v>
      </c>
      <c r="S188" s="284" t="s">
        <v>3390</v>
      </c>
      <c r="T188" s="130" t="s">
        <v>1206</v>
      </c>
      <c r="U188" s="130"/>
      <c r="V188" s="131"/>
      <c r="W188" s="132">
        <v>44607</v>
      </c>
      <c r="X188" s="132">
        <v>44607</v>
      </c>
      <c r="Y188" s="132"/>
      <c r="Z188" s="132"/>
      <c r="AA188" s="132"/>
      <c r="AB188" s="133"/>
      <c r="AC188" s="126" t="s">
        <v>64</v>
      </c>
      <c r="AD188" s="134" t="s">
        <v>154</v>
      </c>
      <c r="AE188" s="134" t="s">
        <v>1239</v>
      </c>
      <c r="AF188" s="134"/>
      <c r="AG188" s="134">
        <v>44496</v>
      </c>
      <c r="AH188" s="134"/>
      <c r="AI188" s="134">
        <f t="shared" ca="1" si="20"/>
        <v>44963</v>
      </c>
      <c r="AJ188" s="126">
        <f t="shared" ca="1" si="22"/>
        <v>467</v>
      </c>
      <c r="AK188" s="126" t="str">
        <f t="shared" si="23"/>
        <v/>
      </c>
      <c r="AL188" s="134"/>
      <c r="AM188" s="143" t="s">
        <v>2820</v>
      </c>
      <c r="AN188" s="129">
        <v>10.515000000000001</v>
      </c>
      <c r="AO188" s="129">
        <v>10.525</v>
      </c>
      <c r="AP188" s="129">
        <v>10.549999999999999</v>
      </c>
      <c r="AQ188" s="129">
        <v>10.555</v>
      </c>
      <c r="AR188" s="126">
        <f t="shared" ca="1" si="24"/>
        <v>356</v>
      </c>
      <c r="AU188" s="99" t="s">
        <v>136</v>
      </c>
    </row>
    <row r="189" spans="1:47" s="99" customFormat="1" ht="21" customHeight="1" x14ac:dyDescent="0.35">
      <c r="A189" s="99">
        <v>422</v>
      </c>
      <c r="B189" s="126" t="str">
        <f t="shared" si="21"/>
        <v>0-304L/2B-001X766</v>
      </c>
      <c r="C189" s="126" t="s">
        <v>3380</v>
      </c>
      <c r="D189" s="126" t="s">
        <v>3026</v>
      </c>
      <c r="E189" s="143" t="s">
        <v>2840</v>
      </c>
      <c r="F189" s="143" t="s">
        <v>3392</v>
      </c>
      <c r="G189" s="126" t="s">
        <v>230</v>
      </c>
      <c r="H189" s="126" t="s">
        <v>116</v>
      </c>
      <c r="I189" s="127">
        <v>2.9</v>
      </c>
      <c r="J189" s="127">
        <v>0.9</v>
      </c>
      <c r="K189" s="149">
        <v>0.88</v>
      </c>
      <c r="L189" s="149">
        <v>0.9</v>
      </c>
      <c r="M189" s="144">
        <v>766</v>
      </c>
      <c r="N189" s="129">
        <v>8.35</v>
      </c>
      <c r="O189" s="129">
        <f>4.025+4.29</f>
        <v>8.3150000000000013</v>
      </c>
      <c r="P189" s="129"/>
      <c r="Q189" s="129"/>
      <c r="R189" s="129" t="s">
        <v>116</v>
      </c>
      <c r="S189" s="284" t="s">
        <v>3390</v>
      </c>
      <c r="T189" s="130" t="s">
        <v>1206</v>
      </c>
      <c r="U189" s="130"/>
      <c r="V189" s="131"/>
      <c r="W189" s="132">
        <v>44609</v>
      </c>
      <c r="X189" s="132">
        <v>44609</v>
      </c>
      <c r="Y189" s="132"/>
      <c r="Z189" s="132"/>
      <c r="AA189" s="132"/>
      <c r="AB189" s="133"/>
      <c r="AC189" s="126" t="s">
        <v>64</v>
      </c>
      <c r="AD189" s="134" t="s">
        <v>154</v>
      </c>
      <c r="AE189" s="134" t="s">
        <v>1296</v>
      </c>
      <c r="AF189" s="134"/>
      <c r="AG189" s="134">
        <v>44516</v>
      </c>
      <c r="AH189" s="134"/>
      <c r="AI189" s="134">
        <f t="shared" ca="1" si="20"/>
        <v>44963</v>
      </c>
      <c r="AJ189" s="126">
        <f t="shared" ca="1" si="22"/>
        <v>447</v>
      </c>
      <c r="AK189" s="126" t="str">
        <f t="shared" si="23"/>
        <v/>
      </c>
      <c r="AL189" s="134"/>
      <c r="AM189" s="143" t="s">
        <v>1307</v>
      </c>
      <c r="AN189" s="129">
        <v>8.34</v>
      </c>
      <c r="AO189" s="129">
        <v>8.35</v>
      </c>
      <c r="AP189" s="129">
        <v>8.3749999999999982</v>
      </c>
      <c r="AQ189" s="129">
        <v>8.379999999999999</v>
      </c>
      <c r="AR189" s="126">
        <f t="shared" ca="1" si="24"/>
        <v>354</v>
      </c>
      <c r="AU189" s="99" t="s">
        <v>136</v>
      </c>
    </row>
    <row r="190" spans="1:47" s="99" customFormat="1" ht="21" customHeight="1" x14ac:dyDescent="0.35">
      <c r="A190" s="99">
        <v>421</v>
      </c>
      <c r="B190" s="126" t="str">
        <f t="shared" si="21"/>
        <v>0-304L/2B-001X770</v>
      </c>
      <c r="C190" s="126" t="s">
        <v>3380</v>
      </c>
      <c r="D190" s="126" t="s">
        <v>3026</v>
      </c>
      <c r="E190" s="143" t="s">
        <v>2796</v>
      </c>
      <c r="F190" s="143" t="s">
        <v>3393</v>
      </c>
      <c r="G190" s="126" t="s">
        <v>230</v>
      </c>
      <c r="H190" s="126" t="s">
        <v>116</v>
      </c>
      <c r="I190" s="127">
        <v>2.95</v>
      </c>
      <c r="J190" s="127">
        <v>0.9</v>
      </c>
      <c r="K190" s="149">
        <v>0.9</v>
      </c>
      <c r="L190" s="149">
        <v>0.92</v>
      </c>
      <c r="M190" s="144">
        <v>770</v>
      </c>
      <c r="N190" s="129">
        <v>10.16</v>
      </c>
      <c r="O190" s="129">
        <f>5.23+4.885</f>
        <v>10.115</v>
      </c>
      <c r="P190" s="129"/>
      <c r="Q190" s="129"/>
      <c r="R190" s="129" t="s">
        <v>116</v>
      </c>
      <c r="S190" s="284" t="s">
        <v>3390</v>
      </c>
      <c r="T190" s="130" t="s">
        <v>1206</v>
      </c>
      <c r="U190" s="130"/>
      <c r="V190" s="131"/>
      <c r="W190" s="132">
        <v>44606</v>
      </c>
      <c r="X190" s="132">
        <v>44607</v>
      </c>
      <c r="Y190" s="132"/>
      <c r="Z190" s="132"/>
      <c r="AA190" s="132"/>
      <c r="AB190" s="133"/>
      <c r="AC190" s="126" t="s">
        <v>64</v>
      </c>
      <c r="AD190" s="134" t="s">
        <v>154</v>
      </c>
      <c r="AE190" s="134" t="s">
        <v>1246</v>
      </c>
      <c r="AF190" s="134"/>
      <c r="AG190" s="134">
        <v>44496</v>
      </c>
      <c r="AH190" s="134"/>
      <c r="AI190" s="134">
        <f t="shared" ca="1" si="20"/>
        <v>44963</v>
      </c>
      <c r="AJ190" s="126">
        <f t="shared" ca="1" si="22"/>
        <v>467</v>
      </c>
      <c r="AK190" s="126" t="str">
        <f t="shared" si="23"/>
        <v/>
      </c>
      <c r="AL190" s="134"/>
      <c r="AM190" s="143" t="s">
        <v>2798</v>
      </c>
      <c r="AN190" s="129">
        <v>10.145</v>
      </c>
      <c r="AO190" s="129">
        <v>10.154999999999999</v>
      </c>
      <c r="AP190" s="129">
        <v>10.179999999999998</v>
      </c>
      <c r="AQ190" s="129">
        <v>10.184999999999999</v>
      </c>
      <c r="AR190" s="126">
        <f t="shared" ca="1" si="24"/>
        <v>356</v>
      </c>
      <c r="AU190" s="99" t="s">
        <v>136</v>
      </c>
    </row>
    <row r="191" spans="1:47" s="99" customFormat="1" ht="21" customHeight="1" x14ac:dyDescent="0.35">
      <c r="A191" s="99">
        <v>421</v>
      </c>
      <c r="B191" s="126" t="str">
        <f t="shared" si="21"/>
        <v>0-304L/2B-001X770</v>
      </c>
      <c r="C191" s="126" t="s">
        <v>3380</v>
      </c>
      <c r="D191" s="126" t="s">
        <v>3026</v>
      </c>
      <c r="E191" s="143" t="s">
        <v>2783</v>
      </c>
      <c r="F191" s="143" t="s">
        <v>3394</v>
      </c>
      <c r="G191" s="126" t="s">
        <v>230</v>
      </c>
      <c r="H191" s="126" t="s">
        <v>116</v>
      </c>
      <c r="I191" s="127">
        <v>2.99</v>
      </c>
      <c r="J191" s="127">
        <v>1.1499999999999999</v>
      </c>
      <c r="K191" s="149">
        <v>1.1499999999999999</v>
      </c>
      <c r="L191" s="149">
        <v>1.1599999999999999</v>
      </c>
      <c r="M191" s="144">
        <v>770</v>
      </c>
      <c r="N191" s="129">
        <v>4.51</v>
      </c>
      <c r="O191" s="129">
        <v>4.51</v>
      </c>
      <c r="P191" s="129"/>
      <c r="Q191" s="129"/>
      <c r="R191" s="129" t="s">
        <v>116</v>
      </c>
      <c r="S191" s="284" t="s">
        <v>3390</v>
      </c>
      <c r="T191" s="130" t="s">
        <v>1206</v>
      </c>
      <c r="U191" s="130"/>
      <c r="V191" s="131"/>
      <c r="W191" s="132">
        <v>44606</v>
      </c>
      <c r="X191" s="132">
        <v>44606</v>
      </c>
      <c r="Y191" s="132"/>
      <c r="Z191" s="132"/>
      <c r="AA191" s="132"/>
      <c r="AB191" s="133"/>
      <c r="AC191" s="126" t="s">
        <v>64</v>
      </c>
      <c r="AD191" s="134" t="s">
        <v>154</v>
      </c>
      <c r="AE191" s="134" t="s">
        <v>1246</v>
      </c>
      <c r="AF191" s="134"/>
      <c r="AG191" s="134">
        <v>44496</v>
      </c>
      <c r="AH191" s="134"/>
      <c r="AI191" s="134">
        <f t="shared" ca="1" si="20"/>
        <v>44963</v>
      </c>
      <c r="AJ191" s="126">
        <f t="shared" ca="1" si="22"/>
        <v>467</v>
      </c>
      <c r="AK191" s="126" t="str">
        <f t="shared" si="23"/>
        <v/>
      </c>
      <c r="AL191" s="134"/>
      <c r="AM191" s="143" t="s">
        <v>2785</v>
      </c>
      <c r="AN191" s="129">
        <v>10.48</v>
      </c>
      <c r="AO191" s="129">
        <v>10.49</v>
      </c>
      <c r="AP191" s="129">
        <v>10.514999999999999</v>
      </c>
      <c r="AQ191" s="129">
        <v>10.52</v>
      </c>
      <c r="AR191" s="126">
        <f t="shared" ca="1" si="24"/>
        <v>357</v>
      </c>
      <c r="AU191" s="99" t="s">
        <v>136</v>
      </c>
    </row>
    <row r="192" spans="1:47" s="99" customFormat="1" ht="21" customHeight="1" x14ac:dyDescent="0.35">
      <c r="A192" s="99">
        <v>421</v>
      </c>
      <c r="B192" s="126" t="str">
        <f t="shared" si="21"/>
        <v>0-304L/2B-001X770</v>
      </c>
      <c r="C192" s="126" t="s">
        <v>3395</v>
      </c>
      <c r="D192" s="126" t="s">
        <v>3026</v>
      </c>
      <c r="E192" s="143" t="s">
        <v>2783</v>
      </c>
      <c r="F192" s="143" t="s">
        <v>3396</v>
      </c>
      <c r="G192" s="126" t="s">
        <v>230</v>
      </c>
      <c r="H192" s="126" t="s">
        <v>116</v>
      </c>
      <c r="I192" s="127">
        <v>2.99</v>
      </c>
      <c r="J192" s="127">
        <v>1.1499999999999999</v>
      </c>
      <c r="K192" s="149">
        <v>1.1499999999999999</v>
      </c>
      <c r="L192" s="149">
        <v>1.1599999999999999</v>
      </c>
      <c r="M192" s="144">
        <v>770</v>
      </c>
      <c r="N192" s="129">
        <f>10.495-4.51</f>
        <v>5.9849999999999994</v>
      </c>
      <c r="O192" s="129">
        <v>5.94</v>
      </c>
      <c r="P192" s="129"/>
      <c r="Q192" s="129"/>
      <c r="R192" s="129" t="s">
        <v>116</v>
      </c>
      <c r="S192" s="284" t="s">
        <v>3390</v>
      </c>
      <c r="T192" s="130" t="s">
        <v>1206</v>
      </c>
      <c r="U192" s="130"/>
      <c r="V192" s="131"/>
      <c r="W192" s="132">
        <v>44606</v>
      </c>
      <c r="X192" s="132">
        <v>44606</v>
      </c>
      <c r="Y192" s="132"/>
      <c r="Z192" s="132"/>
      <c r="AA192" s="132"/>
      <c r="AB192" s="133"/>
      <c r="AC192" s="126" t="s">
        <v>64</v>
      </c>
      <c r="AD192" s="134" t="s">
        <v>154</v>
      </c>
      <c r="AE192" s="134" t="s">
        <v>1246</v>
      </c>
      <c r="AF192" s="134"/>
      <c r="AG192" s="134">
        <v>44496</v>
      </c>
      <c r="AH192" s="134"/>
      <c r="AI192" s="134">
        <f t="shared" ref="AI192:AI242" ca="1" si="25">TODAY()</f>
        <v>44963</v>
      </c>
      <c r="AJ192" s="126">
        <f t="shared" ca="1" si="22"/>
        <v>467</v>
      </c>
      <c r="AK192" s="126" t="str">
        <f t="shared" si="23"/>
        <v/>
      </c>
      <c r="AL192" s="134"/>
      <c r="AM192" s="143" t="s">
        <v>2785</v>
      </c>
      <c r="AN192" s="129">
        <v>10.48</v>
      </c>
      <c r="AO192" s="129">
        <v>10.49</v>
      </c>
      <c r="AP192" s="129">
        <v>10.514999999999999</v>
      </c>
      <c r="AQ192" s="129">
        <v>10.52</v>
      </c>
      <c r="AR192" s="126">
        <f t="shared" ca="1" si="24"/>
        <v>357</v>
      </c>
      <c r="AU192" s="99" t="s">
        <v>136</v>
      </c>
    </row>
    <row r="193" spans="1:59" s="99" customFormat="1" ht="21" customHeight="1" x14ac:dyDescent="0.35">
      <c r="A193" s="99">
        <v>424</v>
      </c>
      <c r="B193" s="126" t="str">
        <f t="shared" si="21"/>
        <v>0-304/2B-002X771</v>
      </c>
      <c r="C193" s="126" t="s">
        <v>3395</v>
      </c>
      <c r="D193" s="126" t="s">
        <v>3026</v>
      </c>
      <c r="E193" s="143" t="s">
        <v>2821</v>
      </c>
      <c r="F193" s="143" t="s">
        <v>3397</v>
      </c>
      <c r="G193" s="126">
        <v>304</v>
      </c>
      <c r="H193" s="126" t="s">
        <v>116</v>
      </c>
      <c r="I193" s="127">
        <v>3.9</v>
      </c>
      <c r="J193" s="127">
        <v>2</v>
      </c>
      <c r="K193" s="149">
        <v>2</v>
      </c>
      <c r="L193" s="149">
        <v>2.04</v>
      </c>
      <c r="M193" s="144">
        <v>771</v>
      </c>
      <c r="N193" s="129">
        <v>10.234999999999999</v>
      </c>
      <c r="O193" s="129">
        <f>5.085+5.025</f>
        <v>10.11</v>
      </c>
      <c r="P193" s="129">
        <v>7.4999999999999997E-2</v>
      </c>
      <c r="Q193" s="129"/>
      <c r="R193" s="129" t="s">
        <v>116</v>
      </c>
      <c r="S193" s="284" t="s">
        <v>3390</v>
      </c>
      <c r="T193" s="130" t="s">
        <v>1206</v>
      </c>
      <c r="U193" s="130"/>
      <c r="V193" s="131"/>
      <c r="W193" s="132">
        <v>44607</v>
      </c>
      <c r="X193" s="132">
        <v>44607</v>
      </c>
      <c r="Y193" s="132"/>
      <c r="Z193" s="132"/>
      <c r="AA193" s="132"/>
      <c r="AB193" s="133" t="s">
        <v>1395</v>
      </c>
      <c r="AC193" s="126" t="s">
        <v>64</v>
      </c>
      <c r="AD193" s="134" t="s">
        <v>154</v>
      </c>
      <c r="AE193" s="134" t="s">
        <v>1516</v>
      </c>
      <c r="AF193" s="134"/>
      <c r="AG193" s="134">
        <v>44554</v>
      </c>
      <c r="AH193" s="134"/>
      <c r="AI193" s="134">
        <f t="shared" ca="1" si="25"/>
        <v>44963</v>
      </c>
      <c r="AJ193" s="126">
        <f t="shared" ca="1" si="22"/>
        <v>409</v>
      </c>
      <c r="AK193" s="126" t="str">
        <f t="shared" si="23"/>
        <v/>
      </c>
      <c r="AL193" s="134"/>
      <c r="AM193" s="143" t="s">
        <v>1736</v>
      </c>
      <c r="AN193" s="129">
        <v>10.225</v>
      </c>
      <c r="AO193" s="129">
        <v>10.234999999999999</v>
      </c>
      <c r="AP193" s="129">
        <v>10.259999999999998</v>
      </c>
      <c r="AQ193" s="129">
        <v>10.264999999999999</v>
      </c>
      <c r="AR193" s="126">
        <f t="shared" ca="1" si="24"/>
        <v>356</v>
      </c>
      <c r="AU193" s="99" t="s">
        <v>136</v>
      </c>
    </row>
    <row r="194" spans="1:59" s="99" customFormat="1" ht="21" customHeight="1" x14ac:dyDescent="0.35">
      <c r="A194" s="99">
        <v>421</v>
      </c>
      <c r="B194" s="126" t="str">
        <f t="shared" si="21"/>
        <v>0-304L/2B-001X770</v>
      </c>
      <c r="C194" s="126" t="s">
        <v>3395</v>
      </c>
      <c r="D194" s="126" t="s">
        <v>3026</v>
      </c>
      <c r="E194" s="143" t="s">
        <v>2780</v>
      </c>
      <c r="F194" s="143" t="s">
        <v>3398</v>
      </c>
      <c r="G194" s="126" t="s">
        <v>230</v>
      </c>
      <c r="H194" s="126" t="s">
        <v>116</v>
      </c>
      <c r="I194" s="127">
        <v>2.96</v>
      </c>
      <c r="J194" s="127">
        <v>1.1499999999999999</v>
      </c>
      <c r="K194" s="149">
        <v>1.1499999999999999</v>
      </c>
      <c r="L194" s="149">
        <v>1.17</v>
      </c>
      <c r="M194" s="144">
        <v>770</v>
      </c>
      <c r="N194" s="129">
        <v>10.47</v>
      </c>
      <c r="O194" s="129">
        <f>5.205+5.225</f>
        <v>10.43</v>
      </c>
      <c r="P194" s="129"/>
      <c r="Q194" s="129"/>
      <c r="R194" s="129" t="s">
        <v>116</v>
      </c>
      <c r="S194" s="284" t="s">
        <v>3390</v>
      </c>
      <c r="T194" s="130" t="s">
        <v>1206</v>
      </c>
      <c r="U194" s="130"/>
      <c r="V194" s="131"/>
      <c r="W194" s="132">
        <v>44606</v>
      </c>
      <c r="X194" s="132">
        <v>44606</v>
      </c>
      <c r="Y194" s="132"/>
      <c r="Z194" s="132"/>
      <c r="AA194" s="132"/>
      <c r="AB194" s="133"/>
      <c r="AC194" s="126" t="s">
        <v>64</v>
      </c>
      <c r="AD194" s="134" t="s">
        <v>154</v>
      </c>
      <c r="AE194" s="134" t="s">
        <v>1239</v>
      </c>
      <c r="AF194" s="134"/>
      <c r="AG194" s="134">
        <v>44496</v>
      </c>
      <c r="AH194" s="134"/>
      <c r="AI194" s="134">
        <f t="shared" ca="1" si="25"/>
        <v>44963</v>
      </c>
      <c r="AJ194" s="126">
        <f t="shared" ca="1" si="22"/>
        <v>467</v>
      </c>
      <c r="AK194" s="126" t="str">
        <f t="shared" si="23"/>
        <v/>
      </c>
      <c r="AL194" s="134"/>
      <c r="AM194" s="143" t="s">
        <v>2782</v>
      </c>
      <c r="AN194" s="129">
        <v>10.455</v>
      </c>
      <c r="AO194" s="129">
        <v>10.465</v>
      </c>
      <c r="AP194" s="129">
        <v>10.489999999999998</v>
      </c>
      <c r="AQ194" s="129">
        <v>10.494999999999999</v>
      </c>
      <c r="AR194" s="126">
        <f t="shared" ca="1" si="24"/>
        <v>357</v>
      </c>
      <c r="AU194" s="99" t="s">
        <v>136</v>
      </c>
    </row>
    <row r="195" spans="1:59" s="583" customFormat="1" ht="21" customHeight="1" x14ac:dyDescent="0.35">
      <c r="A195" s="583">
        <v>422</v>
      </c>
      <c r="B195" s="584" t="str">
        <f t="shared" si="21"/>
        <v>0-304L/2B-001X770</v>
      </c>
      <c r="C195" s="584" t="s">
        <v>3399</v>
      </c>
      <c r="D195" s="584" t="s">
        <v>403</v>
      </c>
      <c r="E195" s="718" t="s">
        <v>2823</v>
      </c>
      <c r="F195" s="718" t="s">
        <v>2824</v>
      </c>
      <c r="G195" s="584" t="s">
        <v>230</v>
      </c>
      <c r="H195" s="584" t="s">
        <v>116</v>
      </c>
      <c r="I195" s="587">
        <v>2.88</v>
      </c>
      <c r="J195" s="587">
        <v>0.8</v>
      </c>
      <c r="K195" s="719">
        <v>0.8</v>
      </c>
      <c r="L195" s="719">
        <v>0.81</v>
      </c>
      <c r="M195" s="720">
        <v>770</v>
      </c>
      <c r="N195" s="589">
        <v>8.2750000000000004</v>
      </c>
      <c r="O195" s="589">
        <v>8.26</v>
      </c>
      <c r="P195" s="589"/>
      <c r="Q195" s="589"/>
      <c r="R195" s="589" t="s">
        <v>116</v>
      </c>
      <c r="S195" s="593"/>
      <c r="T195" s="721" t="s">
        <v>1206</v>
      </c>
      <c r="U195" s="721"/>
      <c r="V195" s="722"/>
      <c r="W195" s="596">
        <v>44607</v>
      </c>
      <c r="X195" s="596">
        <v>44607</v>
      </c>
      <c r="Y195" s="596">
        <v>44612</v>
      </c>
      <c r="Z195" s="596"/>
      <c r="AA195" s="596"/>
      <c r="AB195" s="597"/>
      <c r="AC195" s="584" t="s">
        <v>64</v>
      </c>
      <c r="AD195" s="598" t="s">
        <v>154</v>
      </c>
      <c r="AE195" s="598" t="s">
        <v>1330</v>
      </c>
      <c r="AF195" s="598"/>
      <c r="AG195" s="598">
        <v>44516</v>
      </c>
      <c r="AH195" s="598"/>
      <c r="AI195" s="598">
        <f t="shared" ca="1" si="25"/>
        <v>44963</v>
      </c>
      <c r="AJ195" s="584">
        <f t="shared" ca="1" si="22"/>
        <v>447</v>
      </c>
      <c r="AK195" s="584">
        <f t="shared" ca="1" si="23"/>
        <v>351</v>
      </c>
      <c r="AL195" s="598"/>
      <c r="AM195" s="718" t="s">
        <v>2688</v>
      </c>
      <c r="AN195" s="589">
        <v>8.2850000000000001</v>
      </c>
      <c r="AO195" s="589">
        <v>8.2949999999999999</v>
      </c>
      <c r="AP195" s="589">
        <v>8.3199999999999985</v>
      </c>
      <c r="AQ195" s="589">
        <v>8.3249999999999993</v>
      </c>
      <c r="AR195" s="584">
        <f t="shared" ca="1" si="24"/>
        <v>356</v>
      </c>
      <c r="AU195" s="583" t="s">
        <v>136</v>
      </c>
    </row>
    <row r="196" spans="1:59" s="99" customFormat="1" ht="21" customHeight="1" x14ac:dyDescent="0.35">
      <c r="A196" s="99">
        <v>421</v>
      </c>
      <c r="B196" s="126" t="str">
        <f t="shared" si="21"/>
        <v>0-304L/2B-001X770</v>
      </c>
      <c r="C196" s="126" t="s">
        <v>3400</v>
      </c>
      <c r="D196" s="126" t="s">
        <v>358</v>
      </c>
      <c r="E196" s="143" t="s">
        <v>1204</v>
      </c>
      <c r="F196" s="143" t="s">
        <v>2832</v>
      </c>
      <c r="G196" s="126" t="s">
        <v>230</v>
      </c>
      <c r="H196" s="126" t="s">
        <v>116</v>
      </c>
      <c r="I196" s="127">
        <v>1.2</v>
      </c>
      <c r="J196" s="127">
        <v>0.6</v>
      </c>
      <c r="K196" s="149">
        <v>0.59</v>
      </c>
      <c r="L196" s="149">
        <v>0.61</v>
      </c>
      <c r="M196" s="144">
        <v>770</v>
      </c>
      <c r="N196" s="129">
        <v>9.91</v>
      </c>
      <c r="O196" s="129">
        <v>9.9</v>
      </c>
      <c r="P196" s="129"/>
      <c r="Q196" s="129"/>
      <c r="R196" s="129" t="s">
        <v>116</v>
      </c>
      <c r="S196" s="284"/>
      <c r="T196" s="130" t="s">
        <v>1206</v>
      </c>
      <c r="U196" s="130" t="s">
        <v>1207</v>
      </c>
      <c r="V196" s="131" t="s">
        <v>1208</v>
      </c>
      <c r="W196" s="132" t="s">
        <v>1209</v>
      </c>
      <c r="X196" s="132" t="s">
        <v>1210</v>
      </c>
      <c r="Y196" s="132" t="s">
        <v>1211</v>
      </c>
      <c r="Z196" s="132"/>
      <c r="AA196" s="132"/>
      <c r="AB196" s="133"/>
      <c r="AC196" s="126" t="s">
        <v>64</v>
      </c>
      <c r="AD196" s="134" t="s">
        <v>154</v>
      </c>
      <c r="AE196" s="134" t="s">
        <v>1190</v>
      </c>
      <c r="AF196" s="134"/>
      <c r="AG196" s="134">
        <v>44496</v>
      </c>
      <c r="AH196" s="134"/>
      <c r="AI196" s="134">
        <f t="shared" ca="1" si="25"/>
        <v>44963</v>
      </c>
      <c r="AJ196" s="126">
        <f t="shared" ca="1" si="22"/>
        <v>467</v>
      </c>
      <c r="AK196" s="126" t="e">
        <f t="shared" ca="1" si="23"/>
        <v>#VALUE!</v>
      </c>
      <c r="AL196" s="134"/>
      <c r="AM196" s="143" t="s">
        <v>1212</v>
      </c>
      <c r="AN196" s="129">
        <v>9.9700000000000006</v>
      </c>
      <c r="AO196" s="129">
        <v>9.98</v>
      </c>
      <c r="AP196" s="129">
        <v>10.004999999999999</v>
      </c>
      <c r="AQ196" s="129">
        <v>10.01</v>
      </c>
      <c r="AR196" s="126" t="e">
        <f t="shared" ca="1" si="24"/>
        <v>#VALUE!</v>
      </c>
      <c r="AU196" s="99" t="s">
        <v>136</v>
      </c>
      <c r="BG196" s="99" t="s">
        <v>1213</v>
      </c>
    </row>
    <row r="197" spans="1:59" s="99" customFormat="1" ht="21" customHeight="1" x14ac:dyDescent="0.35">
      <c r="A197" s="99">
        <v>421</v>
      </c>
      <c r="B197" s="126" t="str">
        <f t="shared" si="21"/>
        <v>0-304L/2B-001X770</v>
      </c>
      <c r="C197" s="126" t="s">
        <v>3395</v>
      </c>
      <c r="D197" s="126" t="s">
        <v>3026</v>
      </c>
      <c r="E197" s="143" t="s">
        <v>2842</v>
      </c>
      <c r="F197" s="143" t="s">
        <v>3401</v>
      </c>
      <c r="G197" s="126" t="s">
        <v>230</v>
      </c>
      <c r="H197" s="126" t="s">
        <v>116</v>
      </c>
      <c r="I197" s="127">
        <v>3</v>
      </c>
      <c r="J197" s="127">
        <v>1</v>
      </c>
      <c r="K197" s="149">
        <v>0.98</v>
      </c>
      <c r="L197" s="149">
        <v>0.99</v>
      </c>
      <c r="M197" s="144">
        <v>770</v>
      </c>
      <c r="N197" s="129">
        <v>9.2449999999999992</v>
      </c>
      <c r="O197" s="129">
        <f>4.02+5.15</f>
        <v>9.17</v>
      </c>
      <c r="P197" s="129"/>
      <c r="Q197" s="129">
        <v>2.4E-2</v>
      </c>
      <c r="R197" s="129" t="s">
        <v>116</v>
      </c>
      <c r="S197" s="284" t="s">
        <v>3402</v>
      </c>
      <c r="T197" s="130" t="s">
        <v>2987</v>
      </c>
      <c r="U197" s="130"/>
      <c r="V197" s="131"/>
      <c r="W197" s="132">
        <v>44609</v>
      </c>
      <c r="X197" s="132">
        <v>44610</v>
      </c>
      <c r="Y197" s="132"/>
      <c r="Z197" s="132"/>
      <c r="AA197" s="132"/>
      <c r="AB197" s="133"/>
      <c r="AC197" s="126" t="s">
        <v>64</v>
      </c>
      <c r="AD197" s="134" t="s">
        <v>154</v>
      </c>
      <c r="AE197" s="134" t="s">
        <v>1190</v>
      </c>
      <c r="AF197" s="134"/>
      <c r="AG197" s="134">
        <v>44496</v>
      </c>
      <c r="AH197" s="134"/>
      <c r="AI197" s="134">
        <f t="shared" ca="1" si="25"/>
        <v>44963</v>
      </c>
      <c r="AJ197" s="126">
        <f t="shared" ca="1" si="22"/>
        <v>467</v>
      </c>
      <c r="AK197" s="126" t="str">
        <f t="shared" si="23"/>
        <v/>
      </c>
      <c r="AL197" s="134"/>
      <c r="AM197" s="143" t="s">
        <v>2844</v>
      </c>
      <c r="AN197" s="129">
        <v>9.2149999999999999</v>
      </c>
      <c r="AO197" s="129">
        <v>9.2249999999999996</v>
      </c>
      <c r="AP197" s="129">
        <v>9.2499999999999982</v>
      </c>
      <c r="AQ197" s="129">
        <v>9.254999999999999</v>
      </c>
      <c r="AR197" s="126">
        <f t="shared" ca="1" si="24"/>
        <v>353</v>
      </c>
      <c r="AU197" s="99" t="s">
        <v>136</v>
      </c>
    </row>
    <row r="198" spans="1:59" s="99" customFormat="1" ht="21" customHeight="1" x14ac:dyDescent="0.35">
      <c r="A198" s="99">
        <v>402</v>
      </c>
      <c r="B198" s="126" t="str">
        <f t="shared" si="21"/>
        <v>0-304/304L/2B-001X770</v>
      </c>
      <c r="C198" s="126" t="s">
        <v>3395</v>
      </c>
      <c r="D198" s="126" t="s">
        <v>3026</v>
      </c>
      <c r="E198" s="143" t="s">
        <v>2811</v>
      </c>
      <c r="F198" s="143" t="s">
        <v>2812</v>
      </c>
      <c r="G198" s="126" t="s">
        <v>377</v>
      </c>
      <c r="H198" s="126" t="s">
        <v>116</v>
      </c>
      <c r="I198" s="127">
        <v>1.5</v>
      </c>
      <c r="J198" s="127">
        <v>0.8</v>
      </c>
      <c r="K198" s="149">
        <v>0.79</v>
      </c>
      <c r="L198" s="149">
        <v>0.81</v>
      </c>
      <c r="M198" s="144">
        <v>770</v>
      </c>
      <c r="N198" s="129">
        <v>3.9550000000000001</v>
      </c>
      <c r="O198" s="129">
        <v>3.91</v>
      </c>
      <c r="P198" s="129">
        <v>0.02</v>
      </c>
      <c r="Q198" s="129"/>
      <c r="R198" s="129" t="s">
        <v>116</v>
      </c>
      <c r="S198" s="284" t="s">
        <v>3402</v>
      </c>
      <c r="T198" s="130" t="s">
        <v>2987</v>
      </c>
      <c r="U198" s="130" t="s">
        <v>2813</v>
      </c>
      <c r="V198" s="131" t="s">
        <v>2814</v>
      </c>
      <c r="W198" s="132" t="s">
        <v>2815</v>
      </c>
      <c r="X198" s="132" t="s">
        <v>2999</v>
      </c>
      <c r="Y198" s="132">
        <v>44402</v>
      </c>
      <c r="Z198" s="132">
        <v>44403</v>
      </c>
      <c r="AA198" s="132"/>
      <c r="AB198" s="133"/>
      <c r="AC198" s="126" t="s">
        <v>64</v>
      </c>
      <c r="AD198" s="134" t="s">
        <v>154</v>
      </c>
      <c r="AE198" s="134" t="s">
        <v>2816</v>
      </c>
      <c r="AF198" s="134"/>
      <c r="AG198" s="134">
        <v>44388</v>
      </c>
      <c r="AH198" s="134"/>
      <c r="AI198" s="134">
        <f t="shared" ca="1" si="25"/>
        <v>44963</v>
      </c>
      <c r="AJ198" s="126">
        <f t="shared" ca="1" si="22"/>
        <v>575</v>
      </c>
      <c r="AK198" s="126">
        <f t="shared" ca="1" si="23"/>
        <v>561</v>
      </c>
      <c r="AL198" s="134"/>
      <c r="AM198" s="143" t="s">
        <v>2817</v>
      </c>
      <c r="AN198" s="129">
        <v>12.175000000000001</v>
      </c>
      <c r="AO198" s="129">
        <v>12.185</v>
      </c>
      <c r="AP198" s="129">
        <v>12.209999999999999</v>
      </c>
      <c r="AQ198" s="129">
        <v>12.215</v>
      </c>
      <c r="AR198" s="126" t="e">
        <f t="shared" ca="1" si="24"/>
        <v>#VALUE!</v>
      </c>
      <c r="AU198" s="99" t="s">
        <v>136</v>
      </c>
      <c r="BG198" s="99" t="s">
        <v>137</v>
      </c>
    </row>
    <row r="199" spans="1:59" s="99" customFormat="1" ht="21" customHeight="1" x14ac:dyDescent="0.35">
      <c r="A199" s="99">
        <v>421</v>
      </c>
      <c r="B199" s="126" t="str">
        <f t="shared" si="21"/>
        <v>0-304L/2B-001X770</v>
      </c>
      <c r="C199" s="126" t="s">
        <v>3395</v>
      </c>
      <c r="D199" s="126" t="s">
        <v>3026</v>
      </c>
      <c r="E199" s="143" t="s">
        <v>2762</v>
      </c>
      <c r="F199" s="143" t="s">
        <v>3403</v>
      </c>
      <c r="G199" s="126" t="s">
        <v>230</v>
      </c>
      <c r="H199" s="126" t="s">
        <v>116</v>
      </c>
      <c r="I199" s="127">
        <v>2.95</v>
      </c>
      <c r="J199" s="127">
        <v>0.9</v>
      </c>
      <c r="K199" s="149">
        <v>0.89</v>
      </c>
      <c r="L199" s="149">
        <v>0.9</v>
      </c>
      <c r="M199" s="144">
        <v>770</v>
      </c>
      <c r="N199" s="129">
        <v>12.185</v>
      </c>
      <c r="O199" s="129">
        <f>4.04+4.08+4.02</f>
        <v>12.14</v>
      </c>
      <c r="P199" s="129"/>
      <c r="Q199" s="129"/>
      <c r="R199" s="129" t="s">
        <v>116</v>
      </c>
      <c r="S199" s="284" t="s">
        <v>3404</v>
      </c>
      <c r="T199" s="130" t="s">
        <v>3405</v>
      </c>
      <c r="U199" s="130"/>
      <c r="V199" s="131"/>
      <c r="W199" s="132">
        <v>44605</v>
      </c>
      <c r="X199" s="132">
        <v>44606</v>
      </c>
      <c r="Y199" s="132"/>
      <c r="Z199" s="132"/>
      <c r="AA199" s="132"/>
      <c r="AB199" s="133"/>
      <c r="AC199" s="126" t="s">
        <v>64</v>
      </c>
      <c r="AD199" s="134" t="s">
        <v>154</v>
      </c>
      <c r="AE199" s="134" t="s">
        <v>1246</v>
      </c>
      <c r="AF199" s="134"/>
      <c r="AG199" s="134">
        <v>44496</v>
      </c>
      <c r="AH199" s="134"/>
      <c r="AI199" s="134">
        <f t="shared" ca="1" si="25"/>
        <v>44963</v>
      </c>
      <c r="AJ199" s="126">
        <f t="shared" ca="1" si="22"/>
        <v>467</v>
      </c>
      <c r="AK199" s="126" t="str">
        <f t="shared" si="23"/>
        <v/>
      </c>
      <c r="AL199" s="134"/>
      <c r="AM199" s="143" t="s">
        <v>2764</v>
      </c>
      <c r="AN199" s="129">
        <v>12.185</v>
      </c>
      <c r="AO199" s="129">
        <v>12.195</v>
      </c>
      <c r="AP199" s="129">
        <v>12.219999999999999</v>
      </c>
      <c r="AQ199" s="129">
        <v>12.225</v>
      </c>
      <c r="AR199" s="126">
        <f t="shared" ca="1" si="24"/>
        <v>357</v>
      </c>
      <c r="AU199" s="99" t="s">
        <v>136</v>
      </c>
    </row>
    <row r="200" spans="1:59" s="99" customFormat="1" ht="21" customHeight="1" x14ac:dyDescent="0.35">
      <c r="A200" s="99">
        <v>421</v>
      </c>
      <c r="B200" s="126" t="str">
        <f t="shared" si="21"/>
        <v>0-304L/2B-001X770</v>
      </c>
      <c r="C200" s="126" t="s">
        <v>3395</v>
      </c>
      <c r="D200" s="126" t="s">
        <v>3026</v>
      </c>
      <c r="E200" s="143" t="s">
        <v>2804</v>
      </c>
      <c r="F200" s="143" t="s">
        <v>3406</v>
      </c>
      <c r="G200" s="126" t="s">
        <v>230</v>
      </c>
      <c r="H200" s="126" t="s">
        <v>116</v>
      </c>
      <c r="I200" s="127">
        <v>2.74</v>
      </c>
      <c r="J200" s="127">
        <v>0.8</v>
      </c>
      <c r="K200" s="149">
        <v>0.78</v>
      </c>
      <c r="L200" s="149">
        <v>0.79</v>
      </c>
      <c r="M200" s="144">
        <v>770</v>
      </c>
      <c r="N200" s="129">
        <v>10.585000000000001</v>
      </c>
      <c r="O200" s="129">
        <f>6.055+4.48</f>
        <v>10.535</v>
      </c>
      <c r="P200" s="129"/>
      <c r="Q200" s="129"/>
      <c r="R200" s="129" t="s">
        <v>116</v>
      </c>
      <c r="S200" s="284" t="s">
        <v>3407</v>
      </c>
      <c r="T200" s="130" t="s">
        <v>3408</v>
      </c>
      <c r="U200" s="130"/>
      <c r="V200" s="131"/>
      <c r="W200" s="132">
        <v>44607</v>
      </c>
      <c r="X200" s="132">
        <v>44607</v>
      </c>
      <c r="Y200" s="132"/>
      <c r="Z200" s="132"/>
      <c r="AA200" s="132"/>
      <c r="AB200" s="133"/>
      <c r="AC200" s="126" t="s">
        <v>64</v>
      </c>
      <c r="AD200" s="134" t="s">
        <v>154</v>
      </c>
      <c r="AE200" s="134" t="s">
        <v>1190</v>
      </c>
      <c r="AF200" s="134"/>
      <c r="AG200" s="134">
        <v>44496</v>
      </c>
      <c r="AH200" s="134"/>
      <c r="AI200" s="134">
        <f t="shared" ca="1" si="25"/>
        <v>44963</v>
      </c>
      <c r="AJ200" s="126">
        <f t="shared" ca="1" si="22"/>
        <v>467</v>
      </c>
      <c r="AK200" s="126" t="str">
        <f t="shared" si="23"/>
        <v/>
      </c>
      <c r="AL200" s="134"/>
      <c r="AM200" s="143" t="s">
        <v>2579</v>
      </c>
      <c r="AN200" s="129">
        <v>10.555</v>
      </c>
      <c r="AO200" s="129">
        <v>10.565</v>
      </c>
      <c r="AP200" s="129">
        <v>10.589999999999998</v>
      </c>
      <c r="AQ200" s="129">
        <v>10.594999999999999</v>
      </c>
      <c r="AR200" s="126">
        <f t="shared" ca="1" si="24"/>
        <v>356</v>
      </c>
      <c r="AU200" s="99" t="s">
        <v>136</v>
      </c>
    </row>
    <row r="201" spans="1:59" s="99" customFormat="1" ht="21" customHeight="1" x14ac:dyDescent="0.35">
      <c r="A201" s="99">
        <v>421</v>
      </c>
      <c r="B201" s="126" t="str">
        <f t="shared" si="21"/>
        <v>0-304L/2B-001X770</v>
      </c>
      <c r="C201" s="126" t="s">
        <v>3395</v>
      </c>
      <c r="D201" s="126" t="s">
        <v>3026</v>
      </c>
      <c r="E201" s="143" t="s">
        <v>2772</v>
      </c>
      <c r="F201" s="143" t="s">
        <v>3409</v>
      </c>
      <c r="G201" s="126" t="s">
        <v>230</v>
      </c>
      <c r="H201" s="126" t="s">
        <v>116</v>
      </c>
      <c r="I201" s="127">
        <v>3</v>
      </c>
      <c r="J201" s="127">
        <v>1</v>
      </c>
      <c r="K201" s="149">
        <v>0.99</v>
      </c>
      <c r="L201" s="149">
        <v>1.03</v>
      </c>
      <c r="M201" s="144">
        <v>770</v>
      </c>
      <c r="N201" s="129">
        <v>10.49</v>
      </c>
      <c r="O201" s="129">
        <f>4.53+5.915</f>
        <v>10.445</v>
      </c>
      <c r="P201" s="129"/>
      <c r="Q201" s="129"/>
      <c r="R201" s="129" t="s">
        <v>116</v>
      </c>
      <c r="S201" s="284" t="s">
        <v>3410</v>
      </c>
      <c r="T201" s="130" t="s">
        <v>2987</v>
      </c>
      <c r="U201" s="130"/>
      <c r="V201" s="131"/>
      <c r="W201" s="132">
        <v>44606</v>
      </c>
      <c r="X201" s="132">
        <v>44606</v>
      </c>
      <c r="Y201" s="132"/>
      <c r="Z201" s="132"/>
      <c r="AA201" s="132"/>
      <c r="AB201" s="133"/>
      <c r="AC201" s="126" t="s">
        <v>64</v>
      </c>
      <c r="AD201" s="134" t="s">
        <v>154</v>
      </c>
      <c r="AE201" s="134" t="s">
        <v>1190</v>
      </c>
      <c r="AF201" s="134"/>
      <c r="AG201" s="134">
        <v>44496</v>
      </c>
      <c r="AH201" s="134"/>
      <c r="AI201" s="134">
        <f t="shared" ca="1" si="25"/>
        <v>44963</v>
      </c>
      <c r="AJ201" s="126">
        <f t="shared" ca="1" si="22"/>
        <v>467</v>
      </c>
      <c r="AK201" s="126" t="str">
        <f t="shared" si="23"/>
        <v/>
      </c>
      <c r="AL201" s="134"/>
      <c r="AM201" s="143" t="s">
        <v>2774</v>
      </c>
      <c r="AN201" s="129">
        <v>10.47</v>
      </c>
      <c r="AO201" s="129">
        <v>10.48</v>
      </c>
      <c r="AP201" s="129">
        <v>10.504999999999999</v>
      </c>
      <c r="AQ201" s="129">
        <v>10.51</v>
      </c>
      <c r="AR201" s="126">
        <f t="shared" ca="1" si="24"/>
        <v>357</v>
      </c>
      <c r="AU201" s="99" t="s">
        <v>136</v>
      </c>
    </row>
    <row r="202" spans="1:59" s="99" customFormat="1" ht="21" customHeight="1" x14ac:dyDescent="0.35">
      <c r="A202" s="99">
        <v>424</v>
      </c>
      <c r="B202" s="126" t="str">
        <f t="shared" si="21"/>
        <v>0-304L/2B-001X772</v>
      </c>
      <c r="C202" s="126" t="s">
        <v>3395</v>
      </c>
      <c r="D202" s="126" t="s">
        <v>3026</v>
      </c>
      <c r="E202" s="143" t="s">
        <v>2769</v>
      </c>
      <c r="F202" s="143" t="s">
        <v>3411</v>
      </c>
      <c r="G202" s="126" t="s">
        <v>230</v>
      </c>
      <c r="H202" s="126" t="s">
        <v>116</v>
      </c>
      <c r="I202" s="127">
        <v>3.37</v>
      </c>
      <c r="J202" s="127">
        <v>1.35</v>
      </c>
      <c r="K202" s="149">
        <v>1.35</v>
      </c>
      <c r="L202" s="149">
        <v>1.36</v>
      </c>
      <c r="M202" s="144">
        <v>772</v>
      </c>
      <c r="N202" s="129">
        <v>5.2</v>
      </c>
      <c r="O202" s="129">
        <v>5.2</v>
      </c>
      <c r="P202" s="129"/>
      <c r="Q202" s="129"/>
      <c r="R202" s="129" t="s">
        <v>116</v>
      </c>
      <c r="S202" s="284" t="s">
        <v>3412</v>
      </c>
      <c r="T202" s="130" t="s">
        <v>2987</v>
      </c>
      <c r="U202" s="130"/>
      <c r="V202" s="131"/>
      <c r="W202" s="132">
        <v>44606</v>
      </c>
      <c r="X202" s="132">
        <v>44606</v>
      </c>
      <c r="Y202" s="132"/>
      <c r="Z202" s="132"/>
      <c r="AA202" s="132"/>
      <c r="AB202" s="133" t="s">
        <v>1395</v>
      </c>
      <c r="AC202" s="126" t="s">
        <v>64</v>
      </c>
      <c r="AD202" s="134" t="s">
        <v>154</v>
      </c>
      <c r="AE202" s="134" t="s">
        <v>1516</v>
      </c>
      <c r="AF202" s="134"/>
      <c r="AG202" s="134">
        <v>44554</v>
      </c>
      <c r="AH202" s="134"/>
      <c r="AI202" s="134">
        <f t="shared" ca="1" si="25"/>
        <v>44963</v>
      </c>
      <c r="AJ202" s="126">
        <f t="shared" ca="1" si="22"/>
        <v>409</v>
      </c>
      <c r="AK202" s="126" t="str">
        <f t="shared" si="23"/>
        <v/>
      </c>
      <c r="AL202" s="134"/>
      <c r="AM202" s="143" t="s">
        <v>2608</v>
      </c>
      <c r="AN202" s="129">
        <v>10.465</v>
      </c>
      <c r="AO202" s="129">
        <v>10.475</v>
      </c>
      <c r="AP202" s="129">
        <v>10.499999999999998</v>
      </c>
      <c r="AQ202" s="129">
        <v>10.504999999999999</v>
      </c>
      <c r="AR202" s="126">
        <f t="shared" ca="1" si="24"/>
        <v>357</v>
      </c>
      <c r="AU202" s="99" t="s">
        <v>136</v>
      </c>
    </row>
    <row r="203" spans="1:59" s="99" customFormat="1" ht="21" customHeight="1" x14ac:dyDescent="0.35">
      <c r="A203" s="99">
        <v>424</v>
      </c>
      <c r="B203" s="126" t="str">
        <f t="shared" si="21"/>
        <v>0-304L/2B-001X772</v>
      </c>
      <c r="C203" s="126" t="s">
        <v>3413</v>
      </c>
      <c r="D203" s="126" t="s">
        <v>3026</v>
      </c>
      <c r="E203" s="143" t="s">
        <v>2769</v>
      </c>
      <c r="F203" s="143" t="s">
        <v>3414</v>
      </c>
      <c r="G203" s="126" t="s">
        <v>230</v>
      </c>
      <c r="H203" s="126" t="s">
        <v>116</v>
      </c>
      <c r="I203" s="127">
        <v>3.37</v>
      </c>
      <c r="J203" s="127">
        <v>1.35</v>
      </c>
      <c r="K203" s="149">
        <v>1.35</v>
      </c>
      <c r="L203" s="149">
        <v>1.36</v>
      </c>
      <c r="M203" s="144">
        <v>772</v>
      </c>
      <c r="N203" s="129">
        <f>10.475-5.2</f>
        <v>5.2749999999999995</v>
      </c>
      <c r="O203" s="129">
        <v>5.2249999999999996</v>
      </c>
      <c r="P203" s="129"/>
      <c r="Q203" s="129"/>
      <c r="R203" s="129" t="s">
        <v>116</v>
      </c>
      <c r="S203" s="284" t="s">
        <v>3415</v>
      </c>
      <c r="T203" s="130" t="s">
        <v>2987</v>
      </c>
      <c r="U203" s="130"/>
      <c r="V203" s="131"/>
      <c r="W203" s="132">
        <v>44606</v>
      </c>
      <c r="X203" s="132">
        <v>44606</v>
      </c>
      <c r="Y203" s="132"/>
      <c r="Z203" s="132"/>
      <c r="AA203" s="132"/>
      <c r="AB203" s="133" t="s">
        <v>1395</v>
      </c>
      <c r="AC203" s="126" t="s">
        <v>64</v>
      </c>
      <c r="AD203" s="134" t="s">
        <v>154</v>
      </c>
      <c r="AE203" s="134" t="s">
        <v>1516</v>
      </c>
      <c r="AF203" s="134"/>
      <c r="AG203" s="134">
        <v>44554</v>
      </c>
      <c r="AH203" s="134"/>
      <c r="AI203" s="134">
        <f t="shared" ca="1" si="25"/>
        <v>44963</v>
      </c>
      <c r="AJ203" s="126">
        <f t="shared" ca="1" si="22"/>
        <v>409</v>
      </c>
      <c r="AK203" s="126" t="str">
        <f t="shared" si="23"/>
        <v/>
      </c>
      <c r="AL203" s="134"/>
      <c r="AM203" s="143" t="s">
        <v>2608</v>
      </c>
      <c r="AN203" s="129">
        <v>10.465</v>
      </c>
      <c r="AO203" s="129">
        <v>10.475</v>
      </c>
      <c r="AP203" s="129">
        <v>10.499999999999998</v>
      </c>
      <c r="AQ203" s="129">
        <v>10.504999999999999</v>
      </c>
      <c r="AR203" s="126">
        <f t="shared" ca="1" si="24"/>
        <v>357</v>
      </c>
      <c r="AU203" s="99" t="s">
        <v>136</v>
      </c>
    </row>
    <row r="204" spans="1:59" s="99" customFormat="1" ht="21" customHeight="1" x14ac:dyDescent="0.35">
      <c r="A204" s="99">
        <v>424</v>
      </c>
      <c r="B204" s="126" t="str">
        <f t="shared" si="21"/>
        <v>0-304L/2B-002X773</v>
      </c>
      <c r="C204" s="126" t="s">
        <v>3413</v>
      </c>
      <c r="D204" s="126" t="s">
        <v>3026</v>
      </c>
      <c r="E204" s="143" t="s">
        <v>2778</v>
      </c>
      <c r="F204" s="143" t="s">
        <v>3416</v>
      </c>
      <c r="G204" s="126" t="s">
        <v>230</v>
      </c>
      <c r="H204" s="126" t="s">
        <v>116</v>
      </c>
      <c r="I204" s="127">
        <v>3.78</v>
      </c>
      <c r="J204" s="127">
        <v>1.9</v>
      </c>
      <c r="K204" s="149">
        <v>1.88</v>
      </c>
      <c r="L204" s="149">
        <v>1.91</v>
      </c>
      <c r="M204" s="144">
        <v>773</v>
      </c>
      <c r="N204" s="129">
        <v>10.4</v>
      </c>
      <c r="O204" s="129">
        <f>5.205+5.14</f>
        <v>10.344999999999999</v>
      </c>
      <c r="P204" s="129"/>
      <c r="Q204" s="129"/>
      <c r="R204" s="129" t="s">
        <v>116</v>
      </c>
      <c r="S204" s="284" t="s">
        <v>3412</v>
      </c>
      <c r="T204" s="130" t="s">
        <v>2987</v>
      </c>
      <c r="U204" s="130"/>
      <c r="V204" s="131"/>
      <c r="W204" s="132">
        <v>44606</v>
      </c>
      <c r="X204" s="132">
        <v>44606</v>
      </c>
      <c r="Y204" s="132"/>
      <c r="Z204" s="132"/>
      <c r="AA204" s="132"/>
      <c r="AB204" s="133" t="s">
        <v>1395</v>
      </c>
      <c r="AC204" s="126" t="s">
        <v>64</v>
      </c>
      <c r="AD204" s="134" t="s">
        <v>154</v>
      </c>
      <c r="AE204" s="134" t="s">
        <v>1330</v>
      </c>
      <c r="AF204" s="134"/>
      <c r="AG204" s="134">
        <v>44554</v>
      </c>
      <c r="AH204" s="134"/>
      <c r="AI204" s="134">
        <f t="shared" ca="1" si="25"/>
        <v>44963</v>
      </c>
      <c r="AJ204" s="126">
        <f t="shared" ca="1" si="22"/>
        <v>409</v>
      </c>
      <c r="AK204" s="126" t="str">
        <f t="shared" si="23"/>
        <v/>
      </c>
      <c r="AL204" s="134"/>
      <c r="AM204" s="143" t="s">
        <v>1382</v>
      </c>
      <c r="AN204" s="129">
        <v>10.39</v>
      </c>
      <c r="AO204" s="129">
        <v>10.4</v>
      </c>
      <c r="AP204" s="129">
        <v>10.424999999999999</v>
      </c>
      <c r="AQ204" s="129">
        <v>10.43</v>
      </c>
      <c r="AR204" s="126">
        <f t="shared" ca="1" si="24"/>
        <v>357</v>
      </c>
      <c r="AU204" s="99" t="s">
        <v>136</v>
      </c>
    </row>
    <row r="205" spans="1:59" s="99" customFormat="1" ht="21" customHeight="1" x14ac:dyDescent="0.35">
      <c r="A205" s="99">
        <v>424</v>
      </c>
      <c r="B205" s="126" t="str">
        <f t="shared" si="21"/>
        <v>0-304L/2B-001X770</v>
      </c>
      <c r="C205" s="126" t="s">
        <v>3413</v>
      </c>
      <c r="D205" s="126" t="s">
        <v>3026</v>
      </c>
      <c r="E205" s="143" t="s">
        <v>2852</v>
      </c>
      <c r="F205" s="143" t="s">
        <v>3417</v>
      </c>
      <c r="G205" s="126" t="s">
        <v>230</v>
      </c>
      <c r="H205" s="126" t="s">
        <v>116</v>
      </c>
      <c r="I205" s="127">
        <v>3.34</v>
      </c>
      <c r="J205" s="127">
        <v>1.1000000000000001</v>
      </c>
      <c r="K205" s="149">
        <v>1.1000000000000001</v>
      </c>
      <c r="L205" s="149">
        <v>1.1200000000000001</v>
      </c>
      <c r="M205" s="144">
        <v>770</v>
      </c>
      <c r="N205" s="129">
        <v>10.44</v>
      </c>
      <c r="O205" s="129">
        <f>5.185+5.22</f>
        <v>10.404999999999999</v>
      </c>
      <c r="P205" s="129"/>
      <c r="Q205" s="129"/>
      <c r="R205" s="129" t="s">
        <v>116</v>
      </c>
      <c r="S205" s="284" t="s">
        <v>3412</v>
      </c>
      <c r="T205" s="130" t="s">
        <v>2987</v>
      </c>
      <c r="U205" s="130"/>
      <c r="V205" s="131"/>
      <c r="W205" s="132">
        <v>44610</v>
      </c>
      <c r="X205" s="132">
        <v>44611</v>
      </c>
      <c r="Y205" s="132"/>
      <c r="Z205" s="132"/>
      <c r="AA205" s="132"/>
      <c r="AB205" s="133" t="s">
        <v>1395</v>
      </c>
      <c r="AC205" s="126" t="s">
        <v>64</v>
      </c>
      <c r="AD205" s="134" t="s">
        <v>154</v>
      </c>
      <c r="AE205" s="134" t="s">
        <v>1330</v>
      </c>
      <c r="AF205" s="134"/>
      <c r="AG205" s="134">
        <v>44554</v>
      </c>
      <c r="AH205" s="134"/>
      <c r="AI205" s="134">
        <f t="shared" ca="1" si="25"/>
        <v>44963</v>
      </c>
      <c r="AJ205" s="126">
        <f t="shared" ca="1" si="22"/>
        <v>409</v>
      </c>
      <c r="AK205" s="126" t="str">
        <f t="shared" si="23"/>
        <v/>
      </c>
      <c r="AL205" s="134"/>
      <c r="AM205" s="143" t="s">
        <v>2788</v>
      </c>
      <c r="AN205" s="129">
        <v>10.43</v>
      </c>
      <c r="AO205" s="129">
        <v>10.44</v>
      </c>
      <c r="AP205" s="129">
        <v>10.464999999999998</v>
      </c>
      <c r="AQ205" s="129">
        <v>10.469999999999999</v>
      </c>
      <c r="AR205" s="126">
        <f t="shared" ca="1" si="24"/>
        <v>352</v>
      </c>
      <c r="AU205" s="99" t="s">
        <v>136</v>
      </c>
    </row>
    <row r="206" spans="1:59" s="99" customFormat="1" ht="21" customHeight="1" x14ac:dyDescent="0.35">
      <c r="A206" s="99">
        <v>422</v>
      </c>
      <c r="B206" s="126" t="str">
        <f t="shared" si="21"/>
        <v>0-304L/2B-001X766</v>
      </c>
      <c r="C206" s="126" t="s">
        <v>3413</v>
      </c>
      <c r="D206" s="126" t="s">
        <v>3026</v>
      </c>
      <c r="E206" s="143" t="s">
        <v>2825</v>
      </c>
      <c r="F206" s="143" t="s">
        <v>3418</v>
      </c>
      <c r="G206" s="126" t="s">
        <v>230</v>
      </c>
      <c r="H206" s="126" t="s">
        <v>116</v>
      </c>
      <c r="I206" s="127">
        <v>2.88</v>
      </c>
      <c r="J206" s="127">
        <v>0.9</v>
      </c>
      <c r="K206" s="149">
        <v>0.91</v>
      </c>
      <c r="L206" s="149">
        <v>0.93</v>
      </c>
      <c r="M206" s="144">
        <v>766</v>
      </c>
      <c r="N206" s="129">
        <v>7.0049999999999999</v>
      </c>
      <c r="O206" s="129">
        <f>3.515+3.44</f>
        <v>6.9550000000000001</v>
      </c>
      <c r="P206" s="129">
        <v>0.03</v>
      </c>
      <c r="Q206" s="129"/>
      <c r="R206" s="129" t="s">
        <v>116</v>
      </c>
      <c r="S206" s="284" t="s">
        <v>3390</v>
      </c>
      <c r="T206" s="130" t="s">
        <v>1206</v>
      </c>
      <c r="U206" s="130"/>
      <c r="V206" s="131"/>
      <c r="W206" s="132">
        <v>44607</v>
      </c>
      <c r="X206" s="132">
        <v>44608</v>
      </c>
      <c r="Y206" s="132"/>
      <c r="Z206" s="132"/>
      <c r="AA206" s="132"/>
      <c r="AB206" s="133"/>
      <c r="AC206" s="126" t="s">
        <v>64</v>
      </c>
      <c r="AD206" s="134" t="s">
        <v>154</v>
      </c>
      <c r="AE206" s="134" t="s">
        <v>1296</v>
      </c>
      <c r="AF206" s="134"/>
      <c r="AG206" s="134">
        <v>44516</v>
      </c>
      <c r="AH206" s="134"/>
      <c r="AI206" s="134">
        <f t="shared" ca="1" si="25"/>
        <v>44963</v>
      </c>
      <c r="AJ206" s="126">
        <f t="shared" ca="1" si="22"/>
        <v>447</v>
      </c>
      <c r="AK206" s="126" t="str">
        <f t="shared" si="23"/>
        <v/>
      </c>
      <c r="AL206" s="134"/>
      <c r="AM206" s="143" t="s">
        <v>2708</v>
      </c>
      <c r="AN206" s="129">
        <v>7.0049999999999999</v>
      </c>
      <c r="AO206" s="129">
        <v>7.0149999999999997</v>
      </c>
      <c r="AP206" s="129">
        <v>7.04</v>
      </c>
      <c r="AQ206" s="129">
        <v>7.0449999999999999</v>
      </c>
      <c r="AR206" s="126">
        <f t="shared" ca="1" si="24"/>
        <v>355</v>
      </c>
      <c r="AU206" s="99" t="s">
        <v>136</v>
      </c>
    </row>
    <row r="207" spans="1:59" s="99" customFormat="1" ht="21" customHeight="1" x14ac:dyDescent="0.35">
      <c r="A207" s="99">
        <v>422</v>
      </c>
      <c r="B207" s="126" t="str">
        <f t="shared" si="21"/>
        <v>0-304/2B-001X772</v>
      </c>
      <c r="C207" s="126" t="s">
        <v>3419</v>
      </c>
      <c r="D207" s="126" t="s">
        <v>358</v>
      </c>
      <c r="E207" s="143" t="s">
        <v>1332</v>
      </c>
      <c r="F207" s="143" t="s">
        <v>1333</v>
      </c>
      <c r="G207" s="126">
        <v>304</v>
      </c>
      <c r="H207" s="126" t="s">
        <v>116</v>
      </c>
      <c r="I207" s="127">
        <v>2.98</v>
      </c>
      <c r="J207" s="127">
        <v>0.92</v>
      </c>
      <c r="K207" s="149">
        <v>0.91</v>
      </c>
      <c r="L207" s="149">
        <v>0.92</v>
      </c>
      <c r="M207" s="144">
        <v>772</v>
      </c>
      <c r="N207" s="129">
        <v>10.3</v>
      </c>
      <c r="O207" s="129">
        <v>10.275</v>
      </c>
      <c r="P207" s="129"/>
      <c r="Q207" s="129"/>
      <c r="R207" s="129" t="s">
        <v>116</v>
      </c>
      <c r="S207" s="284"/>
      <c r="T207" s="130" t="s">
        <v>1334</v>
      </c>
      <c r="U207" s="130"/>
      <c r="V207" s="131"/>
      <c r="W207" s="132">
        <v>44611</v>
      </c>
      <c r="X207" s="132">
        <v>44612</v>
      </c>
      <c r="Y207" s="132">
        <v>44613</v>
      </c>
      <c r="Z207" s="132"/>
      <c r="AA207" s="132"/>
      <c r="AB207" s="133"/>
      <c r="AC207" s="126" t="s">
        <v>64</v>
      </c>
      <c r="AD207" s="134" t="s">
        <v>154</v>
      </c>
      <c r="AE207" s="134" t="s">
        <v>1330</v>
      </c>
      <c r="AF207" s="134"/>
      <c r="AG207" s="134">
        <v>44516</v>
      </c>
      <c r="AH207" s="134"/>
      <c r="AI207" s="134">
        <f t="shared" ca="1" si="25"/>
        <v>44963</v>
      </c>
      <c r="AJ207" s="126">
        <f t="shared" ca="1" si="22"/>
        <v>447</v>
      </c>
      <c r="AK207" s="126">
        <f t="shared" ca="1" si="23"/>
        <v>350</v>
      </c>
      <c r="AL207" s="134"/>
      <c r="AM207" s="143" t="s">
        <v>1335</v>
      </c>
      <c r="AN207" s="129">
        <v>10.28</v>
      </c>
      <c r="AO207" s="129">
        <v>10.29</v>
      </c>
      <c r="AP207" s="129">
        <v>10.314999999999998</v>
      </c>
      <c r="AQ207" s="129">
        <v>10.319999999999999</v>
      </c>
      <c r="AR207" s="126">
        <f t="shared" ca="1" si="24"/>
        <v>351</v>
      </c>
      <c r="AU207" s="99" t="s">
        <v>136</v>
      </c>
    </row>
    <row r="208" spans="1:59" s="583" customFormat="1" ht="21" customHeight="1" x14ac:dyDescent="0.35">
      <c r="A208" s="583">
        <v>422</v>
      </c>
      <c r="B208" s="584" t="str">
        <f t="shared" si="21"/>
        <v>0-304L/2B-001X769</v>
      </c>
      <c r="C208" s="584" t="s">
        <v>3420</v>
      </c>
      <c r="D208" s="584" t="s">
        <v>403</v>
      </c>
      <c r="E208" s="586" t="s">
        <v>2856</v>
      </c>
      <c r="F208" s="586" t="s">
        <v>2857</v>
      </c>
      <c r="G208" s="584" t="s">
        <v>230</v>
      </c>
      <c r="H208" s="584" t="s">
        <v>116</v>
      </c>
      <c r="I208" s="587">
        <v>2.99</v>
      </c>
      <c r="J208" s="587">
        <v>0.95</v>
      </c>
      <c r="K208" s="719">
        <v>0.92</v>
      </c>
      <c r="L208" s="719">
        <v>0.94</v>
      </c>
      <c r="M208" s="723">
        <v>769</v>
      </c>
      <c r="N208" s="589">
        <v>10.205</v>
      </c>
      <c r="O208" s="589">
        <v>10.195</v>
      </c>
      <c r="P208" s="589"/>
      <c r="Q208" s="589"/>
      <c r="R208" s="589" t="s">
        <v>116</v>
      </c>
      <c r="S208" s="593"/>
      <c r="T208" s="721" t="s">
        <v>1206</v>
      </c>
      <c r="U208" s="721"/>
      <c r="V208" s="722" t="s">
        <v>305</v>
      </c>
      <c r="W208" s="596">
        <v>44611</v>
      </c>
      <c r="X208" s="596">
        <v>44611</v>
      </c>
      <c r="Y208" s="596">
        <v>44613</v>
      </c>
      <c r="Z208" s="596"/>
      <c r="AA208" s="596"/>
      <c r="AB208" s="597"/>
      <c r="AC208" s="584" t="s">
        <v>64</v>
      </c>
      <c r="AD208" s="598" t="s">
        <v>154</v>
      </c>
      <c r="AE208" s="598" t="s">
        <v>1330</v>
      </c>
      <c r="AF208" s="598"/>
      <c r="AG208" s="598">
        <v>44516</v>
      </c>
      <c r="AH208" s="598"/>
      <c r="AI208" s="598">
        <f t="shared" ca="1" si="25"/>
        <v>44963</v>
      </c>
      <c r="AJ208" s="584">
        <f t="shared" ca="1" si="22"/>
        <v>447</v>
      </c>
      <c r="AK208" s="584">
        <f t="shared" ca="1" si="23"/>
        <v>350</v>
      </c>
      <c r="AL208" s="598"/>
      <c r="AM208" s="586" t="s">
        <v>2858</v>
      </c>
      <c r="AN208" s="589">
        <v>10.210000000000001</v>
      </c>
      <c r="AO208" s="589">
        <v>10.220000000000001</v>
      </c>
      <c r="AP208" s="589">
        <v>10.244999999999999</v>
      </c>
      <c r="AQ208" s="589">
        <v>10.25</v>
      </c>
      <c r="AR208" s="584">
        <f t="shared" ca="1" si="24"/>
        <v>352</v>
      </c>
      <c r="AU208" s="583" t="s">
        <v>136</v>
      </c>
    </row>
    <row r="209" spans="1:47" s="99" customFormat="1" ht="21" customHeight="1" x14ac:dyDescent="0.35">
      <c r="A209" s="99">
        <v>421</v>
      </c>
      <c r="B209" s="126" t="str">
        <f t="shared" si="21"/>
        <v>0-304L/2B-001X770</v>
      </c>
      <c r="C209" s="126" t="s">
        <v>3419</v>
      </c>
      <c r="D209" s="126" t="s">
        <v>358</v>
      </c>
      <c r="E209" s="143" t="s">
        <v>1251</v>
      </c>
      <c r="F209" s="143" t="s">
        <v>1252</v>
      </c>
      <c r="G209" s="126" t="s">
        <v>230</v>
      </c>
      <c r="H209" s="126" t="s">
        <v>116</v>
      </c>
      <c r="I209" s="127">
        <v>3.79</v>
      </c>
      <c r="J209" s="127">
        <v>1.42</v>
      </c>
      <c r="K209" s="149">
        <v>1.43</v>
      </c>
      <c r="L209" s="149">
        <v>1.45</v>
      </c>
      <c r="M209" s="144">
        <v>770</v>
      </c>
      <c r="N209" s="129">
        <v>10.38</v>
      </c>
      <c r="O209" s="129">
        <v>10.36</v>
      </c>
      <c r="P209" s="129"/>
      <c r="Q209" s="129"/>
      <c r="R209" s="129" t="s">
        <v>116</v>
      </c>
      <c r="S209" s="284"/>
      <c r="T209" s="130" t="s">
        <v>284</v>
      </c>
      <c r="U209" s="130"/>
      <c r="V209" s="131"/>
      <c r="W209" s="132">
        <v>44611</v>
      </c>
      <c r="X209" s="132">
        <v>44611</v>
      </c>
      <c r="Y209" s="132">
        <v>44613</v>
      </c>
      <c r="Z209" s="132"/>
      <c r="AA209" s="132"/>
      <c r="AB209" s="133"/>
      <c r="AC209" s="126" t="s">
        <v>64</v>
      </c>
      <c r="AD209" s="134" t="s">
        <v>154</v>
      </c>
      <c r="AE209" s="134" t="s">
        <v>1246</v>
      </c>
      <c r="AF209" s="134"/>
      <c r="AG209" s="134">
        <v>44496</v>
      </c>
      <c r="AH209" s="134"/>
      <c r="AI209" s="134">
        <f t="shared" ca="1" si="25"/>
        <v>44963</v>
      </c>
      <c r="AJ209" s="126">
        <f t="shared" ca="1" si="22"/>
        <v>467</v>
      </c>
      <c r="AK209" s="126">
        <f t="shared" ca="1" si="23"/>
        <v>350</v>
      </c>
      <c r="AL209" s="134"/>
      <c r="AM209" s="143" t="s">
        <v>1253</v>
      </c>
      <c r="AN209" s="129">
        <v>10.36</v>
      </c>
      <c r="AO209" s="129">
        <v>10.37</v>
      </c>
      <c r="AP209" s="129">
        <v>10.394999999999998</v>
      </c>
      <c r="AQ209" s="129">
        <v>10.399999999999999</v>
      </c>
      <c r="AR209" s="126">
        <f t="shared" ca="1" si="24"/>
        <v>352</v>
      </c>
      <c r="AU209" s="99" t="s">
        <v>136</v>
      </c>
    </row>
    <row r="210" spans="1:47" s="99" customFormat="1" ht="21" customHeight="1" x14ac:dyDescent="0.35">
      <c r="A210" s="99">
        <v>424</v>
      </c>
      <c r="B210" s="126" t="str">
        <f t="shared" si="21"/>
        <v>0-304L/2B-002X768</v>
      </c>
      <c r="C210" s="126" t="s">
        <v>3413</v>
      </c>
      <c r="D210" s="126" t="s">
        <v>3026</v>
      </c>
      <c r="E210" s="143" t="s">
        <v>2861</v>
      </c>
      <c r="F210" s="143" t="s">
        <v>3421</v>
      </c>
      <c r="G210" s="126" t="s">
        <v>230</v>
      </c>
      <c r="H210" s="126" t="s">
        <v>116</v>
      </c>
      <c r="I210" s="127">
        <v>3.97</v>
      </c>
      <c r="J210" s="127">
        <v>2</v>
      </c>
      <c r="K210" s="149">
        <v>1.97</v>
      </c>
      <c r="L210" s="149">
        <v>1.99</v>
      </c>
      <c r="M210" s="144">
        <v>768</v>
      </c>
      <c r="N210" s="129">
        <v>10.315</v>
      </c>
      <c r="O210" s="129">
        <f>5.155+5.1</f>
        <v>10.254999999999999</v>
      </c>
      <c r="P210" s="129"/>
      <c r="Q210" s="129"/>
      <c r="R210" s="129" t="s">
        <v>116</v>
      </c>
      <c r="S210" s="284" t="s">
        <v>3422</v>
      </c>
      <c r="T210" s="130" t="s">
        <v>1206</v>
      </c>
      <c r="U210" s="130"/>
      <c r="V210" s="131"/>
      <c r="W210" s="132">
        <v>44611</v>
      </c>
      <c r="X210" s="132">
        <v>44611</v>
      </c>
      <c r="Y210" s="132"/>
      <c r="Z210" s="132"/>
      <c r="AA210" s="132"/>
      <c r="AB210" s="133" t="s">
        <v>1395</v>
      </c>
      <c r="AC210" s="126" t="s">
        <v>64</v>
      </c>
      <c r="AD210" s="134" t="s">
        <v>154</v>
      </c>
      <c r="AE210" s="134" t="s">
        <v>1516</v>
      </c>
      <c r="AF210" s="134"/>
      <c r="AG210" s="134">
        <v>44554</v>
      </c>
      <c r="AH210" s="134"/>
      <c r="AI210" s="134">
        <f t="shared" ca="1" si="25"/>
        <v>44963</v>
      </c>
      <c r="AJ210" s="126">
        <f t="shared" ca="1" si="22"/>
        <v>409</v>
      </c>
      <c r="AK210" s="126" t="str">
        <f t="shared" si="23"/>
        <v/>
      </c>
      <c r="AL210" s="134"/>
      <c r="AM210" s="143" t="s">
        <v>2767</v>
      </c>
      <c r="AN210" s="129">
        <v>10.305</v>
      </c>
      <c r="AO210" s="129">
        <v>10.315</v>
      </c>
      <c r="AP210" s="129">
        <v>10.339999999999998</v>
      </c>
      <c r="AQ210" s="129">
        <v>10.344999999999999</v>
      </c>
      <c r="AR210" s="126">
        <f t="shared" ca="1" si="24"/>
        <v>352</v>
      </c>
      <c r="AU210" s="99" t="s">
        <v>136</v>
      </c>
    </row>
    <row r="211" spans="1:47" s="99" customFormat="1" ht="21" customHeight="1" x14ac:dyDescent="0.35">
      <c r="A211" s="99">
        <v>424</v>
      </c>
      <c r="B211" s="126" t="str">
        <f t="shared" si="21"/>
        <v>0-304L/2B-001X767</v>
      </c>
      <c r="C211" s="126" t="s">
        <v>3413</v>
      </c>
      <c r="D211" s="126" t="s">
        <v>3026</v>
      </c>
      <c r="E211" s="143" t="s">
        <v>2859</v>
      </c>
      <c r="F211" s="143" t="s">
        <v>3423</v>
      </c>
      <c r="G211" s="126" t="s">
        <v>230</v>
      </c>
      <c r="H211" s="126" t="s">
        <v>116</v>
      </c>
      <c r="I211" s="127">
        <v>3.5</v>
      </c>
      <c r="J211" s="127">
        <v>1.2</v>
      </c>
      <c r="K211" s="149">
        <v>1.18</v>
      </c>
      <c r="L211" s="149">
        <v>1.2</v>
      </c>
      <c r="M211" s="144">
        <v>767</v>
      </c>
      <c r="N211" s="129">
        <v>10.215</v>
      </c>
      <c r="O211" s="129">
        <f>6.025+4.13</f>
        <v>10.155000000000001</v>
      </c>
      <c r="P211" s="129"/>
      <c r="Q211" s="129"/>
      <c r="R211" s="129" t="s">
        <v>116</v>
      </c>
      <c r="S211" s="284" t="s">
        <v>3422</v>
      </c>
      <c r="T211" s="130" t="s">
        <v>1206</v>
      </c>
      <c r="U211" s="130"/>
      <c r="V211" s="131"/>
      <c r="W211" s="132">
        <v>44611</v>
      </c>
      <c r="X211" s="132">
        <v>44611</v>
      </c>
      <c r="Y211" s="132"/>
      <c r="Z211" s="132"/>
      <c r="AA211" s="132"/>
      <c r="AB211" s="133" t="s">
        <v>1395</v>
      </c>
      <c r="AC211" s="126" t="s">
        <v>64</v>
      </c>
      <c r="AD211" s="134" t="s">
        <v>154</v>
      </c>
      <c r="AE211" s="134" t="s">
        <v>1516</v>
      </c>
      <c r="AF211" s="134"/>
      <c r="AG211" s="134">
        <v>44554</v>
      </c>
      <c r="AH211" s="134"/>
      <c r="AI211" s="134">
        <f t="shared" ca="1" si="25"/>
        <v>44963</v>
      </c>
      <c r="AJ211" s="126">
        <f t="shared" ca="1" si="22"/>
        <v>409</v>
      </c>
      <c r="AK211" s="126" t="str">
        <f t="shared" si="23"/>
        <v/>
      </c>
      <c r="AL211" s="134"/>
      <c r="AM211" s="143" t="s">
        <v>1644</v>
      </c>
      <c r="AN211" s="129">
        <v>10.185</v>
      </c>
      <c r="AO211" s="129">
        <v>10.195</v>
      </c>
      <c r="AP211" s="129">
        <v>10.219999999999999</v>
      </c>
      <c r="AQ211" s="129">
        <v>10.225</v>
      </c>
      <c r="AR211" s="126">
        <f t="shared" ca="1" si="24"/>
        <v>352</v>
      </c>
      <c r="AU211" s="99" t="s">
        <v>136</v>
      </c>
    </row>
    <row r="212" spans="1:47" s="698" customFormat="1" ht="21" customHeight="1" x14ac:dyDescent="0.35">
      <c r="A212" s="698">
        <v>422</v>
      </c>
      <c r="B212" s="699" t="str">
        <f t="shared" si="21"/>
        <v>0-304L/2B-001X767</v>
      </c>
      <c r="C212" s="699" t="s">
        <v>3413</v>
      </c>
      <c r="D212" s="699" t="s">
        <v>3026</v>
      </c>
      <c r="E212" s="701" t="s">
        <v>1345</v>
      </c>
      <c r="F212" s="701" t="s">
        <v>3424</v>
      </c>
      <c r="G212" s="699" t="s">
        <v>230</v>
      </c>
      <c r="H212" s="699" t="s">
        <v>116</v>
      </c>
      <c r="I212" s="702">
        <v>2.88</v>
      </c>
      <c r="J212" s="702">
        <v>0.7</v>
      </c>
      <c r="K212" s="737">
        <v>0.69</v>
      </c>
      <c r="L212" s="737">
        <v>0.7</v>
      </c>
      <c r="M212" s="738">
        <v>767</v>
      </c>
      <c r="N212" s="816">
        <v>7.2850000000000001</v>
      </c>
      <c r="O212" s="704">
        <f>3.52</f>
        <v>3.52</v>
      </c>
      <c r="P212" s="704"/>
      <c r="Q212" s="704"/>
      <c r="R212" s="704" t="s">
        <v>116</v>
      </c>
      <c r="S212" s="709" t="s">
        <v>3422</v>
      </c>
      <c r="T212" s="739" t="s">
        <v>1206</v>
      </c>
      <c r="U212" s="739"/>
      <c r="V212" s="740"/>
      <c r="W212" s="712">
        <v>44611</v>
      </c>
      <c r="X212" s="712">
        <v>44611</v>
      </c>
      <c r="Y212" s="712"/>
      <c r="Z212" s="712"/>
      <c r="AA212" s="712"/>
      <c r="AB212" s="713"/>
      <c r="AC212" s="699" t="s">
        <v>64</v>
      </c>
      <c r="AD212" s="714" t="s">
        <v>154</v>
      </c>
      <c r="AE212" s="714" t="s">
        <v>1330</v>
      </c>
      <c r="AF212" s="714"/>
      <c r="AG212" s="714">
        <v>44516</v>
      </c>
      <c r="AH212" s="714"/>
      <c r="AI212" s="714">
        <f t="shared" ca="1" si="25"/>
        <v>44963</v>
      </c>
      <c r="AJ212" s="699">
        <f t="shared" ca="1" si="22"/>
        <v>447</v>
      </c>
      <c r="AK212" s="699" t="str">
        <f t="shared" si="23"/>
        <v/>
      </c>
      <c r="AL212" s="714"/>
      <c r="AM212" s="701" t="s">
        <v>1347</v>
      </c>
      <c r="AN212" s="704">
        <v>7.29</v>
      </c>
      <c r="AO212" s="704">
        <v>7.3</v>
      </c>
      <c r="AP212" s="704">
        <v>7.3250000000000002</v>
      </c>
      <c r="AQ212" s="704">
        <v>7.33</v>
      </c>
      <c r="AR212" s="699">
        <f t="shared" ca="1" si="24"/>
        <v>352</v>
      </c>
      <c r="AU212" s="698" t="s">
        <v>136</v>
      </c>
    </row>
    <row r="213" spans="1:47" s="698" customFormat="1" ht="21" customHeight="1" x14ac:dyDescent="0.35">
      <c r="A213" s="698">
        <v>422</v>
      </c>
      <c r="B213" s="699" t="str">
        <f t="shared" si="21"/>
        <v>0-304L/2B-001X767</v>
      </c>
      <c r="C213" s="699" t="s">
        <v>3419</v>
      </c>
      <c r="D213" s="699" t="s">
        <v>358</v>
      </c>
      <c r="E213" s="701" t="s">
        <v>1345</v>
      </c>
      <c r="F213" s="701" t="s">
        <v>1346</v>
      </c>
      <c r="G213" s="699" t="s">
        <v>230</v>
      </c>
      <c r="H213" s="699" t="s">
        <v>116</v>
      </c>
      <c r="I213" s="702">
        <v>2.88</v>
      </c>
      <c r="J213" s="702">
        <v>0.7</v>
      </c>
      <c r="K213" s="737">
        <v>0.69</v>
      </c>
      <c r="L213" s="737">
        <v>0.7</v>
      </c>
      <c r="M213" s="738">
        <v>767</v>
      </c>
      <c r="N213" s="817"/>
      <c r="O213" s="704">
        <v>3.73</v>
      </c>
      <c r="P213" s="704"/>
      <c r="Q213" s="704"/>
      <c r="R213" s="704" t="s">
        <v>116</v>
      </c>
      <c r="S213" s="709"/>
      <c r="T213" s="739" t="s">
        <v>1206</v>
      </c>
      <c r="U213" s="739"/>
      <c r="V213" s="740"/>
      <c r="W213" s="712">
        <v>44611</v>
      </c>
      <c r="X213" s="712">
        <v>44611</v>
      </c>
      <c r="Y213" s="712">
        <v>44613</v>
      </c>
      <c r="Z213" s="712"/>
      <c r="AA213" s="712"/>
      <c r="AB213" s="713"/>
      <c r="AC213" s="699" t="s">
        <v>64</v>
      </c>
      <c r="AD213" s="714" t="s">
        <v>154</v>
      </c>
      <c r="AE213" s="714" t="s">
        <v>1330</v>
      </c>
      <c r="AF213" s="714"/>
      <c r="AG213" s="714">
        <v>44516</v>
      </c>
      <c r="AH213" s="714"/>
      <c r="AI213" s="714">
        <f t="shared" ca="1" si="25"/>
        <v>44963</v>
      </c>
      <c r="AJ213" s="699">
        <f t="shared" ca="1" si="22"/>
        <v>447</v>
      </c>
      <c r="AK213" s="699">
        <f t="shared" ca="1" si="23"/>
        <v>350</v>
      </c>
      <c r="AL213" s="714"/>
      <c r="AM213" s="701" t="s">
        <v>1347</v>
      </c>
      <c r="AN213" s="704">
        <v>7.29</v>
      </c>
      <c r="AO213" s="704">
        <v>7.3</v>
      </c>
      <c r="AP213" s="704">
        <v>7.3250000000000002</v>
      </c>
      <c r="AQ213" s="704">
        <v>7.33</v>
      </c>
      <c r="AR213" s="699">
        <f t="shared" ca="1" si="24"/>
        <v>352</v>
      </c>
      <c r="AU213" s="698" t="s">
        <v>136</v>
      </c>
    </row>
    <row r="214" spans="1:47" s="99" customFormat="1" ht="21" customHeight="1" x14ac:dyDescent="0.35">
      <c r="A214" s="99">
        <v>424</v>
      </c>
      <c r="B214" s="126" t="str">
        <f t="shared" si="21"/>
        <v>0-304L/2B-001X766</v>
      </c>
      <c r="C214" s="126" t="s">
        <v>3425</v>
      </c>
      <c r="D214" s="126" t="s">
        <v>3026</v>
      </c>
      <c r="E214" s="143" t="s">
        <v>2868</v>
      </c>
      <c r="F214" s="143" t="s">
        <v>3426</v>
      </c>
      <c r="G214" s="126" t="s">
        <v>230</v>
      </c>
      <c r="H214" s="126" t="s">
        <v>116</v>
      </c>
      <c r="I214" s="127">
        <v>3.36</v>
      </c>
      <c r="J214" s="127">
        <v>1.2</v>
      </c>
      <c r="K214" s="149">
        <v>1.2</v>
      </c>
      <c r="L214" s="149">
        <v>1.22</v>
      </c>
      <c r="M214" s="144">
        <v>766</v>
      </c>
      <c r="N214" s="129">
        <v>10.365</v>
      </c>
      <c r="O214" s="129">
        <f>5.23+5.075</f>
        <v>10.305</v>
      </c>
      <c r="P214" s="129"/>
      <c r="Q214" s="129"/>
      <c r="R214" s="129" t="s">
        <v>116</v>
      </c>
      <c r="S214" s="284" t="s">
        <v>3427</v>
      </c>
      <c r="T214" s="130" t="s">
        <v>1206</v>
      </c>
      <c r="U214" s="130"/>
      <c r="V214" s="131"/>
      <c r="W214" s="132">
        <v>44612</v>
      </c>
      <c r="X214" s="132">
        <v>44612</v>
      </c>
      <c r="Y214" s="132"/>
      <c r="Z214" s="132"/>
      <c r="AA214" s="132"/>
      <c r="AB214" s="133" t="s">
        <v>1395</v>
      </c>
      <c r="AC214" s="126" t="s">
        <v>64</v>
      </c>
      <c r="AD214" s="134" t="s">
        <v>154</v>
      </c>
      <c r="AE214" s="134" t="s">
        <v>1516</v>
      </c>
      <c r="AF214" s="134"/>
      <c r="AG214" s="134">
        <v>44554</v>
      </c>
      <c r="AH214" s="134"/>
      <c r="AI214" s="134">
        <f t="shared" ca="1" si="25"/>
        <v>44963</v>
      </c>
      <c r="AJ214" s="126">
        <f t="shared" ref="AJ214:AJ223" ca="1" si="26">IF(AG214&lt;&gt;0,AI214-AG214,0)</f>
        <v>409</v>
      </c>
      <c r="AK214" s="126" t="str">
        <f t="shared" si="23"/>
        <v/>
      </c>
      <c r="AL214" s="134"/>
      <c r="AM214" s="143" t="s">
        <v>1537</v>
      </c>
      <c r="AN214" s="129">
        <v>10.345000000000001</v>
      </c>
      <c r="AO214" s="129">
        <v>10.355</v>
      </c>
      <c r="AP214" s="129">
        <v>10.379999999999999</v>
      </c>
      <c r="AQ214" s="129">
        <v>10.385</v>
      </c>
      <c r="AR214" s="126">
        <f t="shared" ca="1" si="24"/>
        <v>351</v>
      </c>
      <c r="AU214" s="99" t="s">
        <v>136</v>
      </c>
    </row>
    <row r="215" spans="1:47" s="99" customFormat="1" ht="21" customHeight="1" x14ac:dyDescent="0.35">
      <c r="A215" s="99">
        <v>424</v>
      </c>
      <c r="B215" s="126" t="str">
        <f t="shared" si="21"/>
        <v>0-304L/2B-002X768</v>
      </c>
      <c r="C215" s="126" t="s">
        <v>3425</v>
      </c>
      <c r="D215" s="126" t="s">
        <v>3026</v>
      </c>
      <c r="E215" s="143" t="s">
        <v>2864</v>
      </c>
      <c r="F215" s="143" t="s">
        <v>3428</v>
      </c>
      <c r="G215" s="126" t="s">
        <v>230</v>
      </c>
      <c r="H215" s="126" t="s">
        <v>116</v>
      </c>
      <c r="I215" s="127">
        <v>3.82</v>
      </c>
      <c r="J215" s="127">
        <v>2</v>
      </c>
      <c r="K215" s="149">
        <v>1.97</v>
      </c>
      <c r="L215" s="149">
        <v>1.99</v>
      </c>
      <c r="M215" s="144">
        <v>768</v>
      </c>
      <c r="N215" s="129">
        <v>11.43</v>
      </c>
      <c r="O215" s="129">
        <f>5.705+5.655</f>
        <v>11.36</v>
      </c>
      <c r="P215" s="129"/>
      <c r="Q215" s="129"/>
      <c r="R215" s="129" t="s">
        <v>116</v>
      </c>
      <c r="S215" s="284" t="s">
        <v>3427</v>
      </c>
      <c r="T215" s="130" t="s">
        <v>1206</v>
      </c>
      <c r="U215" s="130"/>
      <c r="V215" s="131"/>
      <c r="W215" s="132">
        <v>44611</v>
      </c>
      <c r="X215" s="132">
        <v>44612</v>
      </c>
      <c r="Y215" s="132"/>
      <c r="Z215" s="132"/>
      <c r="AA215" s="132"/>
      <c r="AB215" s="133" t="s">
        <v>1395</v>
      </c>
      <c r="AC215" s="126" t="s">
        <v>64</v>
      </c>
      <c r="AD215" s="134" t="s">
        <v>154</v>
      </c>
      <c r="AE215" s="134" t="s">
        <v>1330</v>
      </c>
      <c r="AF215" s="134"/>
      <c r="AG215" s="134">
        <v>44554</v>
      </c>
      <c r="AH215" s="134"/>
      <c r="AI215" s="134">
        <f t="shared" ca="1" si="25"/>
        <v>44963</v>
      </c>
      <c r="AJ215" s="126">
        <f t="shared" ca="1" si="26"/>
        <v>409</v>
      </c>
      <c r="AK215" s="126" t="str">
        <f t="shared" si="23"/>
        <v/>
      </c>
      <c r="AL215" s="134"/>
      <c r="AM215" s="143" t="s">
        <v>1510</v>
      </c>
      <c r="AN215" s="129">
        <v>11.41</v>
      </c>
      <c r="AO215" s="129">
        <v>11.42</v>
      </c>
      <c r="AP215" s="129">
        <v>11.444999999999999</v>
      </c>
      <c r="AQ215" s="129">
        <v>11.45</v>
      </c>
      <c r="AR215" s="126">
        <f t="shared" ca="1" si="24"/>
        <v>351</v>
      </c>
      <c r="AU215" s="99" t="s">
        <v>136</v>
      </c>
    </row>
    <row r="216" spans="1:47" s="99" customFormat="1" ht="21" customHeight="1" x14ac:dyDescent="0.35">
      <c r="A216" s="99">
        <v>424</v>
      </c>
      <c r="B216" s="126" t="str">
        <f t="shared" si="21"/>
        <v>0-304L/2B-002X767</v>
      </c>
      <c r="C216" s="126" t="s">
        <v>3425</v>
      </c>
      <c r="D216" s="126" t="s">
        <v>3026</v>
      </c>
      <c r="E216" s="143" t="s">
        <v>2870</v>
      </c>
      <c r="F216" s="143" t="s">
        <v>3429</v>
      </c>
      <c r="G216" s="126" t="s">
        <v>230</v>
      </c>
      <c r="H216" s="126" t="s">
        <v>116</v>
      </c>
      <c r="I216" s="127">
        <v>3.77</v>
      </c>
      <c r="J216" s="127">
        <v>1.5</v>
      </c>
      <c r="K216" s="149">
        <v>1.49</v>
      </c>
      <c r="L216" s="149">
        <v>1.5</v>
      </c>
      <c r="M216" s="144">
        <v>767</v>
      </c>
      <c r="N216" s="129">
        <v>11.71</v>
      </c>
      <c r="O216" s="129">
        <f>5.84+5.76</f>
        <v>11.6</v>
      </c>
      <c r="P216" s="129"/>
      <c r="Q216" s="129">
        <v>3.5999999999999997E-2</v>
      </c>
      <c r="R216" s="129" t="s">
        <v>116</v>
      </c>
      <c r="S216" s="284" t="s">
        <v>3427</v>
      </c>
      <c r="T216" s="130" t="s">
        <v>1206</v>
      </c>
      <c r="U216" s="130"/>
      <c r="V216" s="131"/>
      <c r="W216" s="132">
        <v>44612</v>
      </c>
      <c r="X216" s="132">
        <v>44612</v>
      </c>
      <c r="Y216" s="132"/>
      <c r="Z216" s="132"/>
      <c r="AA216" s="132"/>
      <c r="AB216" s="133" t="s">
        <v>1395</v>
      </c>
      <c r="AC216" s="126" t="s">
        <v>64</v>
      </c>
      <c r="AD216" s="134" t="s">
        <v>154</v>
      </c>
      <c r="AE216" s="134" t="s">
        <v>1516</v>
      </c>
      <c r="AF216" s="134"/>
      <c r="AG216" s="134">
        <v>44554</v>
      </c>
      <c r="AH216" s="134"/>
      <c r="AI216" s="134">
        <f t="shared" ca="1" si="25"/>
        <v>44963</v>
      </c>
      <c r="AJ216" s="126">
        <f t="shared" ca="1" si="26"/>
        <v>409</v>
      </c>
      <c r="AK216" s="126" t="str">
        <f t="shared" si="23"/>
        <v/>
      </c>
      <c r="AL216" s="134"/>
      <c r="AM216" s="143" t="s">
        <v>1588</v>
      </c>
      <c r="AN216" s="129">
        <v>11.695</v>
      </c>
      <c r="AO216" s="129">
        <v>11.705</v>
      </c>
      <c r="AP216" s="129">
        <v>11.729999999999999</v>
      </c>
      <c r="AQ216" s="129">
        <v>11.734999999999999</v>
      </c>
      <c r="AR216" s="126">
        <f t="shared" ca="1" si="24"/>
        <v>351</v>
      </c>
      <c r="AU216" s="99" t="s">
        <v>136</v>
      </c>
    </row>
    <row r="217" spans="1:47" s="99" customFormat="1" ht="21" customHeight="1" x14ac:dyDescent="0.35">
      <c r="A217" s="99">
        <v>421</v>
      </c>
      <c r="B217" s="126" t="str">
        <f t="shared" ref="B217:B242" si="27">IF(C217="HOLD RM","HOLD RM",IF(C217="BAL","WIP",IF(C217="HOLD SLT","HOLD SLT",IF(C217="MILL","RM",IF(C217="RE SLT","WIP",IF(C217="RM","RM",IF(C217="RM BAL","RM",IF(C217="RM SLT","RM",IF(C217="RR","WIP",IF(C217="SKP","WIP",IF(C217="SLT","WIP",IF(C217="CTL","WIP",IF(C217="RM SLT RUST","RM SLT RUST",0)))))))))))))&amp;"-"&amp;G217&amp;"/"&amp;IF(H217="2B","2B",IF(H217="NO.1","1D",IF(H217="FH","FH",0)))&amp;"-"&amp;IF(J217="",(TEXT(I217,"0.00")),TEXT(J217,"0.00"))&amp;"X"&amp;M217</f>
        <v>0-304L/2B-001X770</v>
      </c>
      <c r="C217" s="126" t="s">
        <v>3425</v>
      </c>
      <c r="D217" s="126" t="s">
        <v>3026</v>
      </c>
      <c r="E217" s="143" t="s">
        <v>2872</v>
      </c>
      <c r="F217" s="143" t="s">
        <v>3430</v>
      </c>
      <c r="G217" s="126" t="s">
        <v>230</v>
      </c>
      <c r="H217" s="126" t="s">
        <v>116</v>
      </c>
      <c r="I217" s="127">
        <v>2.91</v>
      </c>
      <c r="J217" s="127">
        <v>1.01</v>
      </c>
      <c r="K217" s="149">
        <v>1.01</v>
      </c>
      <c r="L217" s="149">
        <v>1.03</v>
      </c>
      <c r="M217" s="144">
        <v>770</v>
      </c>
      <c r="N217" s="129">
        <v>8.31</v>
      </c>
      <c r="O217" s="129">
        <f>4.185+4.055</f>
        <v>8.2399999999999984</v>
      </c>
      <c r="P217" s="129"/>
      <c r="Q217" s="129"/>
      <c r="R217" s="129" t="s">
        <v>116</v>
      </c>
      <c r="S217" s="284" t="s">
        <v>3431</v>
      </c>
      <c r="T217" s="130" t="s">
        <v>1326</v>
      </c>
      <c r="U217" s="130"/>
      <c r="V217" s="131"/>
      <c r="W217" s="132">
        <v>44612</v>
      </c>
      <c r="X217" s="132">
        <v>44612</v>
      </c>
      <c r="Y217" s="132"/>
      <c r="Z217" s="132"/>
      <c r="AA217" s="132"/>
      <c r="AB217" s="133"/>
      <c r="AC217" s="126" t="s">
        <v>64</v>
      </c>
      <c r="AD217" s="134" t="s">
        <v>154</v>
      </c>
      <c r="AE217" s="134" t="s">
        <v>1190</v>
      </c>
      <c r="AF217" s="134"/>
      <c r="AG217" s="134">
        <v>44496</v>
      </c>
      <c r="AH217" s="134"/>
      <c r="AI217" s="134">
        <f t="shared" ca="1" si="25"/>
        <v>44963</v>
      </c>
      <c r="AJ217" s="126">
        <f t="shared" ca="1" si="26"/>
        <v>467</v>
      </c>
      <c r="AK217" s="126" t="str">
        <f t="shared" ref="AK217:AK242" si="28">IF(ISNUMBER(Y217)=TRUE,AI217-Y217,IF(Y217="","",(AI217)-(MID(RIGHT(Y217,10),4,2)&amp;"/"&amp;LEFT((RIGHT(Y217,10)),2)&amp;"/"&amp;RIGHT(Y217,4))))</f>
        <v/>
      </c>
      <c r="AL217" s="134"/>
      <c r="AM217" s="143" t="s">
        <v>2740</v>
      </c>
      <c r="AN217" s="129">
        <v>8.31</v>
      </c>
      <c r="AO217" s="129">
        <v>8.32</v>
      </c>
      <c r="AP217" s="129">
        <v>8.3449999999999989</v>
      </c>
      <c r="AQ217" s="129">
        <v>8.35</v>
      </c>
      <c r="AR217" s="126">
        <f t="shared" ref="AR217:AR242" ca="1" si="29">IF(ISNUMBER(X217)=TRUE,AI217-X217,IF(X217="","",(AI217)-(MID(RIGHT(X217,10),4,2)&amp;"/"&amp;LEFT((RIGHT(X217,10)),2)&amp;"/"&amp;RIGHT(X217,4))))</f>
        <v>351</v>
      </c>
      <c r="AU217" s="99" t="s">
        <v>136</v>
      </c>
    </row>
    <row r="218" spans="1:47" s="583" customFormat="1" ht="21" customHeight="1" x14ac:dyDescent="0.35">
      <c r="A218" s="583">
        <v>424</v>
      </c>
      <c r="B218" s="584" t="str">
        <f t="shared" si="27"/>
        <v>0-304/2B-001X767</v>
      </c>
      <c r="C218" s="584" t="s">
        <v>3432</v>
      </c>
      <c r="D218" s="584" t="s">
        <v>358</v>
      </c>
      <c r="E218" s="586" t="s">
        <v>1772</v>
      </c>
      <c r="F218" s="586" t="s">
        <v>1773</v>
      </c>
      <c r="G218" s="584">
        <v>304</v>
      </c>
      <c r="H218" s="584" t="s">
        <v>116</v>
      </c>
      <c r="I218" s="587">
        <v>3.89</v>
      </c>
      <c r="J218" s="587">
        <v>1.45</v>
      </c>
      <c r="K218" s="719">
        <v>1.46</v>
      </c>
      <c r="L218" s="719">
        <v>1.48</v>
      </c>
      <c r="M218" s="723">
        <v>767</v>
      </c>
      <c r="N218" s="589">
        <v>10.39</v>
      </c>
      <c r="O218" s="589">
        <v>10.36</v>
      </c>
      <c r="P218" s="589">
        <v>0.05</v>
      </c>
      <c r="Q218" s="589"/>
      <c r="R218" s="589" t="s">
        <v>116</v>
      </c>
      <c r="S218" s="593"/>
      <c r="T218" s="721" t="s">
        <v>446</v>
      </c>
      <c r="U218" s="721"/>
      <c r="V218" s="722"/>
      <c r="W218" s="596">
        <v>44607</v>
      </c>
      <c r="X218" s="596">
        <v>44608</v>
      </c>
      <c r="Y218" s="596">
        <v>44614</v>
      </c>
      <c r="Z218" s="596"/>
      <c r="AA218" s="596"/>
      <c r="AB218" s="597" t="s">
        <v>1395</v>
      </c>
      <c r="AC218" s="584" t="s">
        <v>64</v>
      </c>
      <c r="AD218" s="598" t="s">
        <v>154</v>
      </c>
      <c r="AE218" s="598" t="s">
        <v>1516</v>
      </c>
      <c r="AF218" s="598"/>
      <c r="AG218" s="598">
        <v>44554</v>
      </c>
      <c r="AH218" s="598"/>
      <c r="AI218" s="598">
        <f t="shared" ca="1" si="25"/>
        <v>44963</v>
      </c>
      <c r="AJ218" s="584">
        <f t="shared" ca="1" si="26"/>
        <v>409</v>
      </c>
      <c r="AK218" s="584">
        <f t="shared" ca="1" si="28"/>
        <v>349</v>
      </c>
      <c r="AL218" s="598"/>
      <c r="AM218" s="586" t="s">
        <v>1774</v>
      </c>
      <c r="AN218" s="589">
        <v>10.38</v>
      </c>
      <c r="AO218" s="589">
        <v>10.39</v>
      </c>
      <c r="AP218" s="589">
        <v>10.414999999999999</v>
      </c>
      <c r="AQ218" s="589">
        <v>10.42</v>
      </c>
      <c r="AR218" s="584">
        <f t="shared" ca="1" si="29"/>
        <v>355</v>
      </c>
      <c r="AU218" s="583" t="s">
        <v>136</v>
      </c>
    </row>
    <row r="219" spans="1:47" s="99" customFormat="1" ht="21" customHeight="1" x14ac:dyDescent="0.35">
      <c r="A219" s="99">
        <v>424</v>
      </c>
      <c r="B219" s="126" t="str">
        <f t="shared" si="27"/>
        <v>0-304L/2B-001X766</v>
      </c>
      <c r="C219" s="126" t="s">
        <v>3432</v>
      </c>
      <c r="D219" s="126" t="s">
        <v>358</v>
      </c>
      <c r="E219" s="143" t="s">
        <v>1535</v>
      </c>
      <c r="F219" s="143" t="s">
        <v>1536</v>
      </c>
      <c r="G219" s="126" t="s">
        <v>230</v>
      </c>
      <c r="H219" s="126" t="s">
        <v>116</v>
      </c>
      <c r="I219" s="127">
        <v>3.37</v>
      </c>
      <c r="J219" s="127">
        <v>1.1499999999999999</v>
      </c>
      <c r="K219" s="149">
        <v>1.1499999999999999</v>
      </c>
      <c r="L219" s="149">
        <v>1.1599999999999999</v>
      </c>
      <c r="M219" s="144">
        <v>766</v>
      </c>
      <c r="N219" s="129">
        <v>10.3</v>
      </c>
      <c r="O219" s="129">
        <v>10.27</v>
      </c>
      <c r="P219" s="129"/>
      <c r="Q219" s="129"/>
      <c r="R219" s="129" t="s">
        <v>116</v>
      </c>
      <c r="S219" s="284"/>
      <c r="T219" s="130" t="s">
        <v>446</v>
      </c>
      <c r="U219" s="130"/>
      <c r="V219" s="131"/>
      <c r="W219" s="132">
        <v>44609</v>
      </c>
      <c r="X219" s="132">
        <v>44611</v>
      </c>
      <c r="Y219" s="132">
        <v>44614</v>
      </c>
      <c r="Z219" s="132"/>
      <c r="AA219" s="132"/>
      <c r="AB219" s="133" t="s">
        <v>1395</v>
      </c>
      <c r="AC219" s="126" t="s">
        <v>64</v>
      </c>
      <c r="AD219" s="134" t="s">
        <v>154</v>
      </c>
      <c r="AE219" s="134" t="s">
        <v>1516</v>
      </c>
      <c r="AF219" s="134"/>
      <c r="AG219" s="134">
        <v>44554</v>
      </c>
      <c r="AH219" s="134"/>
      <c r="AI219" s="134">
        <f t="shared" ca="1" si="25"/>
        <v>44963</v>
      </c>
      <c r="AJ219" s="126">
        <f t="shared" ca="1" si="26"/>
        <v>409</v>
      </c>
      <c r="AK219" s="126">
        <f t="shared" ca="1" si="28"/>
        <v>349</v>
      </c>
      <c r="AL219" s="134"/>
      <c r="AM219" s="143" t="s">
        <v>1537</v>
      </c>
      <c r="AN219" s="129">
        <v>10.29</v>
      </c>
      <c r="AO219" s="129">
        <v>10.3</v>
      </c>
      <c r="AP219" s="129">
        <v>10.324999999999999</v>
      </c>
      <c r="AQ219" s="129">
        <v>10.33</v>
      </c>
      <c r="AR219" s="126">
        <f t="shared" ca="1" si="29"/>
        <v>352</v>
      </c>
      <c r="AU219" s="99" t="s">
        <v>136</v>
      </c>
    </row>
    <row r="220" spans="1:47" s="614" customFormat="1" ht="21" customHeight="1" x14ac:dyDescent="0.35">
      <c r="A220" s="614">
        <v>424</v>
      </c>
      <c r="B220" s="615" t="str">
        <f t="shared" si="27"/>
        <v>0-304L/2B-002X764</v>
      </c>
      <c r="C220" s="615" t="s">
        <v>3425</v>
      </c>
      <c r="D220" s="615" t="s">
        <v>3026</v>
      </c>
      <c r="E220" s="617" t="s">
        <v>2876</v>
      </c>
      <c r="F220" s="617" t="s">
        <v>3433</v>
      </c>
      <c r="G220" s="615" t="s">
        <v>230</v>
      </c>
      <c r="H220" s="615" t="s">
        <v>116</v>
      </c>
      <c r="I220" s="618">
        <v>3.78</v>
      </c>
      <c r="J220" s="618">
        <v>1.5</v>
      </c>
      <c r="K220" s="630">
        <v>1.47</v>
      </c>
      <c r="L220" s="630">
        <v>1.49</v>
      </c>
      <c r="M220" s="631">
        <v>764</v>
      </c>
      <c r="N220" s="818">
        <v>10.199999999999999</v>
      </c>
      <c r="O220" s="620">
        <v>4.49</v>
      </c>
      <c r="P220" s="620"/>
      <c r="Q220" s="620"/>
      <c r="R220" s="620" t="s">
        <v>116</v>
      </c>
      <c r="S220" s="624" t="s">
        <v>3434</v>
      </c>
      <c r="T220" s="632" t="s">
        <v>1206</v>
      </c>
      <c r="U220" s="632"/>
      <c r="V220" s="633"/>
      <c r="W220" s="627">
        <v>44612</v>
      </c>
      <c r="X220" s="627">
        <v>44613</v>
      </c>
      <c r="Y220" s="627"/>
      <c r="Z220" s="627"/>
      <c r="AA220" s="627"/>
      <c r="AB220" s="628" t="s">
        <v>1395</v>
      </c>
      <c r="AC220" s="615" t="s">
        <v>64</v>
      </c>
      <c r="AD220" s="629" t="s">
        <v>154</v>
      </c>
      <c r="AE220" s="629" t="s">
        <v>1330</v>
      </c>
      <c r="AF220" s="629"/>
      <c r="AG220" s="629">
        <v>44554</v>
      </c>
      <c r="AH220" s="629"/>
      <c r="AI220" s="629">
        <f t="shared" ca="1" si="25"/>
        <v>44963</v>
      </c>
      <c r="AJ220" s="615">
        <f t="shared" ca="1" si="26"/>
        <v>409</v>
      </c>
      <c r="AK220" s="615" t="str">
        <f t="shared" si="28"/>
        <v/>
      </c>
      <c r="AL220" s="629"/>
      <c r="AM220" s="617" t="s">
        <v>1396</v>
      </c>
      <c r="AN220" s="620">
        <v>10.210000000000001</v>
      </c>
      <c r="AO220" s="620">
        <v>10.220000000000001</v>
      </c>
      <c r="AP220" s="620">
        <v>10.244999999999999</v>
      </c>
      <c r="AQ220" s="620">
        <v>10.25</v>
      </c>
      <c r="AR220" s="615">
        <f t="shared" ca="1" si="29"/>
        <v>350</v>
      </c>
      <c r="AU220" s="614" t="s">
        <v>136</v>
      </c>
    </row>
    <row r="221" spans="1:47" s="583" customFormat="1" ht="21" customHeight="1" x14ac:dyDescent="0.35">
      <c r="A221" s="583">
        <v>424</v>
      </c>
      <c r="B221" s="584" t="str">
        <f t="shared" si="27"/>
        <v>0-304L/2B-002X764</v>
      </c>
      <c r="C221" s="584" t="s">
        <v>3432</v>
      </c>
      <c r="D221" s="584" t="s">
        <v>63</v>
      </c>
      <c r="E221" s="586" t="s">
        <v>2876</v>
      </c>
      <c r="F221" s="586" t="s">
        <v>3435</v>
      </c>
      <c r="G221" s="584" t="s">
        <v>230</v>
      </c>
      <c r="H221" s="584" t="s">
        <v>116</v>
      </c>
      <c r="I221" s="587">
        <v>3.78</v>
      </c>
      <c r="J221" s="587">
        <v>1.5</v>
      </c>
      <c r="K221" s="719">
        <v>1.47</v>
      </c>
      <c r="L221" s="719">
        <v>1.49</v>
      </c>
      <c r="M221" s="723">
        <v>764</v>
      </c>
      <c r="N221" s="819"/>
      <c r="O221" s="589">
        <v>5.67</v>
      </c>
      <c r="P221" s="589"/>
      <c r="Q221" s="589"/>
      <c r="R221" s="589" t="s">
        <v>116</v>
      </c>
      <c r="S221" s="593"/>
      <c r="T221" s="721" t="s">
        <v>1206</v>
      </c>
      <c r="U221" s="721"/>
      <c r="V221" s="722" t="s">
        <v>3436</v>
      </c>
      <c r="W221" s="596">
        <v>44612</v>
      </c>
      <c r="X221" s="596">
        <v>44613</v>
      </c>
      <c r="Y221" s="596">
        <v>44614</v>
      </c>
      <c r="Z221" s="596"/>
      <c r="AA221" s="596"/>
      <c r="AB221" s="597" t="s">
        <v>1395</v>
      </c>
      <c r="AC221" s="584" t="s">
        <v>64</v>
      </c>
      <c r="AD221" s="598" t="s">
        <v>154</v>
      </c>
      <c r="AE221" s="598" t="s">
        <v>1330</v>
      </c>
      <c r="AF221" s="598"/>
      <c r="AG221" s="598">
        <v>44554</v>
      </c>
      <c r="AH221" s="598"/>
      <c r="AI221" s="598">
        <f t="shared" ca="1" si="25"/>
        <v>44963</v>
      </c>
      <c r="AJ221" s="584">
        <f t="shared" ca="1" si="26"/>
        <v>409</v>
      </c>
      <c r="AK221" s="584">
        <f t="shared" ca="1" si="28"/>
        <v>349</v>
      </c>
      <c r="AL221" s="598"/>
      <c r="AM221" s="586" t="s">
        <v>1396</v>
      </c>
      <c r="AN221" s="589">
        <v>10.210000000000001</v>
      </c>
      <c r="AO221" s="589">
        <v>10.220000000000001</v>
      </c>
      <c r="AP221" s="589">
        <v>10.244999999999999</v>
      </c>
      <c r="AQ221" s="589">
        <v>10.25</v>
      </c>
      <c r="AR221" s="584">
        <f t="shared" ca="1" si="29"/>
        <v>350</v>
      </c>
      <c r="AU221" s="583" t="s">
        <v>136</v>
      </c>
    </row>
    <row r="222" spans="1:47" s="99" customFormat="1" ht="21" customHeight="1" x14ac:dyDescent="0.35">
      <c r="A222" s="99">
        <v>422</v>
      </c>
      <c r="B222" s="126" t="str">
        <f t="shared" si="27"/>
        <v>0-304L/2B-001X765</v>
      </c>
      <c r="C222" s="126" t="s">
        <v>3432</v>
      </c>
      <c r="D222" s="126" t="s">
        <v>358</v>
      </c>
      <c r="E222" s="143" t="s">
        <v>1351</v>
      </c>
      <c r="F222" s="143" t="s">
        <v>1352</v>
      </c>
      <c r="G222" s="126" t="s">
        <v>230</v>
      </c>
      <c r="H222" s="126" t="s">
        <v>116</v>
      </c>
      <c r="I222" s="127">
        <v>2.9</v>
      </c>
      <c r="J222" s="127">
        <v>0.95</v>
      </c>
      <c r="K222" s="149">
        <v>0.95</v>
      </c>
      <c r="L222" s="149">
        <v>0.97</v>
      </c>
      <c r="M222" s="144">
        <v>765</v>
      </c>
      <c r="N222" s="129">
        <v>8.7100000000000009</v>
      </c>
      <c r="O222" s="129">
        <v>8.6950000000000003</v>
      </c>
      <c r="P222" s="129"/>
      <c r="Q222" s="129"/>
      <c r="R222" s="129" t="s">
        <v>116</v>
      </c>
      <c r="S222" s="284"/>
      <c r="T222" s="130" t="s">
        <v>446</v>
      </c>
      <c r="U222" s="130"/>
      <c r="V222" s="131"/>
      <c r="W222" s="132">
        <v>44612</v>
      </c>
      <c r="X222" s="132">
        <v>44612</v>
      </c>
      <c r="Y222" s="132">
        <v>44614</v>
      </c>
      <c r="Z222" s="132"/>
      <c r="AA222" s="132"/>
      <c r="AB222" s="133"/>
      <c r="AC222" s="126" t="s">
        <v>64</v>
      </c>
      <c r="AD222" s="134" t="s">
        <v>154</v>
      </c>
      <c r="AE222" s="134" t="s">
        <v>1330</v>
      </c>
      <c r="AF222" s="134"/>
      <c r="AG222" s="134">
        <v>44516</v>
      </c>
      <c r="AH222" s="134"/>
      <c r="AI222" s="134">
        <f t="shared" ca="1" si="25"/>
        <v>44963</v>
      </c>
      <c r="AJ222" s="126">
        <f t="shared" ca="1" si="26"/>
        <v>447</v>
      </c>
      <c r="AK222" s="126">
        <f t="shared" ca="1" si="28"/>
        <v>349</v>
      </c>
      <c r="AL222" s="134"/>
      <c r="AM222" s="143" t="s">
        <v>1350</v>
      </c>
      <c r="AN222" s="129">
        <v>8.7149999999999999</v>
      </c>
      <c r="AO222" s="129">
        <v>8.7249999999999996</v>
      </c>
      <c r="AP222" s="129">
        <v>8.7499999999999982</v>
      </c>
      <c r="AQ222" s="129">
        <v>8.754999999999999</v>
      </c>
      <c r="AR222" s="126">
        <f t="shared" ca="1" si="29"/>
        <v>351</v>
      </c>
      <c r="AU222" s="99" t="s">
        <v>136</v>
      </c>
    </row>
    <row r="223" spans="1:47" s="99" customFormat="1" ht="21" customHeight="1" x14ac:dyDescent="0.35">
      <c r="A223" s="99">
        <v>422</v>
      </c>
      <c r="B223" s="126" t="str">
        <f t="shared" si="27"/>
        <v>0-304/2B-001X770</v>
      </c>
      <c r="C223" s="126" t="s">
        <v>3432</v>
      </c>
      <c r="D223" s="126" t="s">
        <v>358</v>
      </c>
      <c r="E223" s="143" t="s">
        <v>1321</v>
      </c>
      <c r="F223" s="143" t="s">
        <v>1322</v>
      </c>
      <c r="G223" s="126">
        <v>304</v>
      </c>
      <c r="H223" s="126" t="s">
        <v>116</v>
      </c>
      <c r="I223" s="127">
        <v>3.79</v>
      </c>
      <c r="J223" s="127">
        <v>1.4</v>
      </c>
      <c r="K223" s="149">
        <v>1.38</v>
      </c>
      <c r="L223" s="149">
        <v>1.4</v>
      </c>
      <c r="M223" s="144">
        <v>770</v>
      </c>
      <c r="N223" s="129">
        <v>10.445</v>
      </c>
      <c r="O223" s="129">
        <v>10.42</v>
      </c>
      <c r="P223" s="129"/>
      <c r="Q223" s="129"/>
      <c r="R223" s="129" t="s">
        <v>116</v>
      </c>
      <c r="S223" s="284"/>
      <c r="T223" s="130" t="s">
        <v>412</v>
      </c>
      <c r="U223" s="130"/>
      <c r="V223" s="131"/>
      <c r="W223" s="132">
        <v>44570</v>
      </c>
      <c r="X223" s="132">
        <v>44570</v>
      </c>
      <c r="Y223" s="132">
        <v>44614</v>
      </c>
      <c r="Z223" s="132"/>
      <c r="AA223" s="132"/>
      <c r="AB223" s="133"/>
      <c r="AC223" s="126" t="s">
        <v>64</v>
      </c>
      <c r="AD223" s="134" t="s">
        <v>154</v>
      </c>
      <c r="AE223" s="134" t="s">
        <v>1296</v>
      </c>
      <c r="AF223" s="134"/>
      <c r="AG223" s="134">
        <v>44516</v>
      </c>
      <c r="AH223" s="134"/>
      <c r="AI223" s="134">
        <f t="shared" ca="1" si="25"/>
        <v>44963</v>
      </c>
      <c r="AJ223" s="126">
        <f t="shared" ca="1" si="26"/>
        <v>447</v>
      </c>
      <c r="AK223" s="126">
        <f t="shared" ca="1" si="28"/>
        <v>349</v>
      </c>
      <c r="AL223" s="134"/>
      <c r="AM223" s="143" t="s">
        <v>1323</v>
      </c>
      <c r="AN223" s="129">
        <v>10.44</v>
      </c>
      <c r="AO223" s="129">
        <v>10.45</v>
      </c>
      <c r="AP223" s="129">
        <v>10.474999999999998</v>
      </c>
      <c r="AQ223" s="129">
        <v>10.479999999999999</v>
      </c>
      <c r="AR223" s="126">
        <f t="shared" ca="1" si="29"/>
        <v>393</v>
      </c>
      <c r="AU223" s="99" t="s">
        <v>136</v>
      </c>
    </row>
    <row r="224" spans="1:47" s="99" customFormat="1" ht="21" customHeight="1" x14ac:dyDescent="0.35">
      <c r="A224" s="99">
        <v>395</v>
      </c>
      <c r="B224" s="126" t="str">
        <f t="shared" si="27"/>
        <v>0-J3/2B-001X600</v>
      </c>
      <c r="C224" s="126" t="s">
        <v>3437</v>
      </c>
      <c r="D224" s="126" t="s">
        <v>358</v>
      </c>
      <c r="E224" s="143" t="s">
        <v>712</v>
      </c>
      <c r="F224" s="143" t="s">
        <v>713</v>
      </c>
      <c r="G224" s="126" t="s">
        <v>29</v>
      </c>
      <c r="H224" s="126" t="s">
        <v>116</v>
      </c>
      <c r="I224" s="127">
        <v>2.4</v>
      </c>
      <c r="J224" s="127">
        <v>1.1000000000000001</v>
      </c>
      <c r="K224" s="149">
        <v>1.0900000000000001</v>
      </c>
      <c r="L224" s="149">
        <v>1.1100000000000001</v>
      </c>
      <c r="M224" s="144">
        <v>600</v>
      </c>
      <c r="N224" s="129">
        <v>9.65</v>
      </c>
      <c r="O224" s="129">
        <v>9.6300000000000008</v>
      </c>
      <c r="P224" s="129"/>
      <c r="Q224" s="129"/>
      <c r="R224" s="129" t="s">
        <v>116</v>
      </c>
      <c r="S224" s="284"/>
      <c r="T224" s="130" t="s">
        <v>412</v>
      </c>
      <c r="U224" s="130"/>
      <c r="V224" s="131"/>
      <c r="W224" s="132">
        <v>44571</v>
      </c>
      <c r="X224" s="132">
        <v>44571</v>
      </c>
      <c r="Y224" s="132">
        <v>44615</v>
      </c>
      <c r="Z224" s="132"/>
      <c r="AA224" s="132"/>
      <c r="AB224" s="133"/>
      <c r="AC224" s="126" t="s">
        <v>64</v>
      </c>
      <c r="AD224" s="134" t="s">
        <v>468</v>
      </c>
      <c r="AE224" s="134"/>
      <c r="AF224" s="134"/>
      <c r="AG224" s="134">
        <v>44370</v>
      </c>
      <c r="AH224" s="134"/>
      <c r="AI224" s="134">
        <f t="shared" ca="1" si="25"/>
        <v>44963</v>
      </c>
      <c r="AJ224" s="126">
        <f t="shared" ref="AJ224:AJ242" ca="1" si="30">IF(AG224&lt;&gt;0,AI224-AG224,0)</f>
        <v>593</v>
      </c>
      <c r="AK224" s="126">
        <f t="shared" ca="1" si="28"/>
        <v>348</v>
      </c>
      <c r="AL224" s="134" t="s">
        <v>686</v>
      </c>
      <c r="AM224" s="143" t="s">
        <v>714</v>
      </c>
      <c r="AN224" s="129">
        <v>9.67</v>
      </c>
      <c r="AO224" s="129">
        <v>9.7099999999999991</v>
      </c>
      <c r="AP224" s="129">
        <v>9.7349999999999977</v>
      </c>
      <c r="AQ224" s="129">
        <v>9.7399999999999984</v>
      </c>
      <c r="AR224" s="126">
        <f t="shared" ca="1" si="29"/>
        <v>392</v>
      </c>
      <c r="AU224" s="99" t="s">
        <v>136</v>
      </c>
    </row>
    <row r="225" spans="1:59" s="99" customFormat="1" ht="21" customHeight="1" x14ac:dyDescent="0.35">
      <c r="A225" s="99">
        <v>394</v>
      </c>
      <c r="B225" s="126" t="str">
        <f t="shared" si="27"/>
        <v>0-J3/2B-001X595</v>
      </c>
      <c r="C225" s="126" t="s">
        <v>3437</v>
      </c>
      <c r="D225" s="126" t="s">
        <v>358</v>
      </c>
      <c r="E225" s="143" t="s">
        <v>633</v>
      </c>
      <c r="F225" s="143" t="s">
        <v>634</v>
      </c>
      <c r="G225" s="126" t="s">
        <v>29</v>
      </c>
      <c r="H225" s="126" t="s">
        <v>116</v>
      </c>
      <c r="I225" s="127">
        <v>2.4</v>
      </c>
      <c r="J225" s="127">
        <v>1.1000000000000001</v>
      </c>
      <c r="K225" s="149">
        <v>1.0900000000000001</v>
      </c>
      <c r="L225" s="149">
        <v>1.1200000000000001</v>
      </c>
      <c r="M225" s="144">
        <v>595</v>
      </c>
      <c r="N225" s="129">
        <v>8.17</v>
      </c>
      <c r="O225" s="129">
        <v>8.15</v>
      </c>
      <c r="P225" s="129"/>
      <c r="Q225" s="129"/>
      <c r="R225" s="129" t="s">
        <v>116</v>
      </c>
      <c r="S225" s="284"/>
      <c r="T225" s="130" t="s">
        <v>412</v>
      </c>
      <c r="U225" s="130"/>
      <c r="V225" s="131"/>
      <c r="W225" s="132">
        <v>44570</v>
      </c>
      <c r="X225" s="132">
        <v>44570</v>
      </c>
      <c r="Y225" s="132">
        <v>44615</v>
      </c>
      <c r="Z225" s="132"/>
      <c r="AA225" s="132"/>
      <c r="AB225" s="133"/>
      <c r="AC225" s="126" t="s">
        <v>64</v>
      </c>
      <c r="AD225" s="134" t="s">
        <v>322</v>
      </c>
      <c r="AE225" s="134" t="s">
        <v>635</v>
      </c>
      <c r="AF225" s="134">
        <v>44315</v>
      </c>
      <c r="AG225" s="134">
        <v>44352</v>
      </c>
      <c r="AH225" s="134"/>
      <c r="AI225" s="134">
        <f t="shared" ca="1" si="25"/>
        <v>44963</v>
      </c>
      <c r="AJ225" s="126">
        <f t="shared" ca="1" si="30"/>
        <v>611</v>
      </c>
      <c r="AK225" s="126">
        <f t="shared" ca="1" si="28"/>
        <v>348</v>
      </c>
      <c r="AL225" s="134" t="s">
        <v>636</v>
      </c>
      <c r="AM225" s="143" t="s">
        <v>637</v>
      </c>
      <c r="AN225" s="129">
        <v>8.1809999999999992</v>
      </c>
      <c r="AO225" s="129">
        <v>8.2209999999999983</v>
      </c>
      <c r="AP225" s="129">
        <v>8.2459999999999969</v>
      </c>
      <c r="AQ225" s="129">
        <v>8.2509999999999977</v>
      </c>
      <c r="AR225" s="126">
        <f t="shared" ca="1" si="29"/>
        <v>393</v>
      </c>
      <c r="AU225" s="99" t="s">
        <v>136</v>
      </c>
    </row>
    <row r="226" spans="1:59" s="99" customFormat="1" ht="21" customHeight="1" x14ac:dyDescent="0.35">
      <c r="A226" s="99">
        <v>400</v>
      </c>
      <c r="B226" s="126" t="str">
        <f t="shared" si="27"/>
        <v>0-J3/2B-001X620</v>
      </c>
      <c r="C226" s="126" t="s">
        <v>3437</v>
      </c>
      <c r="D226" s="126" t="s">
        <v>358</v>
      </c>
      <c r="E226" s="143" t="s">
        <v>748</v>
      </c>
      <c r="F226" s="143" t="s">
        <v>749</v>
      </c>
      <c r="G226" s="126" t="s">
        <v>29</v>
      </c>
      <c r="H226" s="126" t="s">
        <v>116</v>
      </c>
      <c r="I226" s="127">
        <v>2.2000000000000002</v>
      </c>
      <c r="J226" s="127">
        <v>0.75</v>
      </c>
      <c r="K226" s="149">
        <v>0.74</v>
      </c>
      <c r="L226" s="149">
        <v>0.75</v>
      </c>
      <c r="M226" s="144">
        <v>620</v>
      </c>
      <c r="N226" s="129">
        <v>9.9849999999999994</v>
      </c>
      <c r="O226" s="129">
        <v>9.9649999999999999</v>
      </c>
      <c r="P226" s="129"/>
      <c r="Q226" s="129"/>
      <c r="R226" s="129" t="s">
        <v>116</v>
      </c>
      <c r="S226" s="284"/>
      <c r="T226" s="130" t="s">
        <v>412</v>
      </c>
      <c r="U226" s="130" t="s">
        <v>291</v>
      </c>
      <c r="V226" s="131"/>
      <c r="W226" s="132">
        <v>44430</v>
      </c>
      <c r="X226" s="132">
        <v>44430</v>
      </c>
      <c r="Y226" s="132">
        <v>44615</v>
      </c>
      <c r="Z226" s="132"/>
      <c r="AA226" s="132"/>
      <c r="AB226" s="133"/>
      <c r="AC226" s="126" t="s">
        <v>64</v>
      </c>
      <c r="AD226" s="134" t="s">
        <v>322</v>
      </c>
      <c r="AE226" s="134"/>
      <c r="AF226" s="134"/>
      <c r="AG226" s="134">
        <v>44384</v>
      </c>
      <c r="AH226" s="134"/>
      <c r="AI226" s="134">
        <f t="shared" ca="1" si="25"/>
        <v>44963</v>
      </c>
      <c r="AJ226" s="126">
        <f t="shared" ca="1" si="30"/>
        <v>579</v>
      </c>
      <c r="AK226" s="126">
        <f t="shared" ca="1" si="28"/>
        <v>348</v>
      </c>
      <c r="AL226" s="134" t="s">
        <v>746</v>
      </c>
      <c r="AM226" s="143" t="s">
        <v>747</v>
      </c>
      <c r="AN226" s="129">
        <v>10.01</v>
      </c>
      <c r="AO226" s="129">
        <v>10.049999999999999</v>
      </c>
      <c r="AP226" s="129">
        <v>10.074999999999998</v>
      </c>
      <c r="AQ226" s="129">
        <v>10.079999999999998</v>
      </c>
      <c r="AR226" s="126">
        <f t="shared" ca="1" si="29"/>
        <v>533</v>
      </c>
      <c r="AU226" s="99" t="s">
        <v>136</v>
      </c>
      <c r="BG226" s="99" t="s">
        <v>750</v>
      </c>
    </row>
    <row r="227" spans="1:59" s="583" customFormat="1" ht="21" customHeight="1" x14ac:dyDescent="0.35">
      <c r="A227" s="583">
        <v>380</v>
      </c>
      <c r="B227" s="584" t="str">
        <f t="shared" si="27"/>
        <v>0-J3/2B-001X595</v>
      </c>
      <c r="C227" s="584" t="s">
        <v>3437</v>
      </c>
      <c r="D227" s="584" t="s">
        <v>63</v>
      </c>
      <c r="E227" s="586" t="s">
        <v>444</v>
      </c>
      <c r="F227" s="586" t="s">
        <v>445</v>
      </c>
      <c r="G227" s="584" t="s">
        <v>29</v>
      </c>
      <c r="H227" s="584" t="s">
        <v>116</v>
      </c>
      <c r="I227" s="587">
        <v>2.4</v>
      </c>
      <c r="J227" s="587">
        <v>1.1200000000000001</v>
      </c>
      <c r="K227" s="719">
        <v>1.1299999999999999</v>
      </c>
      <c r="L227" s="719">
        <v>1.1599999999999999</v>
      </c>
      <c r="M227" s="723">
        <v>595</v>
      </c>
      <c r="N227" s="589">
        <v>8.08</v>
      </c>
      <c r="O227" s="589">
        <v>8.07</v>
      </c>
      <c r="P227" s="589"/>
      <c r="Q227" s="589"/>
      <c r="R227" s="589" t="s">
        <v>116</v>
      </c>
      <c r="S227" s="593"/>
      <c r="T227" s="721" t="s">
        <v>412</v>
      </c>
      <c r="U227" s="721" t="s">
        <v>446</v>
      </c>
      <c r="V227" s="722" t="s">
        <v>447</v>
      </c>
      <c r="W227" s="596">
        <v>44553</v>
      </c>
      <c r="X227" s="596">
        <v>44553</v>
      </c>
      <c r="Y227" s="596">
        <v>44615</v>
      </c>
      <c r="Z227" s="596"/>
      <c r="AA227" s="596"/>
      <c r="AB227" s="597"/>
      <c r="AC227" s="584" t="s">
        <v>64</v>
      </c>
      <c r="AD227" s="598" t="s">
        <v>322</v>
      </c>
      <c r="AE227" s="598"/>
      <c r="AF227" s="598"/>
      <c r="AG227" s="598">
        <v>44309</v>
      </c>
      <c r="AH227" s="598"/>
      <c r="AI227" s="598">
        <f t="shared" ca="1" si="25"/>
        <v>44963</v>
      </c>
      <c r="AJ227" s="584">
        <f t="shared" ca="1" si="30"/>
        <v>654</v>
      </c>
      <c r="AK227" s="584">
        <f t="shared" ca="1" si="28"/>
        <v>348</v>
      </c>
      <c r="AL227" s="598" t="s">
        <v>448</v>
      </c>
      <c r="AM227" s="586" t="s">
        <v>449</v>
      </c>
      <c r="AN227" s="589">
        <v>8.09</v>
      </c>
      <c r="AO227" s="589">
        <v>8.129999999999999</v>
      </c>
      <c r="AP227" s="589">
        <v>8.1549999999999976</v>
      </c>
      <c r="AQ227" s="589">
        <v>8.1599999999999984</v>
      </c>
      <c r="AR227" s="584">
        <f t="shared" ca="1" si="29"/>
        <v>410</v>
      </c>
      <c r="AU227" s="583" t="s">
        <v>136</v>
      </c>
    </row>
    <row r="228" spans="1:59" s="99" customFormat="1" ht="21" customHeight="1" x14ac:dyDescent="0.35">
      <c r="A228" s="99">
        <v>422</v>
      </c>
      <c r="B228" s="126" t="str">
        <f t="shared" si="27"/>
        <v>0-304L/2B-001X767</v>
      </c>
      <c r="C228" s="126" t="s">
        <v>3438</v>
      </c>
      <c r="D228" s="126" t="s">
        <v>3026</v>
      </c>
      <c r="E228" s="143" t="s">
        <v>2886</v>
      </c>
      <c r="F228" s="143" t="s">
        <v>3439</v>
      </c>
      <c r="G228" s="126" t="s">
        <v>230</v>
      </c>
      <c r="H228" s="126" t="s">
        <v>116</v>
      </c>
      <c r="I228" s="127">
        <v>2.89</v>
      </c>
      <c r="J228" s="127">
        <v>0.9</v>
      </c>
      <c r="K228" s="149">
        <v>0.9</v>
      </c>
      <c r="L228" s="149">
        <v>0.92</v>
      </c>
      <c r="M228" s="144">
        <v>767</v>
      </c>
      <c r="N228" s="129">
        <v>10.404999999999999</v>
      </c>
      <c r="O228" s="129">
        <f>6.13+4.23</f>
        <v>10.36</v>
      </c>
      <c r="P228" s="129"/>
      <c r="Q228" s="129"/>
      <c r="R228" s="129" t="s">
        <v>116</v>
      </c>
      <c r="S228" s="284" t="s">
        <v>3422</v>
      </c>
      <c r="T228" s="130" t="s">
        <v>1206</v>
      </c>
      <c r="U228" s="130"/>
      <c r="V228" s="131"/>
      <c r="W228" s="132">
        <v>44614</v>
      </c>
      <c r="X228" s="132">
        <v>44615</v>
      </c>
      <c r="Y228" s="132"/>
      <c r="Z228" s="132"/>
      <c r="AA228" s="132"/>
      <c r="AB228" s="133"/>
      <c r="AC228" s="126" t="s">
        <v>64</v>
      </c>
      <c r="AD228" s="134" t="s">
        <v>154</v>
      </c>
      <c r="AE228" s="134" t="s">
        <v>1330</v>
      </c>
      <c r="AF228" s="134"/>
      <c r="AG228" s="134">
        <v>44516</v>
      </c>
      <c r="AH228" s="134"/>
      <c r="AI228" s="134">
        <f t="shared" ca="1" si="25"/>
        <v>44963</v>
      </c>
      <c r="AJ228" s="126">
        <f t="shared" ca="1" si="30"/>
        <v>447</v>
      </c>
      <c r="AK228" s="126" t="str">
        <f t="shared" si="28"/>
        <v/>
      </c>
      <c r="AL228" s="134"/>
      <c r="AM228" s="143" t="s">
        <v>2888</v>
      </c>
      <c r="AN228" s="129">
        <v>10.395</v>
      </c>
      <c r="AO228" s="129">
        <v>10.404999999999999</v>
      </c>
      <c r="AP228" s="129">
        <v>10.429999999999998</v>
      </c>
      <c r="AQ228" s="129">
        <v>10.434999999999999</v>
      </c>
      <c r="AR228" s="126">
        <f t="shared" ca="1" si="29"/>
        <v>348</v>
      </c>
      <c r="AU228" s="99" t="s">
        <v>136</v>
      </c>
    </row>
    <row r="229" spans="1:59" s="99" customFormat="1" ht="21" customHeight="1" x14ac:dyDescent="0.35">
      <c r="A229" s="99">
        <v>421</v>
      </c>
      <c r="B229" s="126" t="str">
        <f t="shared" si="27"/>
        <v>0-304L/2B-001X770</v>
      </c>
      <c r="C229" s="126" t="s">
        <v>3438</v>
      </c>
      <c r="D229" s="126" t="s">
        <v>3026</v>
      </c>
      <c r="E229" s="143" t="s">
        <v>2889</v>
      </c>
      <c r="F229" s="143" t="s">
        <v>3440</v>
      </c>
      <c r="G229" s="126" t="s">
        <v>230</v>
      </c>
      <c r="H229" s="126" t="s">
        <v>116</v>
      </c>
      <c r="I229" s="127">
        <v>3.5</v>
      </c>
      <c r="J229" s="127">
        <v>1.2</v>
      </c>
      <c r="K229" s="149">
        <v>1.17</v>
      </c>
      <c r="L229" s="149">
        <v>1.19</v>
      </c>
      <c r="M229" s="144">
        <v>770</v>
      </c>
      <c r="N229" s="129">
        <v>8.9450000000000003</v>
      </c>
      <c r="O229" s="129">
        <f>4.74+4.16</f>
        <v>8.9</v>
      </c>
      <c r="P229" s="129"/>
      <c r="Q229" s="129"/>
      <c r="R229" s="129" t="s">
        <v>116</v>
      </c>
      <c r="S229" s="284" t="s">
        <v>3441</v>
      </c>
      <c r="T229" s="130" t="s">
        <v>1206</v>
      </c>
      <c r="U229" s="130"/>
      <c r="V229" s="131"/>
      <c r="W229" s="132">
        <v>44614</v>
      </c>
      <c r="X229" s="132">
        <v>44614</v>
      </c>
      <c r="Y229" s="132"/>
      <c r="Z229" s="132"/>
      <c r="AA229" s="132"/>
      <c r="AB229" s="133"/>
      <c r="AC229" s="126" t="s">
        <v>64</v>
      </c>
      <c r="AD229" s="134" t="s">
        <v>154</v>
      </c>
      <c r="AE229" s="134" t="s">
        <v>1246</v>
      </c>
      <c r="AF229" s="134"/>
      <c r="AG229" s="134">
        <v>44496</v>
      </c>
      <c r="AH229" s="134"/>
      <c r="AI229" s="134">
        <f t="shared" ca="1" si="25"/>
        <v>44963</v>
      </c>
      <c r="AJ229" s="126">
        <f t="shared" ca="1" si="30"/>
        <v>467</v>
      </c>
      <c r="AK229" s="126" t="str">
        <f t="shared" si="28"/>
        <v/>
      </c>
      <c r="AL229" s="134"/>
      <c r="AM229" s="143" t="s">
        <v>2801</v>
      </c>
      <c r="AN229" s="129">
        <v>8.93</v>
      </c>
      <c r="AO229" s="129">
        <v>8.94</v>
      </c>
      <c r="AP229" s="129">
        <v>8.9649999999999981</v>
      </c>
      <c r="AQ229" s="129">
        <v>8.9699999999999989</v>
      </c>
      <c r="AR229" s="126">
        <f t="shared" ca="1" si="29"/>
        <v>349</v>
      </c>
      <c r="AU229" s="99" t="s">
        <v>136</v>
      </c>
    </row>
    <row r="230" spans="1:59" s="583" customFormat="1" ht="21" customHeight="1" x14ac:dyDescent="0.35">
      <c r="A230" s="583">
        <v>421</v>
      </c>
      <c r="B230" s="584" t="str">
        <f t="shared" si="27"/>
        <v>0-304L/2B-001X770</v>
      </c>
      <c r="C230" s="584" t="s">
        <v>3437</v>
      </c>
      <c r="D230" s="584" t="s">
        <v>358</v>
      </c>
      <c r="E230" s="586" t="s">
        <v>1269</v>
      </c>
      <c r="F230" s="586" t="s">
        <v>2909</v>
      </c>
      <c r="G230" s="584" t="s">
        <v>230</v>
      </c>
      <c r="H230" s="584" t="s">
        <v>116</v>
      </c>
      <c r="I230" s="587">
        <v>1.2</v>
      </c>
      <c r="J230" s="587">
        <v>0.6</v>
      </c>
      <c r="K230" s="719">
        <v>0.6</v>
      </c>
      <c r="L230" s="719">
        <v>0.62</v>
      </c>
      <c r="M230" s="723">
        <v>770</v>
      </c>
      <c r="N230" s="589">
        <v>8.17</v>
      </c>
      <c r="O230" s="589">
        <v>8.15</v>
      </c>
      <c r="P230" s="589"/>
      <c r="Q230" s="589"/>
      <c r="R230" s="589" t="s">
        <v>116</v>
      </c>
      <c r="S230" s="593"/>
      <c r="T230" s="721" t="s">
        <v>1206</v>
      </c>
      <c r="U230" s="721"/>
      <c r="V230" s="722"/>
      <c r="W230" s="596" t="s">
        <v>1272</v>
      </c>
      <c r="X230" s="596" t="s">
        <v>1273</v>
      </c>
      <c r="Y230" s="596" t="s">
        <v>1274</v>
      </c>
      <c r="Z230" s="596"/>
      <c r="AA230" s="596"/>
      <c r="AB230" s="597"/>
      <c r="AC230" s="584" t="s">
        <v>64</v>
      </c>
      <c r="AD230" s="598" t="s">
        <v>154</v>
      </c>
      <c r="AE230" s="598" t="s">
        <v>1267</v>
      </c>
      <c r="AF230" s="598"/>
      <c r="AG230" s="598">
        <v>44496</v>
      </c>
      <c r="AH230" s="598"/>
      <c r="AI230" s="598">
        <f t="shared" ca="1" si="25"/>
        <v>44963</v>
      </c>
      <c r="AJ230" s="584">
        <f t="shared" ca="1" si="30"/>
        <v>467</v>
      </c>
      <c r="AK230" s="584" t="e">
        <f t="shared" ca="1" si="28"/>
        <v>#VALUE!</v>
      </c>
      <c r="AL230" s="598"/>
      <c r="AM230" s="586" t="s">
        <v>1275</v>
      </c>
      <c r="AN230" s="589">
        <v>10.52</v>
      </c>
      <c r="AO230" s="589">
        <v>10.53</v>
      </c>
      <c r="AP230" s="589">
        <v>10.554999999999998</v>
      </c>
      <c r="AQ230" s="589">
        <v>10.559999999999999</v>
      </c>
      <c r="AR230" s="584" t="e">
        <f t="shared" ca="1" si="29"/>
        <v>#VALUE!</v>
      </c>
      <c r="AU230" s="583" t="s">
        <v>136</v>
      </c>
      <c r="BG230" s="583" t="s">
        <v>699</v>
      </c>
    </row>
    <row r="231" spans="1:59" s="583" customFormat="1" ht="21" customHeight="1" x14ac:dyDescent="0.35">
      <c r="A231" s="583">
        <v>421</v>
      </c>
      <c r="B231" s="584" t="str">
        <f t="shared" si="27"/>
        <v>0-304L/2B-001X770</v>
      </c>
      <c r="C231" s="584" t="s">
        <v>3437</v>
      </c>
      <c r="D231" s="584" t="s">
        <v>63</v>
      </c>
      <c r="E231" s="586" t="s">
        <v>1269</v>
      </c>
      <c r="F231" s="586" t="s">
        <v>1270</v>
      </c>
      <c r="G231" s="584" t="s">
        <v>230</v>
      </c>
      <c r="H231" s="584" t="s">
        <v>116</v>
      </c>
      <c r="I231" s="587">
        <v>1.2</v>
      </c>
      <c r="J231" s="587">
        <v>0.6</v>
      </c>
      <c r="K231" s="719">
        <v>0.6</v>
      </c>
      <c r="L231" s="719">
        <v>0.62</v>
      </c>
      <c r="M231" s="723">
        <v>770</v>
      </c>
      <c r="N231" s="589">
        <v>2.3199999999999998</v>
      </c>
      <c r="O231" s="589">
        <v>2.3199999999999998</v>
      </c>
      <c r="P231" s="589"/>
      <c r="Q231" s="589"/>
      <c r="R231" s="589" t="s">
        <v>116</v>
      </c>
      <c r="S231" s="593"/>
      <c r="T231" s="721" t="s">
        <v>1206</v>
      </c>
      <c r="U231" s="721"/>
      <c r="V231" s="722" t="s">
        <v>1271</v>
      </c>
      <c r="W231" s="596" t="s">
        <v>1272</v>
      </c>
      <c r="X231" s="596" t="s">
        <v>1273</v>
      </c>
      <c r="Y231" s="596" t="s">
        <v>1274</v>
      </c>
      <c r="Z231" s="596"/>
      <c r="AA231" s="596"/>
      <c r="AB231" s="597"/>
      <c r="AC231" s="584" t="s">
        <v>64</v>
      </c>
      <c r="AD231" s="598" t="s">
        <v>154</v>
      </c>
      <c r="AE231" s="598" t="s">
        <v>1267</v>
      </c>
      <c r="AF231" s="598"/>
      <c r="AG231" s="598">
        <v>44496</v>
      </c>
      <c r="AH231" s="598"/>
      <c r="AI231" s="598">
        <f t="shared" ca="1" si="25"/>
        <v>44963</v>
      </c>
      <c r="AJ231" s="584">
        <f t="shared" ca="1" si="30"/>
        <v>467</v>
      </c>
      <c r="AK231" s="584" t="e">
        <f t="shared" ca="1" si="28"/>
        <v>#VALUE!</v>
      </c>
      <c r="AL231" s="598"/>
      <c r="AM231" s="586" t="s">
        <v>1275</v>
      </c>
      <c r="AN231" s="589">
        <v>10.52</v>
      </c>
      <c r="AO231" s="589">
        <v>10.53</v>
      </c>
      <c r="AP231" s="589">
        <v>10.554999999999998</v>
      </c>
      <c r="AQ231" s="589">
        <v>10.559999999999999</v>
      </c>
      <c r="AR231" s="584" t="e">
        <f t="shared" ca="1" si="29"/>
        <v>#VALUE!</v>
      </c>
      <c r="AU231" s="583" t="s">
        <v>136</v>
      </c>
      <c r="BG231" s="583" t="s">
        <v>699</v>
      </c>
    </row>
    <row r="232" spans="1:59" s="583" customFormat="1" ht="21" customHeight="1" x14ac:dyDescent="0.35">
      <c r="A232" s="583">
        <v>422</v>
      </c>
      <c r="B232" s="584" t="str">
        <f t="shared" si="27"/>
        <v>0-304L/2B-001X762</v>
      </c>
      <c r="C232" s="584" t="s">
        <v>3437</v>
      </c>
      <c r="D232" s="584" t="s">
        <v>63</v>
      </c>
      <c r="E232" s="586" t="s">
        <v>2856</v>
      </c>
      <c r="F232" s="586" t="s">
        <v>2857</v>
      </c>
      <c r="G232" s="584" t="s">
        <v>230</v>
      </c>
      <c r="H232" s="584" t="s">
        <v>116</v>
      </c>
      <c r="I232" s="587">
        <v>0.95</v>
      </c>
      <c r="J232" s="587">
        <v>0.5</v>
      </c>
      <c r="K232" s="719">
        <v>0.5</v>
      </c>
      <c r="L232" s="719">
        <v>0.5</v>
      </c>
      <c r="M232" s="723">
        <v>762</v>
      </c>
      <c r="N232" s="589">
        <v>10.105</v>
      </c>
      <c r="O232" s="589">
        <v>10.1</v>
      </c>
      <c r="P232" s="589"/>
      <c r="Q232" s="589"/>
      <c r="R232" s="589" t="s">
        <v>116</v>
      </c>
      <c r="S232" s="593"/>
      <c r="T232" s="721" t="s">
        <v>1206</v>
      </c>
      <c r="U232" s="721"/>
      <c r="V232" s="722" t="s">
        <v>3442</v>
      </c>
      <c r="W232" s="596" t="s">
        <v>2908</v>
      </c>
      <c r="X232" s="596" t="s">
        <v>2908</v>
      </c>
      <c r="Y232" s="596" t="s">
        <v>3443</v>
      </c>
      <c r="Z232" s="596">
        <v>44615</v>
      </c>
      <c r="AA232" s="596"/>
      <c r="AB232" s="597"/>
      <c r="AC232" s="584" t="s">
        <v>64</v>
      </c>
      <c r="AD232" s="598" t="s">
        <v>154</v>
      </c>
      <c r="AE232" s="598" t="s">
        <v>1330</v>
      </c>
      <c r="AF232" s="598"/>
      <c r="AG232" s="598">
        <v>44516</v>
      </c>
      <c r="AH232" s="598"/>
      <c r="AI232" s="598">
        <f t="shared" ca="1" si="25"/>
        <v>44963</v>
      </c>
      <c r="AJ232" s="584">
        <f t="shared" ca="1" si="30"/>
        <v>447</v>
      </c>
      <c r="AK232" s="584" t="e">
        <f t="shared" ca="1" si="28"/>
        <v>#VALUE!</v>
      </c>
      <c r="AL232" s="598"/>
      <c r="AM232" s="586" t="s">
        <v>2858</v>
      </c>
      <c r="AN232" s="589">
        <v>10.210000000000001</v>
      </c>
      <c r="AO232" s="589">
        <v>10.220000000000001</v>
      </c>
      <c r="AP232" s="589">
        <v>10.244999999999999</v>
      </c>
      <c r="AQ232" s="589">
        <v>10.25</v>
      </c>
      <c r="AR232" s="584" t="e">
        <f t="shared" ca="1" si="29"/>
        <v>#VALUE!</v>
      </c>
      <c r="AU232" s="583" t="s">
        <v>136</v>
      </c>
    </row>
    <row r="233" spans="1:59" s="99" customFormat="1" ht="21" customHeight="1" x14ac:dyDescent="0.35">
      <c r="A233" s="99">
        <v>421</v>
      </c>
      <c r="B233" s="126" t="str">
        <f t="shared" si="27"/>
        <v>0-304L/2B-001X770</v>
      </c>
      <c r="C233" s="126" t="s">
        <v>3437</v>
      </c>
      <c r="D233" s="126" t="s">
        <v>358</v>
      </c>
      <c r="E233" s="143" t="s">
        <v>2884</v>
      </c>
      <c r="F233" s="143" t="s">
        <v>2885</v>
      </c>
      <c r="G233" s="126" t="s">
        <v>230</v>
      </c>
      <c r="H233" s="126" t="s">
        <v>116</v>
      </c>
      <c r="I233" s="127">
        <v>2.88</v>
      </c>
      <c r="J233" s="127">
        <v>0.8</v>
      </c>
      <c r="K233" s="149">
        <v>0.78</v>
      </c>
      <c r="L233" s="149">
        <v>0.8</v>
      </c>
      <c r="M233" s="144">
        <v>770</v>
      </c>
      <c r="N233" s="129">
        <v>12.09</v>
      </c>
      <c r="O233" s="129">
        <v>12.085000000000001</v>
      </c>
      <c r="P233" s="129"/>
      <c r="Q233" s="129"/>
      <c r="R233" s="129" t="s">
        <v>116</v>
      </c>
      <c r="S233" s="284"/>
      <c r="T233" s="130" t="s">
        <v>1206</v>
      </c>
      <c r="U233" s="130"/>
      <c r="V233" s="131"/>
      <c r="W233" s="132">
        <v>44614</v>
      </c>
      <c r="X233" s="132">
        <v>44614</v>
      </c>
      <c r="Y233" s="132">
        <v>44615</v>
      </c>
      <c r="Z233" s="132"/>
      <c r="AA233" s="132"/>
      <c r="AB233" s="133"/>
      <c r="AC233" s="126" t="s">
        <v>64</v>
      </c>
      <c r="AD233" s="134" t="s">
        <v>154</v>
      </c>
      <c r="AE233" s="134" t="s">
        <v>1190</v>
      </c>
      <c r="AF233" s="134"/>
      <c r="AG233" s="134">
        <v>44496</v>
      </c>
      <c r="AH233" s="134"/>
      <c r="AI233" s="134">
        <f t="shared" ca="1" si="25"/>
        <v>44963</v>
      </c>
      <c r="AJ233" s="126">
        <f t="shared" ca="1" si="30"/>
        <v>467</v>
      </c>
      <c r="AK233" s="126">
        <f t="shared" ca="1" si="28"/>
        <v>348</v>
      </c>
      <c r="AL233" s="134"/>
      <c r="AM233" s="143" t="s">
        <v>2751</v>
      </c>
      <c r="AN233" s="129">
        <v>12.08</v>
      </c>
      <c r="AO233" s="129">
        <v>12.09</v>
      </c>
      <c r="AP233" s="129">
        <v>12.114999999999998</v>
      </c>
      <c r="AQ233" s="129">
        <v>12.12</v>
      </c>
      <c r="AR233" s="126">
        <f t="shared" ca="1" si="29"/>
        <v>349</v>
      </c>
      <c r="AU233" s="99" t="s">
        <v>136</v>
      </c>
    </row>
    <row r="234" spans="1:59" s="99" customFormat="1" ht="21" customHeight="1" x14ac:dyDescent="0.35">
      <c r="A234" s="99">
        <v>421</v>
      </c>
      <c r="B234" s="126" t="str">
        <f t="shared" si="27"/>
        <v>0-304L/2B-001X770</v>
      </c>
      <c r="C234" s="126" t="s">
        <v>3444</v>
      </c>
      <c r="D234" s="126" t="s">
        <v>3026</v>
      </c>
      <c r="E234" s="143" t="s">
        <v>2894</v>
      </c>
      <c r="F234" s="143" t="s">
        <v>3445</v>
      </c>
      <c r="G234" s="126" t="s">
        <v>230</v>
      </c>
      <c r="H234" s="126" t="s">
        <v>116</v>
      </c>
      <c r="I234" s="127">
        <v>2.91</v>
      </c>
      <c r="J234" s="127">
        <v>1</v>
      </c>
      <c r="K234" s="149">
        <v>0.95</v>
      </c>
      <c r="L234" s="149">
        <v>0.97</v>
      </c>
      <c r="M234" s="144">
        <v>770</v>
      </c>
      <c r="N234" s="129">
        <v>12.03</v>
      </c>
      <c r="O234" s="129">
        <f>4.025+4.02+3.885</f>
        <v>11.93</v>
      </c>
      <c r="P234" s="129">
        <v>0.03</v>
      </c>
      <c r="Q234" s="129"/>
      <c r="R234" s="129" t="s">
        <v>116</v>
      </c>
      <c r="S234" s="284" t="s">
        <v>3427</v>
      </c>
      <c r="T234" s="130" t="s">
        <v>1206</v>
      </c>
      <c r="U234" s="130"/>
      <c r="V234" s="131"/>
      <c r="W234" s="132">
        <v>44614</v>
      </c>
      <c r="X234" s="132">
        <v>44615</v>
      </c>
      <c r="Y234" s="132"/>
      <c r="Z234" s="132"/>
      <c r="AA234" s="132"/>
      <c r="AB234" s="133"/>
      <c r="AC234" s="126" t="s">
        <v>64</v>
      </c>
      <c r="AD234" s="134" t="s">
        <v>154</v>
      </c>
      <c r="AE234" s="134" t="s">
        <v>1190</v>
      </c>
      <c r="AF234" s="134"/>
      <c r="AG234" s="134">
        <v>44496</v>
      </c>
      <c r="AH234" s="134"/>
      <c r="AI234" s="134">
        <f t="shared" ca="1" si="25"/>
        <v>44963</v>
      </c>
      <c r="AJ234" s="126">
        <f t="shared" ca="1" si="30"/>
        <v>467</v>
      </c>
      <c r="AK234" s="126" t="str">
        <f t="shared" si="28"/>
        <v/>
      </c>
      <c r="AL234" s="134"/>
      <c r="AM234" s="143" t="s">
        <v>2896</v>
      </c>
      <c r="AN234" s="129">
        <v>11.994999999999999</v>
      </c>
      <c r="AO234" s="129">
        <v>12.005000000000001</v>
      </c>
      <c r="AP234" s="129">
        <v>12.03</v>
      </c>
      <c r="AQ234" s="129">
        <v>12.035</v>
      </c>
      <c r="AR234" s="126">
        <f t="shared" ca="1" si="29"/>
        <v>348</v>
      </c>
      <c r="AU234" s="99" t="s">
        <v>136</v>
      </c>
    </row>
    <row r="235" spans="1:59" s="583" customFormat="1" ht="21" customHeight="1" x14ac:dyDescent="0.35">
      <c r="A235" s="583">
        <v>421</v>
      </c>
      <c r="B235" s="584" t="str">
        <f t="shared" si="27"/>
        <v>0-304L/2B-001X770</v>
      </c>
      <c r="C235" s="584" t="s">
        <v>3446</v>
      </c>
      <c r="D235" s="584" t="s">
        <v>403</v>
      </c>
      <c r="E235" s="586" t="s">
        <v>1235</v>
      </c>
      <c r="F235" s="586" t="s">
        <v>2902</v>
      </c>
      <c r="G235" s="584" t="s">
        <v>230</v>
      </c>
      <c r="H235" s="584" t="s">
        <v>116</v>
      </c>
      <c r="I235" s="587">
        <v>2.79</v>
      </c>
      <c r="J235" s="587">
        <v>0.95</v>
      </c>
      <c r="K235" s="719">
        <v>0.94</v>
      </c>
      <c r="L235" s="719">
        <v>0.95</v>
      </c>
      <c r="M235" s="723">
        <v>770</v>
      </c>
      <c r="N235" s="589">
        <v>10.5</v>
      </c>
      <c r="O235" s="589">
        <v>10.48</v>
      </c>
      <c r="P235" s="589"/>
      <c r="Q235" s="589"/>
      <c r="R235" s="589" t="s">
        <v>116</v>
      </c>
      <c r="S235" s="593"/>
      <c r="T235" s="721" t="s">
        <v>1206</v>
      </c>
      <c r="U235" s="721"/>
      <c r="V235" s="722" t="s">
        <v>305</v>
      </c>
      <c r="W235" s="596">
        <v>44615</v>
      </c>
      <c r="X235" s="596">
        <v>44615</v>
      </c>
      <c r="Y235" s="596">
        <v>44616</v>
      </c>
      <c r="Z235" s="596"/>
      <c r="AA235" s="596"/>
      <c r="AB235" s="597"/>
      <c r="AC235" s="584" t="s">
        <v>64</v>
      </c>
      <c r="AD235" s="598" t="s">
        <v>154</v>
      </c>
      <c r="AE235" s="598" t="s">
        <v>1239</v>
      </c>
      <c r="AF235" s="598"/>
      <c r="AG235" s="598">
        <v>44496</v>
      </c>
      <c r="AH235" s="598"/>
      <c r="AI235" s="598">
        <f t="shared" ca="1" si="25"/>
        <v>44963</v>
      </c>
      <c r="AJ235" s="584">
        <f t="shared" ca="1" si="30"/>
        <v>467</v>
      </c>
      <c r="AK235" s="584">
        <f t="shared" ca="1" si="28"/>
        <v>347</v>
      </c>
      <c r="AL235" s="598"/>
      <c r="AM235" s="586" t="s">
        <v>1240</v>
      </c>
      <c r="AN235" s="589">
        <v>10.484999999999999</v>
      </c>
      <c r="AO235" s="589">
        <v>10.494999999999999</v>
      </c>
      <c r="AP235" s="589">
        <v>10.519999999999998</v>
      </c>
      <c r="AQ235" s="589">
        <v>10.524999999999999</v>
      </c>
      <c r="AR235" s="584">
        <f t="shared" ca="1" si="29"/>
        <v>348</v>
      </c>
      <c r="AU235" s="583" t="s">
        <v>136</v>
      </c>
    </row>
    <row r="236" spans="1:59" s="99" customFormat="1" ht="21" customHeight="1" x14ac:dyDescent="0.35">
      <c r="A236" s="99">
        <v>421</v>
      </c>
      <c r="B236" s="126" t="str">
        <f t="shared" si="27"/>
        <v>0-304L/2B-001X770</v>
      </c>
      <c r="C236" s="126" t="s">
        <v>3444</v>
      </c>
      <c r="D236" s="126" t="s">
        <v>3026</v>
      </c>
      <c r="E236" s="143" t="s">
        <v>2904</v>
      </c>
      <c r="F236" s="143" t="s">
        <v>3447</v>
      </c>
      <c r="G236" s="126" t="s">
        <v>230</v>
      </c>
      <c r="H236" s="126" t="s">
        <v>116</v>
      </c>
      <c r="I236" s="127">
        <v>3.5</v>
      </c>
      <c r="J236" s="127">
        <v>1.2</v>
      </c>
      <c r="K236" s="149">
        <v>0.95</v>
      </c>
      <c r="L236" s="149">
        <v>0.97</v>
      </c>
      <c r="M236" s="144">
        <v>770</v>
      </c>
      <c r="N236" s="129">
        <v>10.41</v>
      </c>
      <c r="O236" s="129">
        <f>5.17+5.185</f>
        <v>10.355</v>
      </c>
      <c r="P236" s="129"/>
      <c r="Q236" s="129"/>
      <c r="R236" s="129" t="s">
        <v>116</v>
      </c>
      <c r="S236" s="284" t="s">
        <v>3427</v>
      </c>
      <c r="T236" s="130" t="s">
        <v>1206</v>
      </c>
      <c r="U236" s="130"/>
      <c r="V236" s="131"/>
      <c r="W236" s="132">
        <v>44615</v>
      </c>
      <c r="X236" s="132">
        <v>44615</v>
      </c>
      <c r="Y236" s="132"/>
      <c r="Z236" s="132"/>
      <c r="AA236" s="132"/>
      <c r="AB236" s="133"/>
      <c r="AC236" s="126" t="s">
        <v>64</v>
      </c>
      <c r="AD236" s="134" t="s">
        <v>154</v>
      </c>
      <c r="AE236" s="134" t="s">
        <v>1190</v>
      </c>
      <c r="AF236" s="134"/>
      <c r="AG236" s="134">
        <v>44496</v>
      </c>
      <c r="AH236" s="134"/>
      <c r="AI236" s="134">
        <f t="shared" ca="1" si="25"/>
        <v>44963</v>
      </c>
      <c r="AJ236" s="126">
        <f t="shared" ca="1" si="30"/>
        <v>467</v>
      </c>
      <c r="AK236" s="126" t="str">
        <f t="shared" si="28"/>
        <v/>
      </c>
      <c r="AL236" s="134"/>
      <c r="AM236" s="143" t="s">
        <v>2906</v>
      </c>
      <c r="AN236" s="129">
        <v>10.39</v>
      </c>
      <c r="AO236" s="129">
        <v>10.4</v>
      </c>
      <c r="AP236" s="129">
        <v>10.424999999999999</v>
      </c>
      <c r="AQ236" s="129">
        <v>10.43</v>
      </c>
      <c r="AR236" s="126">
        <f t="shared" ca="1" si="29"/>
        <v>348</v>
      </c>
      <c r="AU236" s="99" t="s">
        <v>136</v>
      </c>
    </row>
    <row r="237" spans="1:59" s="99" customFormat="1" ht="21" customHeight="1" x14ac:dyDescent="0.35">
      <c r="A237" s="99">
        <v>421</v>
      </c>
      <c r="B237" s="126" t="str">
        <f t="shared" si="27"/>
        <v>0-304L/2B-002X770</v>
      </c>
      <c r="C237" s="126" t="s">
        <v>3444</v>
      </c>
      <c r="D237" s="126" t="s">
        <v>3026</v>
      </c>
      <c r="E237" s="143" t="s">
        <v>2910</v>
      </c>
      <c r="F237" s="143" t="s">
        <v>3448</v>
      </c>
      <c r="G237" s="126" t="s">
        <v>230</v>
      </c>
      <c r="H237" s="126" t="s">
        <v>116</v>
      </c>
      <c r="I237" s="127">
        <v>3.8</v>
      </c>
      <c r="J237" s="127">
        <v>2</v>
      </c>
      <c r="K237" s="149">
        <v>2.0099999999999998</v>
      </c>
      <c r="L237" s="149">
        <v>2.0299999999999998</v>
      </c>
      <c r="M237" s="144">
        <v>770</v>
      </c>
      <c r="N237" s="129">
        <v>9.5050000000000008</v>
      </c>
      <c r="O237" s="129">
        <f>4.805+4.65</f>
        <v>9.4550000000000001</v>
      </c>
      <c r="P237" s="129"/>
      <c r="Q237" s="129"/>
      <c r="R237" s="129" t="s">
        <v>116</v>
      </c>
      <c r="S237" s="284" t="s">
        <v>3427</v>
      </c>
      <c r="T237" s="130" t="s">
        <v>1206</v>
      </c>
      <c r="U237" s="130"/>
      <c r="V237" s="131"/>
      <c r="W237" s="132">
        <v>44615</v>
      </c>
      <c r="X237" s="132">
        <v>44615</v>
      </c>
      <c r="Y237" s="132"/>
      <c r="Z237" s="132"/>
      <c r="AA237" s="132"/>
      <c r="AB237" s="133"/>
      <c r="AC237" s="126" t="s">
        <v>64</v>
      </c>
      <c r="AD237" s="134" t="s">
        <v>154</v>
      </c>
      <c r="AE237" s="134" t="s">
        <v>1256</v>
      </c>
      <c r="AF237" s="134"/>
      <c r="AG237" s="134">
        <v>44496</v>
      </c>
      <c r="AH237" s="134"/>
      <c r="AI237" s="134">
        <f t="shared" ca="1" si="25"/>
        <v>44963</v>
      </c>
      <c r="AJ237" s="126">
        <f t="shared" ca="1" si="30"/>
        <v>467</v>
      </c>
      <c r="AK237" s="126" t="str">
        <f t="shared" si="28"/>
        <v/>
      </c>
      <c r="AL237" s="134"/>
      <c r="AM237" s="143" t="s">
        <v>2912</v>
      </c>
      <c r="AN237" s="129">
        <v>9.4949999999999992</v>
      </c>
      <c r="AO237" s="129">
        <v>9.5050000000000008</v>
      </c>
      <c r="AP237" s="129">
        <v>9.5299999999999994</v>
      </c>
      <c r="AQ237" s="129">
        <v>9.5350000000000001</v>
      </c>
      <c r="AR237" s="126">
        <f t="shared" ca="1" si="29"/>
        <v>348</v>
      </c>
      <c r="AU237" s="99" t="s">
        <v>136</v>
      </c>
    </row>
    <row r="238" spans="1:59" s="99" customFormat="1" ht="21" customHeight="1" x14ac:dyDescent="0.35">
      <c r="A238" s="99">
        <v>424</v>
      </c>
      <c r="B238" s="126" t="str">
        <f t="shared" si="27"/>
        <v>0-304/2B-002X773</v>
      </c>
      <c r="C238" s="126" t="s">
        <v>3444</v>
      </c>
      <c r="D238" s="126" t="s">
        <v>3026</v>
      </c>
      <c r="E238" s="143" t="s">
        <v>2874</v>
      </c>
      <c r="F238" s="143" t="s">
        <v>3449</v>
      </c>
      <c r="G238" s="126">
        <v>304</v>
      </c>
      <c r="H238" s="126" t="s">
        <v>116</v>
      </c>
      <c r="I238" s="127">
        <v>3.64</v>
      </c>
      <c r="J238" s="127">
        <v>1.5</v>
      </c>
      <c r="K238" s="149">
        <v>1.47</v>
      </c>
      <c r="L238" s="149">
        <v>1.5</v>
      </c>
      <c r="M238" s="144">
        <v>773</v>
      </c>
      <c r="N238" s="129">
        <v>12.04</v>
      </c>
      <c r="O238" s="129">
        <f>4.015+4.005+3.92</f>
        <v>11.94</v>
      </c>
      <c r="P238" s="129"/>
      <c r="Q238" s="129">
        <v>2.7E-2</v>
      </c>
      <c r="R238" s="129" t="s">
        <v>116</v>
      </c>
      <c r="S238" s="284" t="s">
        <v>3450</v>
      </c>
      <c r="T238" s="130" t="s">
        <v>3451</v>
      </c>
      <c r="U238" s="130"/>
      <c r="V238" s="131"/>
      <c r="W238" s="132">
        <v>44612</v>
      </c>
      <c r="X238" s="132">
        <v>44614</v>
      </c>
      <c r="Y238" s="132"/>
      <c r="Z238" s="132"/>
      <c r="AA238" s="132"/>
      <c r="AB238" s="133" t="s">
        <v>1395</v>
      </c>
      <c r="AC238" s="126" t="s">
        <v>64</v>
      </c>
      <c r="AD238" s="134" t="s">
        <v>154</v>
      </c>
      <c r="AE238" s="134" t="s">
        <v>1330</v>
      </c>
      <c r="AF238" s="134"/>
      <c r="AG238" s="134">
        <v>44554</v>
      </c>
      <c r="AH238" s="134"/>
      <c r="AI238" s="134">
        <f t="shared" ca="1" si="25"/>
        <v>44963</v>
      </c>
      <c r="AJ238" s="126">
        <f t="shared" ca="1" si="30"/>
        <v>409</v>
      </c>
      <c r="AK238" s="126" t="str">
        <f t="shared" si="28"/>
        <v/>
      </c>
      <c r="AL238" s="134"/>
      <c r="AM238" s="143" t="s">
        <v>2625</v>
      </c>
      <c r="AN238" s="129">
        <v>12.015000000000001</v>
      </c>
      <c r="AO238" s="129">
        <v>12.025</v>
      </c>
      <c r="AP238" s="129">
        <v>12.049999999999999</v>
      </c>
      <c r="AQ238" s="129">
        <v>12.055</v>
      </c>
      <c r="AR238" s="126">
        <f t="shared" ca="1" si="29"/>
        <v>349</v>
      </c>
      <c r="AU238" s="99" t="s">
        <v>136</v>
      </c>
    </row>
    <row r="239" spans="1:59" s="99" customFormat="1" ht="21" customHeight="1" x14ac:dyDescent="0.35">
      <c r="A239" s="99">
        <v>422</v>
      </c>
      <c r="B239" s="126" t="str">
        <f t="shared" si="27"/>
        <v>0-304L/2B-001X770</v>
      </c>
      <c r="C239" s="126" t="s">
        <v>3444</v>
      </c>
      <c r="D239" s="126" t="s">
        <v>3026</v>
      </c>
      <c r="E239" s="143" t="s">
        <v>2916</v>
      </c>
      <c r="F239" s="143" t="s">
        <v>3452</v>
      </c>
      <c r="G239" s="126" t="s">
        <v>230</v>
      </c>
      <c r="H239" s="126" t="s">
        <v>116</v>
      </c>
      <c r="I239" s="127">
        <v>2.91</v>
      </c>
      <c r="J239" s="127">
        <v>1</v>
      </c>
      <c r="K239" s="149">
        <v>1</v>
      </c>
      <c r="L239" s="149">
        <v>1.03</v>
      </c>
      <c r="M239" s="144">
        <v>770</v>
      </c>
      <c r="N239" s="129">
        <v>8.5449999999999999</v>
      </c>
      <c r="O239" s="129">
        <f>4.085+4.415</f>
        <v>8.5</v>
      </c>
      <c r="P239" s="129"/>
      <c r="Q239" s="129">
        <v>1.2E-2</v>
      </c>
      <c r="R239" s="129" t="s">
        <v>116</v>
      </c>
      <c r="S239" s="284" t="s">
        <v>3427</v>
      </c>
      <c r="T239" s="130" t="s">
        <v>1206</v>
      </c>
      <c r="U239" s="130"/>
      <c r="V239" s="131"/>
      <c r="W239" s="132">
        <v>44615</v>
      </c>
      <c r="X239" s="132">
        <v>44615</v>
      </c>
      <c r="Y239" s="132"/>
      <c r="Z239" s="132"/>
      <c r="AA239" s="132"/>
      <c r="AB239" s="133"/>
      <c r="AC239" s="126" t="s">
        <v>64</v>
      </c>
      <c r="AD239" s="134" t="s">
        <v>154</v>
      </c>
      <c r="AE239" s="134" t="s">
        <v>1296</v>
      </c>
      <c r="AF239" s="134"/>
      <c r="AG239" s="134">
        <v>44516</v>
      </c>
      <c r="AH239" s="134"/>
      <c r="AI239" s="134">
        <f t="shared" ca="1" si="25"/>
        <v>44963</v>
      </c>
      <c r="AJ239" s="126">
        <f t="shared" ca="1" si="30"/>
        <v>447</v>
      </c>
      <c r="AK239" s="126" t="str">
        <f t="shared" si="28"/>
        <v/>
      </c>
      <c r="AL239" s="134"/>
      <c r="AM239" s="143" t="s">
        <v>2667</v>
      </c>
      <c r="AN239" s="129">
        <v>8.5350000000000001</v>
      </c>
      <c r="AO239" s="129">
        <v>8.5449999999999999</v>
      </c>
      <c r="AP239" s="129">
        <v>8.5699999999999985</v>
      </c>
      <c r="AQ239" s="129">
        <v>8.5749999999999993</v>
      </c>
      <c r="AR239" s="126">
        <f t="shared" ca="1" si="29"/>
        <v>348</v>
      </c>
      <c r="AU239" s="99" t="s">
        <v>136</v>
      </c>
    </row>
    <row r="240" spans="1:59" s="99" customFormat="1" ht="21" customHeight="1" x14ac:dyDescent="0.35">
      <c r="A240" s="99">
        <v>421</v>
      </c>
      <c r="B240" s="126" t="str">
        <f t="shared" si="27"/>
        <v>0-304L/2B-000X761</v>
      </c>
      <c r="C240" s="126" t="s">
        <v>3453</v>
      </c>
      <c r="D240" s="126" t="s">
        <v>358</v>
      </c>
      <c r="E240" s="143" t="s">
        <v>2929</v>
      </c>
      <c r="F240" s="143" t="s">
        <v>2930</v>
      </c>
      <c r="G240" s="126" t="s">
        <v>230</v>
      </c>
      <c r="H240" s="126" t="s">
        <v>116</v>
      </c>
      <c r="I240" s="127">
        <v>0.6</v>
      </c>
      <c r="J240" s="127">
        <v>0.3</v>
      </c>
      <c r="K240" s="149">
        <v>0.3</v>
      </c>
      <c r="L240" s="149">
        <v>0.31</v>
      </c>
      <c r="M240" s="144">
        <v>761</v>
      </c>
      <c r="N240" s="129">
        <v>4.6449999999999996</v>
      </c>
      <c r="O240" s="129">
        <v>4.6399999999999997</v>
      </c>
      <c r="P240" s="129"/>
      <c r="Q240" s="129"/>
      <c r="R240" s="129" t="s">
        <v>116</v>
      </c>
      <c r="S240" s="284"/>
      <c r="T240" s="130" t="s">
        <v>1206</v>
      </c>
      <c r="U240" s="130" t="s">
        <v>1228</v>
      </c>
      <c r="V240" s="131" t="s">
        <v>2931</v>
      </c>
      <c r="W240" s="132" t="s">
        <v>2932</v>
      </c>
      <c r="X240" s="132" t="s">
        <v>2932</v>
      </c>
      <c r="Y240" s="132" t="s">
        <v>3454</v>
      </c>
      <c r="Z240" s="132"/>
      <c r="AA240" s="132"/>
      <c r="AB240" s="133"/>
      <c r="AC240" s="126" t="s">
        <v>64</v>
      </c>
      <c r="AD240" s="134" t="s">
        <v>154</v>
      </c>
      <c r="AE240" s="134" t="s">
        <v>1190</v>
      </c>
      <c r="AF240" s="134"/>
      <c r="AG240" s="134">
        <v>44496</v>
      </c>
      <c r="AH240" s="134"/>
      <c r="AI240" s="134">
        <f t="shared" ca="1" si="25"/>
        <v>44963</v>
      </c>
      <c r="AJ240" s="126">
        <f t="shared" ca="1" si="30"/>
        <v>467</v>
      </c>
      <c r="AK240" s="126" t="e">
        <f t="shared" ca="1" si="28"/>
        <v>#VALUE!</v>
      </c>
      <c r="AL240" s="134"/>
      <c r="AM240" s="143" t="s">
        <v>2933</v>
      </c>
      <c r="AN240" s="129">
        <v>10.52</v>
      </c>
      <c r="AO240" s="129">
        <v>10.53</v>
      </c>
      <c r="AP240" s="129">
        <v>10.554999999999998</v>
      </c>
      <c r="AQ240" s="129">
        <v>10.559999999999999</v>
      </c>
      <c r="AR240" s="126" t="e">
        <f t="shared" ca="1" si="29"/>
        <v>#VALUE!</v>
      </c>
      <c r="AU240" s="99" t="s">
        <v>136</v>
      </c>
    </row>
    <row r="241" spans="1:59" s="99" customFormat="1" ht="21" customHeight="1" x14ac:dyDescent="0.35">
      <c r="A241" s="99">
        <v>422</v>
      </c>
      <c r="B241" s="126" t="str">
        <f t="shared" si="27"/>
        <v>0-304L/2B-000X763</v>
      </c>
      <c r="C241" s="126" t="s">
        <v>3453</v>
      </c>
      <c r="D241" s="126" t="s">
        <v>358</v>
      </c>
      <c r="E241" s="143" t="s">
        <v>2823</v>
      </c>
      <c r="F241" s="143" t="s">
        <v>2824</v>
      </c>
      <c r="G241" s="126" t="s">
        <v>230</v>
      </c>
      <c r="H241" s="126" t="s">
        <v>116</v>
      </c>
      <c r="I241" s="127">
        <v>0.8</v>
      </c>
      <c r="J241" s="127">
        <v>0.4</v>
      </c>
      <c r="K241" s="149">
        <v>0.39</v>
      </c>
      <c r="L241" s="149">
        <v>0.41</v>
      </c>
      <c r="M241" s="144">
        <v>763</v>
      </c>
      <c r="N241" s="129">
        <v>8.2050000000000001</v>
      </c>
      <c r="O241" s="129">
        <v>8.1649999999999991</v>
      </c>
      <c r="P241" s="129"/>
      <c r="Q241" s="129"/>
      <c r="R241" s="129" t="s">
        <v>116</v>
      </c>
      <c r="S241" s="284"/>
      <c r="T241" s="130" t="s">
        <v>1206</v>
      </c>
      <c r="U241" s="130"/>
      <c r="V241" s="131" t="s">
        <v>305</v>
      </c>
      <c r="W241" s="132" t="s">
        <v>2928</v>
      </c>
      <c r="X241" s="132" t="s">
        <v>2928</v>
      </c>
      <c r="Y241" s="132" t="s">
        <v>3455</v>
      </c>
      <c r="Z241" s="132">
        <v>44615</v>
      </c>
      <c r="AA241" s="132"/>
      <c r="AB241" s="133"/>
      <c r="AC241" s="126" t="s">
        <v>64</v>
      </c>
      <c r="AD241" s="134" t="s">
        <v>154</v>
      </c>
      <c r="AE241" s="134" t="s">
        <v>1330</v>
      </c>
      <c r="AF241" s="134"/>
      <c r="AG241" s="134">
        <v>44516</v>
      </c>
      <c r="AH241" s="134"/>
      <c r="AI241" s="134">
        <f t="shared" ca="1" si="25"/>
        <v>44963</v>
      </c>
      <c r="AJ241" s="126">
        <f t="shared" ca="1" si="30"/>
        <v>447</v>
      </c>
      <c r="AK241" s="126" t="e">
        <f t="shared" ca="1" si="28"/>
        <v>#VALUE!</v>
      </c>
      <c r="AL241" s="134"/>
      <c r="AM241" s="143" t="s">
        <v>2688</v>
      </c>
      <c r="AN241" s="129">
        <v>8.2850000000000001</v>
      </c>
      <c r="AO241" s="129">
        <v>8.2949999999999999</v>
      </c>
      <c r="AP241" s="129">
        <v>8.3199999999999985</v>
      </c>
      <c r="AQ241" s="129">
        <v>8.3249999999999993</v>
      </c>
      <c r="AR241" s="126" t="e">
        <f t="shared" ca="1" si="29"/>
        <v>#VALUE!</v>
      </c>
      <c r="AU241" s="99" t="s">
        <v>136</v>
      </c>
    </row>
    <row r="242" spans="1:59" s="99" customFormat="1" ht="21" customHeight="1" x14ac:dyDescent="0.35">
      <c r="A242" s="99">
        <v>422</v>
      </c>
      <c r="B242" s="126" t="str">
        <f t="shared" si="27"/>
        <v>0-304L/2B-001X767</v>
      </c>
      <c r="C242" s="126" t="s">
        <v>3444</v>
      </c>
      <c r="D242" s="126" t="s">
        <v>3026</v>
      </c>
      <c r="E242" s="143" t="s">
        <v>2921</v>
      </c>
      <c r="F242" s="143" t="s">
        <v>3456</v>
      </c>
      <c r="G242" s="126" t="s">
        <v>230</v>
      </c>
      <c r="H242" s="126" t="s">
        <v>116</v>
      </c>
      <c r="I242" s="127">
        <v>2.92</v>
      </c>
      <c r="J242" s="127">
        <v>0.9</v>
      </c>
      <c r="K242" s="149">
        <v>0.88</v>
      </c>
      <c r="L242" s="149">
        <v>0.9</v>
      </c>
      <c r="M242" s="144">
        <v>767</v>
      </c>
      <c r="N242" s="129">
        <v>10.48</v>
      </c>
      <c r="O242" s="129">
        <f>5.995+4.42</f>
        <v>10.414999999999999</v>
      </c>
      <c r="P242" s="129">
        <v>0.03</v>
      </c>
      <c r="Q242" s="129"/>
      <c r="R242" s="129" t="s">
        <v>116</v>
      </c>
      <c r="S242" s="284" t="s">
        <v>3434</v>
      </c>
      <c r="T242" s="130" t="s">
        <v>1206</v>
      </c>
      <c r="U242" s="130"/>
      <c r="V242" s="131"/>
      <c r="W242" s="132">
        <v>44616</v>
      </c>
      <c r="X242" s="132">
        <v>44616</v>
      </c>
      <c r="Y242" s="132"/>
      <c r="Z242" s="132"/>
      <c r="AA242" s="132"/>
      <c r="AB242" s="133"/>
      <c r="AC242" s="126" t="s">
        <v>64</v>
      </c>
      <c r="AD242" s="134" t="s">
        <v>154</v>
      </c>
      <c r="AE242" s="134" t="s">
        <v>1296</v>
      </c>
      <c r="AF242" s="134"/>
      <c r="AG242" s="134">
        <v>44516</v>
      </c>
      <c r="AH242" s="134"/>
      <c r="AI242" s="134">
        <f t="shared" ca="1" si="25"/>
        <v>44963</v>
      </c>
      <c r="AJ242" s="126">
        <f t="shared" ca="1" si="30"/>
        <v>447</v>
      </c>
      <c r="AK242" s="126" t="str">
        <f t="shared" si="28"/>
        <v/>
      </c>
      <c r="AL242" s="134"/>
      <c r="AM242" s="143" t="s">
        <v>2602</v>
      </c>
      <c r="AN242" s="129">
        <v>10.46</v>
      </c>
      <c r="AO242" s="129">
        <v>10.47</v>
      </c>
      <c r="AP242" s="129">
        <v>10.494999999999999</v>
      </c>
      <c r="AQ242" s="129">
        <v>10.5</v>
      </c>
      <c r="AR242" s="126">
        <f t="shared" ca="1" si="29"/>
        <v>347</v>
      </c>
      <c r="AU242" s="99" t="s">
        <v>136</v>
      </c>
    </row>
    <row r="243" spans="1:59" s="99" customFormat="1" ht="21" customHeight="1" x14ac:dyDescent="0.35">
      <c r="A243" s="99">
        <v>421</v>
      </c>
      <c r="B243" s="126" t="str">
        <f>IF(C243="HOLD RM","HOLD RM",IF(C243="BAL","WIP",IF(C243="HOLD SLT","HOLD SLT",IF(C243="MILL","RM",IF(C243="RE SLT","WIP",IF(C243="RM","RM",IF(C243="RM BAL","RM",IF(C243="RM SLT","RM",IF(C243="RR","WIP",IF(C243="SKP","WIP",IF(C243="SLT","WIP",IF(C243="CTL","WIP",IF(C243="RM SLT RUST","RM SLT RUST",0)))))))))))))&amp;"-"&amp;G243&amp;"/"&amp;IF(H243="2B","2B",IF(H243="NO.1","1D",IF(H243="FH","FH",0)))&amp;"-"&amp;IF(J243="",(TEXT(I243,"0.00")),TEXT(J243,"0.00"))&amp;"X"&amp;M243</f>
        <v>0-304L/2B-001X770</v>
      </c>
      <c r="C243" s="126" t="s">
        <v>3457</v>
      </c>
      <c r="D243" s="126" t="s">
        <v>3026</v>
      </c>
      <c r="E243" s="143" t="s">
        <v>2924</v>
      </c>
      <c r="F243" s="143" t="s">
        <v>3458</v>
      </c>
      <c r="G243" s="126" t="s">
        <v>230</v>
      </c>
      <c r="H243" s="126" t="s">
        <v>116</v>
      </c>
      <c r="I243" s="127">
        <v>3.5</v>
      </c>
      <c r="J243" s="127">
        <v>1.2</v>
      </c>
      <c r="K243" s="149"/>
      <c r="L243" s="149"/>
      <c r="M243" s="144">
        <v>770</v>
      </c>
      <c r="N243" s="129">
        <v>10.38</v>
      </c>
      <c r="O243" s="129">
        <f>5.975+4.355</f>
        <v>10.33</v>
      </c>
      <c r="P243" s="129"/>
      <c r="Q243" s="129"/>
      <c r="R243" s="129" t="s">
        <v>116</v>
      </c>
      <c r="S243" s="284" t="s">
        <v>3434</v>
      </c>
      <c r="T243" s="130" t="s">
        <v>1206</v>
      </c>
      <c r="U243" s="130"/>
      <c r="V243" s="131"/>
      <c r="W243" s="132">
        <v>44616</v>
      </c>
      <c r="X243" s="132">
        <v>44616</v>
      </c>
      <c r="Y243" s="132"/>
      <c r="Z243" s="132"/>
      <c r="AA243" s="132"/>
      <c r="AB243" s="133"/>
      <c r="AC243" s="126" t="s">
        <v>64</v>
      </c>
      <c r="AD243" s="134" t="s">
        <v>154</v>
      </c>
      <c r="AE243" s="134" t="s">
        <v>1239</v>
      </c>
      <c r="AF243" s="134"/>
      <c r="AG243" s="134">
        <v>44496</v>
      </c>
      <c r="AH243" s="134"/>
      <c r="AI243" s="134">
        <f ca="1">TODAY()</f>
        <v>44963</v>
      </c>
      <c r="AJ243" s="126">
        <f ca="1">IF(AG243&lt;&gt;0,AI243-AG243,0)</f>
        <v>467</v>
      </c>
      <c r="AK243" s="126" t="str">
        <f>IF(ISNUMBER(Y243)=TRUE,AI243-Y243,IF(Y243="","",(AI243)-(MID(RIGHT(Y243,10),4,2)&amp;"/"&amp;LEFT((RIGHT(Y243,10)),2)&amp;"/"&amp;RIGHT(Y243,4))))</f>
        <v/>
      </c>
      <c r="AL243" s="134"/>
      <c r="AM243" s="143" t="s">
        <v>2926</v>
      </c>
      <c r="AN243" s="129">
        <v>10.39</v>
      </c>
      <c r="AO243" s="129">
        <v>10.4</v>
      </c>
      <c r="AP243" s="129">
        <v>10.424999999999999</v>
      </c>
      <c r="AQ243" s="129">
        <v>10.43</v>
      </c>
      <c r="AR243" s="126">
        <f ca="1">IF(ISNUMBER(X243)=TRUE,AI243-X243,IF(X243="","",(AI243)-(MID(RIGHT(X243,10),4,2)&amp;"/"&amp;LEFT((RIGHT(X243,10)),2)&amp;"/"&amp;RIGHT(X243,4))))</f>
        <v>347</v>
      </c>
      <c r="AU243" s="99" t="s">
        <v>136</v>
      </c>
    </row>
    <row r="244" spans="1:59" s="724" customFormat="1" ht="21" customHeight="1" x14ac:dyDescent="0.35">
      <c r="A244" s="724">
        <v>424</v>
      </c>
      <c r="B244" s="725" t="str">
        <f t="shared" ref="B244:B283" si="31">IF(C244="HOLD RM","HOLD RM",IF(C244="BAL","WIP",IF(C244="HOLD SLT","HOLD SLT",IF(C244="MILL","RM",IF(C244="RE SLT","WIP",IF(C244="RM","RM",IF(C244="RM BAL","RM",IF(C244="RM SLT","RM",IF(C244="RR","WIP",IF(C244="SKP","WIP",IF(C244="SLT","WIP",IF(C244="CTL","WIP",IF(C244="RM SLT RUST","RM SLT RUST",0)))))))))))))&amp;"-"&amp;G244&amp;"/"&amp;IF(H244="2B","2B",IF(H244="NO.1","1D",IF(H244="FH","FH",0)))&amp;"-"&amp;IF(J244="",(TEXT(I244,"0.00")),TEXT(J244,"0.00"))&amp;"X"&amp;M244</f>
        <v>0-304/2B-002X772</v>
      </c>
      <c r="C244" s="725" t="s">
        <v>3457</v>
      </c>
      <c r="D244" s="725" t="s">
        <v>3026</v>
      </c>
      <c r="E244" s="726" t="s">
        <v>1425</v>
      </c>
      <c r="F244" s="726" t="s">
        <v>3459</v>
      </c>
      <c r="G244" s="725">
        <v>304</v>
      </c>
      <c r="H244" s="725" t="s">
        <v>116</v>
      </c>
      <c r="I244" s="727">
        <v>3.74</v>
      </c>
      <c r="J244" s="727">
        <v>1.5</v>
      </c>
      <c r="K244" s="728"/>
      <c r="L244" s="728"/>
      <c r="M244" s="729">
        <v>772</v>
      </c>
      <c r="N244" s="820">
        <v>10.425000000000001</v>
      </c>
      <c r="O244" s="730">
        <v>4.54</v>
      </c>
      <c r="P244" s="730"/>
      <c r="Q244" s="730"/>
      <c r="R244" s="730" t="s">
        <v>116</v>
      </c>
      <c r="S244" s="731" t="s">
        <v>3427</v>
      </c>
      <c r="T244" s="732" t="s">
        <v>1206</v>
      </c>
      <c r="U244" s="732"/>
      <c r="V244" s="733"/>
      <c r="W244" s="734">
        <v>44615</v>
      </c>
      <c r="X244" s="734">
        <v>44616</v>
      </c>
      <c r="Y244" s="734"/>
      <c r="Z244" s="734"/>
      <c r="AA244" s="734"/>
      <c r="AB244" s="735" t="s">
        <v>1395</v>
      </c>
      <c r="AC244" s="725" t="s">
        <v>64</v>
      </c>
      <c r="AD244" s="736" t="s">
        <v>154</v>
      </c>
      <c r="AE244" s="736" t="s">
        <v>1330</v>
      </c>
      <c r="AF244" s="736"/>
      <c r="AG244" s="736">
        <v>44554</v>
      </c>
      <c r="AH244" s="736"/>
      <c r="AI244" s="736">
        <f t="shared" ref="AI244:AI283" ca="1" si="32">TODAY()</f>
        <v>44963</v>
      </c>
      <c r="AJ244" s="725">
        <f t="shared" ref="AJ244:AJ283" ca="1" si="33">IF(AG244&lt;&gt;0,AI244-AG244,0)</f>
        <v>409</v>
      </c>
      <c r="AK244" s="725" t="str">
        <f t="shared" ref="AK244:AK283" si="34">IF(ISNUMBER(Y244)=TRUE,AI244-Y244,IF(Y244="","",(AI244)-(MID(RIGHT(Y244,10),4,2)&amp;"/"&amp;LEFT((RIGHT(Y244,10)),2)&amp;"/"&amp;RIGHT(Y244,4))))</f>
        <v/>
      </c>
      <c r="AL244" s="736"/>
      <c r="AM244" s="726" t="s">
        <v>1427</v>
      </c>
      <c r="AN244" s="730">
        <v>10.42</v>
      </c>
      <c r="AO244" s="730">
        <v>10.43</v>
      </c>
      <c r="AP244" s="730">
        <v>10.454999999999998</v>
      </c>
      <c r="AQ244" s="730">
        <v>10.459999999999999</v>
      </c>
      <c r="AR244" s="725">
        <f t="shared" ref="AR244:AR283" ca="1" si="35">IF(ISNUMBER(X244)=TRUE,AI244-X244,IF(X244="","",(AI244)-(MID(RIGHT(X244,10),4,2)&amp;"/"&amp;LEFT((RIGHT(X244,10)),2)&amp;"/"&amp;RIGHT(X244,4))))</f>
        <v>347</v>
      </c>
      <c r="AU244" s="724" t="s">
        <v>136</v>
      </c>
    </row>
    <row r="245" spans="1:59" s="724" customFormat="1" ht="21" customHeight="1" x14ac:dyDescent="0.35">
      <c r="A245" s="724">
        <v>424</v>
      </c>
      <c r="B245" s="725" t="str">
        <f t="shared" si="31"/>
        <v>0-304/2B-002X772</v>
      </c>
      <c r="C245" s="725" t="s">
        <v>3460</v>
      </c>
      <c r="D245" s="725" t="s">
        <v>358</v>
      </c>
      <c r="E245" s="726" t="s">
        <v>1425</v>
      </c>
      <c r="F245" s="726" t="s">
        <v>1426</v>
      </c>
      <c r="G245" s="725">
        <v>304</v>
      </c>
      <c r="H245" s="725" t="s">
        <v>116</v>
      </c>
      <c r="I245" s="727">
        <v>3.74</v>
      </c>
      <c r="J245" s="727">
        <v>1.5</v>
      </c>
      <c r="K245" s="728"/>
      <c r="L245" s="728"/>
      <c r="M245" s="729">
        <v>772</v>
      </c>
      <c r="N245" s="821"/>
      <c r="O245" s="730">
        <v>5.8449999999999998</v>
      </c>
      <c r="P245" s="730"/>
      <c r="Q245" s="730"/>
      <c r="R245" s="730" t="s">
        <v>116</v>
      </c>
      <c r="S245" s="731"/>
      <c r="T245" s="732" t="s">
        <v>117</v>
      </c>
      <c r="U245" s="732"/>
      <c r="V245" s="733"/>
      <c r="W245" s="734">
        <v>44615</v>
      </c>
      <c r="X245" s="734">
        <v>44616</v>
      </c>
      <c r="Y245" s="734">
        <v>44617</v>
      </c>
      <c r="Z245" s="734"/>
      <c r="AA245" s="734"/>
      <c r="AB245" s="735" t="s">
        <v>1395</v>
      </c>
      <c r="AC245" s="725" t="s">
        <v>64</v>
      </c>
      <c r="AD245" s="736" t="s">
        <v>154</v>
      </c>
      <c r="AE245" s="736" t="s">
        <v>1330</v>
      </c>
      <c r="AF245" s="736"/>
      <c r="AG245" s="736">
        <v>44554</v>
      </c>
      <c r="AH245" s="736"/>
      <c r="AI245" s="736">
        <f t="shared" ca="1" si="32"/>
        <v>44963</v>
      </c>
      <c r="AJ245" s="725">
        <f t="shared" ca="1" si="33"/>
        <v>409</v>
      </c>
      <c r="AK245" s="725">
        <f t="shared" ca="1" si="34"/>
        <v>346</v>
      </c>
      <c r="AL245" s="736"/>
      <c r="AM245" s="726" t="s">
        <v>1427</v>
      </c>
      <c r="AN245" s="730">
        <v>10.42</v>
      </c>
      <c r="AO245" s="730">
        <v>10.43</v>
      </c>
      <c r="AP245" s="730">
        <v>10.454999999999998</v>
      </c>
      <c r="AQ245" s="730">
        <v>10.459999999999999</v>
      </c>
      <c r="AR245" s="725">
        <f t="shared" ca="1" si="35"/>
        <v>347</v>
      </c>
      <c r="AU245" s="724" t="s">
        <v>136</v>
      </c>
    </row>
    <row r="246" spans="1:59" s="99" customFormat="1" ht="21" customHeight="1" x14ac:dyDescent="0.35">
      <c r="A246" s="99">
        <v>421</v>
      </c>
      <c r="B246" s="126" t="str">
        <f t="shared" si="31"/>
        <v>0-304L/2B-001X770</v>
      </c>
      <c r="C246" s="126" t="s">
        <v>3460</v>
      </c>
      <c r="D246" s="126" t="s">
        <v>358</v>
      </c>
      <c r="E246" s="143" t="s">
        <v>2913</v>
      </c>
      <c r="F246" s="143" t="s">
        <v>2914</v>
      </c>
      <c r="G246" s="126" t="s">
        <v>230</v>
      </c>
      <c r="H246" s="126" t="s">
        <v>116</v>
      </c>
      <c r="I246" s="127">
        <v>2.76</v>
      </c>
      <c r="J246" s="127">
        <v>0.6</v>
      </c>
      <c r="K246" s="149"/>
      <c r="L246" s="149"/>
      <c r="M246" s="144">
        <v>770</v>
      </c>
      <c r="N246" s="129">
        <v>10.55</v>
      </c>
      <c r="O246" s="129">
        <v>10.545</v>
      </c>
      <c r="P246" s="129"/>
      <c r="Q246" s="129"/>
      <c r="R246" s="129" t="s">
        <v>116</v>
      </c>
      <c r="S246" s="284"/>
      <c r="T246" s="130" t="s">
        <v>3461</v>
      </c>
      <c r="U246" s="130"/>
      <c r="V246" s="131"/>
      <c r="W246" s="132">
        <v>44615</v>
      </c>
      <c r="X246" s="132">
        <v>44616</v>
      </c>
      <c r="Y246" s="132">
        <v>44617</v>
      </c>
      <c r="Z246" s="132"/>
      <c r="AA246" s="132"/>
      <c r="AB246" s="133"/>
      <c r="AC246" s="126" t="s">
        <v>64</v>
      </c>
      <c r="AD246" s="134" t="s">
        <v>154</v>
      </c>
      <c r="AE246" s="134" t="s">
        <v>1190</v>
      </c>
      <c r="AF246" s="134"/>
      <c r="AG246" s="134">
        <v>44496</v>
      </c>
      <c r="AH246" s="134"/>
      <c r="AI246" s="134">
        <f t="shared" ca="1" si="32"/>
        <v>44963</v>
      </c>
      <c r="AJ246" s="126">
        <f t="shared" ca="1" si="33"/>
        <v>467</v>
      </c>
      <c r="AK246" s="126">
        <f t="shared" ca="1" si="34"/>
        <v>346</v>
      </c>
      <c r="AL246" s="134"/>
      <c r="AM246" s="143" t="s">
        <v>2915</v>
      </c>
      <c r="AN246" s="129">
        <v>10.54</v>
      </c>
      <c r="AO246" s="129">
        <v>10.55</v>
      </c>
      <c r="AP246" s="129">
        <v>10.574999999999999</v>
      </c>
      <c r="AQ246" s="129">
        <v>10.58</v>
      </c>
      <c r="AR246" s="126">
        <f t="shared" ca="1" si="35"/>
        <v>347</v>
      </c>
      <c r="AU246" s="99" t="s">
        <v>136</v>
      </c>
    </row>
    <row r="247" spans="1:59" s="99" customFormat="1" ht="21" customHeight="1" x14ac:dyDescent="0.35">
      <c r="A247" s="99">
        <v>421</v>
      </c>
      <c r="B247" s="126" t="str">
        <f t="shared" si="31"/>
        <v>0-304L/2B-000X765</v>
      </c>
      <c r="C247" s="126" t="s">
        <v>3460</v>
      </c>
      <c r="D247" s="126" t="s">
        <v>358</v>
      </c>
      <c r="E247" s="143" t="s">
        <v>2884</v>
      </c>
      <c r="F247" s="143" t="s">
        <v>2885</v>
      </c>
      <c r="G247" s="126" t="s">
        <v>230</v>
      </c>
      <c r="H247" s="126" t="s">
        <v>116</v>
      </c>
      <c r="I247" s="127">
        <v>0.8</v>
      </c>
      <c r="J247" s="127">
        <v>0.4</v>
      </c>
      <c r="K247" s="149"/>
      <c r="L247" s="149"/>
      <c r="M247" s="144">
        <v>765</v>
      </c>
      <c r="N247" s="129">
        <v>11.88</v>
      </c>
      <c r="O247" s="129">
        <v>11.85</v>
      </c>
      <c r="P247" s="129"/>
      <c r="Q247" s="129"/>
      <c r="R247" s="129" t="s">
        <v>116</v>
      </c>
      <c r="S247" s="284"/>
      <c r="T247" s="130" t="s">
        <v>1206</v>
      </c>
      <c r="U247" s="130"/>
      <c r="V247" s="131"/>
      <c r="W247" s="132" t="s">
        <v>2943</v>
      </c>
      <c r="X247" s="132">
        <v>44614</v>
      </c>
      <c r="Y247" s="132" t="s">
        <v>1237</v>
      </c>
      <c r="Z247" s="132">
        <v>44616</v>
      </c>
      <c r="AA247" s="132"/>
      <c r="AB247" s="133"/>
      <c r="AC247" s="126" t="s">
        <v>64</v>
      </c>
      <c r="AD247" s="134" t="s">
        <v>154</v>
      </c>
      <c r="AE247" s="134" t="s">
        <v>1190</v>
      </c>
      <c r="AF247" s="134"/>
      <c r="AG247" s="134">
        <v>44496</v>
      </c>
      <c r="AH247" s="134"/>
      <c r="AI247" s="134">
        <f t="shared" ca="1" si="32"/>
        <v>44963</v>
      </c>
      <c r="AJ247" s="126">
        <f t="shared" ca="1" si="33"/>
        <v>467</v>
      </c>
      <c r="AK247" s="126" t="e">
        <f t="shared" ca="1" si="34"/>
        <v>#VALUE!</v>
      </c>
      <c r="AL247" s="134"/>
      <c r="AM247" s="143" t="s">
        <v>2751</v>
      </c>
      <c r="AN247" s="129">
        <v>12.08</v>
      </c>
      <c r="AO247" s="129">
        <v>12.09</v>
      </c>
      <c r="AP247" s="129">
        <v>12.114999999999998</v>
      </c>
      <c r="AQ247" s="129">
        <v>12.12</v>
      </c>
      <c r="AR247" s="126">
        <f t="shared" ca="1" si="35"/>
        <v>349</v>
      </c>
      <c r="AU247" s="99" t="s">
        <v>136</v>
      </c>
    </row>
    <row r="248" spans="1:59" s="99" customFormat="1" ht="21" customHeight="1" x14ac:dyDescent="0.35">
      <c r="A248" s="99">
        <v>421</v>
      </c>
      <c r="B248" s="126" t="str">
        <f t="shared" si="31"/>
        <v>0-304L/2B-000X765</v>
      </c>
      <c r="C248" s="126" t="s">
        <v>3460</v>
      </c>
      <c r="D248" s="126" t="s">
        <v>358</v>
      </c>
      <c r="E248" s="143" t="s">
        <v>2940</v>
      </c>
      <c r="F248" s="143" t="s">
        <v>2941</v>
      </c>
      <c r="G248" s="126" t="s">
        <v>230</v>
      </c>
      <c r="H248" s="126" t="s">
        <v>116</v>
      </c>
      <c r="I248" s="127">
        <v>0.6</v>
      </c>
      <c r="J248" s="127">
        <v>0.3</v>
      </c>
      <c r="K248" s="149"/>
      <c r="L248" s="149"/>
      <c r="M248" s="144">
        <v>765</v>
      </c>
      <c r="N248" s="129">
        <v>4.6100000000000003</v>
      </c>
      <c r="O248" s="129">
        <v>4.5650000000000004</v>
      </c>
      <c r="P248" s="129"/>
      <c r="Q248" s="129"/>
      <c r="R248" s="129" t="s">
        <v>116</v>
      </c>
      <c r="S248" s="284"/>
      <c r="T248" s="130" t="s">
        <v>1206</v>
      </c>
      <c r="U248" s="130" t="s">
        <v>1143</v>
      </c>
      <c r="V248" s="131"/>
      <c r="W248" s="132" t="s">
        <v>2942</v>
      </c>
      <c r="X248" s="132" t="s">
        <v>3012</v>
      </c>
      <c r="Y248" s="132" t="s">
        <v>3462</v>
      </c>
      <c r="Z248" s="132">
        <v>44615</v>
      </c>
      <c r="AA248" s="132"/>
      <c r="AB248" s="133"/>
      <c r="AC248" s="126" t="s">
        <v>64</v>
      </c>
      <c r="AD248" s="134" t="s">
        <v>154</v>
      </c>
      <c r="AE248" s="134" t="s">
        <v>1190</v>
      </c>
      <c r="AF248" s="134"/>
      <c r="AG248" s="134">
        <v>44496</v>
      </c>
      <c r="AH248" s="134"/>
      <c r="AI248" s="134">
        <f t="shared" ca="1" si="32"/>
        <v>44963</v>
      </c>
      <c r="AJ248" s="126">
        <f t="shared" ca="1" si="33"/>
        <v>467</v>
      </c>
      <c r="AK248" s="126" t="e">
        <f t="shared" ca="1" si="34"/>
        <v>#VALUE!</v>
      </c>
      <c r="AL248" s="134"/>
      <c r="AM248" s="143" t="s">
        <v>2915</v>
      </c>
      <c r="AN248" s="129">
        <v>10.555</v>
      </c>
      <c r="AO248" s="129">
        <v>10.565</v>
      </c>
      <c r="AP248" s="129">
        <v>10.589999999999998</v>
      </c>
      <c r="AQ248" s="129">
        <v>10.594999999999999</v>
      </c>
      <c r="AR248" s="126" t="e">
        <f t="shared" ca="1" si="35"/>
        <v>#VALUE!</v>
      </c>
      <c r="AU248" s="99" t="s">
        <v>136</v>
      </c>
    </row>
    <row r="249" spans="1:59" s="99" customFormat="1" ht="21" customHeight="1" x14ac:dyDescent="0.35">
      <c r="A249" s="99">
        <v>421</v>
      </c>
      <c r="B249" s="126" t="str">
        <f t="shared" si="31"/>
        <v>0-304L/2B-001X762</v>
      </c>
      <c r="C249" s="126" t="s">
        <v>3460</v>
      </c>
      <c r="D249" s="126" t="s">
        <v>358</v>
      </c>
      <c r="E249" s="143" t="s">
        <v>1235</v>
      </c>
      <c r="F249" s="143" t="s">
        <v>2961</v>
      </c>
      <c r="G249" s="126" t="s">
        <v>230</v>
      </c>
      <c r="H249" s="126" t="s">
        <v>116</v>
      </c>
      <c r="I249" s="127">
        <v>0.95</v>
      </c>
      <c r="J249" s="127">
        <v>0.5</v>
      </c>
      <c r="K249" s="149"/>
      <c r="L249" s="149"/>
      <c r="M249" s="144">
        <v>762</v>
      </c>
      <c r="N249" s="129">
        <v>4.76</v>
      </c>
      <c r="O249" s="129">
        <v>4.7450000000000001</v>
      </c>
      <c r="P249" s="129"/>
      <c r="Q249" s="129"/>
      <c r="R249" s="129" t="s">
        <v>116</v>
      </c>
      <c r="S249" s="284"/>
      <c r="T249" s="130" t="s">
        <v>1206</v>
      </c>
      <c r="U249" s="130"/>
      <c r="V249" s="131" t="s">
        <v>305</v>
      </c>
      <c r="W249" s="132" t="s">
        <v>1237</v>
      </c>
      <c r="X249" s="132" t="s">
        <v>1237</v>
      </c>
      <c r="Y249" s="132" t="s">
        <v>1238</v>
      </c>
      <c r="Z249" s="132">
        <v>44616</v>
      </c>
      <c r="AA249" s="132"/>
      <c r="AB249" s="133"/>
      <c r="AC249" s="126" t="s">
        <v>64</v>
      </c>
      <c r="AD249" s="134" t="s">
        <v>154</v>
      </c>
      <c r="AE249" s="134" t="s">
        <v>1239</v>
      </c>
      <c r="AF249" s="134"/>
      <c r="AG249" s="134">
        <v>44496</v>
      </c>
      <c r="AH249" s="134"/>
      <c r="AI249" s="134">
        <f t="shared" ca="1" si="32"/>
        <v>44963</v>
      </c>
      <c r="AJ249" s="126">
        <f t="shared" ca="1" si="33"/>
        <v>467</v>
      </c>
      <c r="AK249" s="126" t="e">
        <f t="shared" ca="1" si="34"/>
        <v>#VALUE!</v>
      </c>
      <c r="AL249" s="134"/>
      <c r="AM249" s="143" t="s">
        <v>1240</v>
      </c>
      <c r="AN249" s="129">
        <v>10.484999999999999</v>
      </c>
      <c r="AO249" s="129">
        <v>10.494999999999999</v>
      </c>
      <c r="AP249" s="129">
        <v>10.519999999999998</v>
      </c>
      <c r="AQ249" s="129">
        <v>10.524999999999999</v>
      </c>
      <c r="AR249" s="126" t="e">
        <f t="shared" ca="1" si="35"/>
        <v>#VALUE!</v>
      </c>
      <c r="AU249" s="99" t="s">
        <v>136</v>
      </c>
    </row>
    <row r="250" spans="1:59" s="99" customFormat="1" ht="21" customHeight="1" x14ac:dyDescent="0.35">
      <c r="A250" s="99">
        <v>421</v>
      </c>
      <c r="B250" s="126" t="str">
        <f t="shared" si="31"/>
        <v>0-304L/2B-001X762</v>
      </c>
      <c r="C250" s="126" t="s">
        <v>3460</v>
      </c>
      <c r="D250" s="126" t="s">
        <v>358</v>
      </c>
      <c r="E250" s="143" t="s">
        <v>1235</v>
      </c>
      <c r="F250" s="143" t="s">
        <v>1236</v>
      </c>
      <c r="G250" s="126" t="s">
        <v>230</v>
      </c>
      <c r="H250" s="126" t="s">
        <v>116</v>
      </c>
      <c r="I250" s="127">
        <v>0.95</v>
      </c>
      <c r="J250" s="127">
        <v>0.5</v>
      </c>
      <c r="K250" s="149"/>
      <c r="L250" s="149"/>
      <c r="M250" s="144">
        <v>762</v>
      </c>
      <c r="N250" s="129">
        <v>5.6</v>
      </c>
      <c r="O250" s="129">
        <v>5.5750000000000002</v>
      </c>
      <c r="P250" s="129"/>
      <c r="Q250" s="129"/>
      <c r="R250" s="129" t="s">
        <v>116</v>
      </c>
      <c r="S250" s="284"/>
      <c r="T250" s="130" t="s">
        <v>1206</v>
      </c>
      <c r="U250" s="130"/>
      <c r="V250" s="131" t="s">
        <v>305</v>
      </c>
      <c r="W250" s="132" t="s">
        <v>1237</v>
      </c>
      <c r="X250" s="132" t="s">
        <v>1237</v>
      </c>
      <c r="Y250" s="132" t="s">
        <v>1238</v>
      </c>
      <c r="Z250" s="132">
        <v>44616</v>
      </c>
      <c r="AA250" s="132"/>
      <c r="AB250" s="133"/>
      <c r="AC250" s="126" t="s">
        <v>64</v>
      </c>
      <c r="AD250" s="134" t="s">
        <v>154</v>
      </c>
      <c r="AE250" s="134" t="s">
        <v>1239</v>
      </c>
      <c r="AF250" s="134"/>
      <c r="AG250" s="134">
        <v>44496</v>
      </c>
      <c r="AH250" s="134"/>
      <c r="AI250" s="134">
        <f t="shared" ca="1" si="32"/>
        <v>44963</v>
      </c>
      <c r="AJ250" s="126">
        <f t="shared" ca="1" si="33"/>
        <v>467</v>
      </c>
      <c r="AK250" s="126" t="e">
        <f t="shared" ca="1" si="34"/>
        <v>#VALUE!</v>
      </c>
      <c r="AL250" s="134"/>
      <c r="AM250" s="143" t="s">
        <v>1240</v>
      </c>
      <c r="AN250" s="129">
        <v>10.484999999999999</v>
      </c>
      <c r="AO250" s="129">
        <v>10.494999999999999</v>
      </c>
      <c r="AP250" s="129">
        <v>10.519999999999998</v>
      </c>
      <c r="AQ250" s="129">
        <v>10.524999999999999</v>
      </c>
      <c r="AR250" s="126" t="e">
        <f t="shared" ca="1" si="35"/>
        <v>#VALUE!</v>
      </c>
      <c r="AU250" s="99" t="s">
        <v>136</v>
      </c>
    </row>
    <row r="251" spans="1:59" s="583" customFormat="1" ht="21" customHeight="1" x14ac:dyDescent="0.35">
      <c r="A251" s="583">
        <v>419</v>
      </c>
      <c r="B251" s="584" t="str">
        <f t="shared" si="31"/>
        <v>0-304/2B-000X761</v>
      </c>
      <c r="C251" s="584" t="s">
        <v>3460</v>
      </c>
      <c r="D251" s="584" t="s">
        <v>63</v>
      </c>
      <c r="E251" s="586" t="s">
        <v>2955</v>
      </c>
      <c r="F251" s="586" t="s">
        <v>2956</v>
      </c>
      <c r="G251" s="584">
        <v>304</v>
      </c>
      <c r="H251" s="584" t="s">
        <v>116</v>
      </c>
      <c r="I251" s="587">
        <v>0.6</v>
      </c>
      <c r="J251" s="587">
        <v>0.3</v>
      </c>
      <c r="K251" s="719"/>
      <c r="L251" s="719"/>
      <c r="M251" s="723">
        <v>761</v>
      </c>
      <c r="N251" s="589">
        <v>6.1150000000000002</v>
      </c>
      <c r="O251" s="589">
        <v>6.11</v>
      </c>
      <c r="P251" s="589"/>
      <c r="Q251" s="589"/>
      <c r="R251" s="589" t="s">
        <v>116</v>
      </c>
      <c r="S251" s="593"/>
      <c r="T251" s="721" t="s">
        <v>1206</v>
      </c>
      <c r="U251" s="721" t="s">
        <v>1134</v>
      </c>
      <c r="V251" s="722" t="s">
        <v>2957</v>
      </c>
      <c r="W251" s="596" t="s">
        <v>2958</v>
      </c>
      <c r="X251" s="596" t="s">
        <v>2958</v>
      </c>
      <c r="Y251" s="596" t="s">
        <v>3463</v>
      </c>
      <c r="Z251" s="596" t="s">
        <v>2959</v>
      </c>
      <c r="AA251" s="596"/>
      <c r="AB251" s="597"/>
      <c r="AC251" s="584" t="s">
        <v>64</v>
      </c>
      <c r="AD251" s="598" t="s">
        <v>154</v>
      </c>
      <c r="AE251" s="598" t="s">
        <v>793</v>
      </c>
      <c r="AF251" s="598"/>
      <c r="AG251" s="598">
        <v>44444</v>
      </c>
      <c r="AH251" s="598"/>
      <c r="AI251" s="598">
        <f t="shared" ca="1" si="32"/>
        <v>44963</v>
      </c>
      <c r="AJ251" s="584">
        <f t="shared" ca="1" si="33"/>
        <v>519</v>
      </c>
      <c r="AK251" s="584" t="e">
        <f t="shared" ca="1" si="34"/>
        <v>#VALUE!</v>
      </c>
      <c r="AL251" s="598"/>
      <c r="AM251" s="586" t="s">
        <v>2960</v>
      </c>
      <c r="AN251" s="589">
        <v>12.145</v>
      </c>
      <c r="AO251" s="589">
        <v>12.154999999999999</v>
      </c>
      <c r="AP251" s="589">
        <v>12.179999999999998</v>
      </c>
      <c r="AQ251" s="589">
        <v>12.184999999999999</v>
      </c>
      <c r="AR251" s="584" t="e">
        <f t="shared" ca="1" si="35"/>
        <v>#VALUE!</v>
      </c>
      <c r="AU251" s="583" t="s">
        <v>136</v>
      </c>
      <c r="BG251" s="583" t="s">
        <v>281</v>
      </c>
    </row>
    <row r="252" spans="1:59" s="99" customFormat="1" ht="21" customHeight="1" x14ac:dyDescent="0.35">
      <c r="A252" s="99">
        <v>421</v>
      </c>
      <c r="B252" s="126" t="str">
        <f t="shared" si="31"/>
        <v>0-304L/2B-001X770</v>
      </c>
      <c r="C252" s="126" t="s">
        <v>3460</v>
      </c>
      <c r="D252" s="126" t="s">
        <v>358</v>
      </c>
      <c r="E252" s="143" t="s">
        <v>1232</v>
      </c>
      <c r="F252" s="143" t="s">
        <v>1233</v>
      </c>
      <c r="G252" s="126" t="s">
        <v>230</v>
      </c>
      <c r="H252" s="126" t="s">
        <v>116</v>
      </c>
      <c r="I252" s="127">
        <v>2.88</v>
      </c>
      <c r="J252" s="127">
        <v>0.8</v>
      </c>
      <c r="K252" s="149"/>
      <c r="L252" s="149"/>
      <c r="M252" s="144">
        <v>770</v>
      </c>
      <c r="N252" s="129">
        <v>7.91</v>
      </c>
      <c r="O252" s="129">
        <v>7.91</v>
      </c>
      <c r="P252" s="129"/>
      <c r="Q252" s="129"/>
      <c r="R252" s="129" t="s">
        <v>116</v>
      </c>
      <c r="S252" s="284"/>
      <c r="T252" s="130" t="s">
        <v>993</v>
      </c>
      <c r="U252" s="130"/>
      <c r="V252" s="131"/>
      <c r="W252" s="132">
        <v>44600</v>
      </c>
      <c r="X252" s="132">
        <v>44600</v>
      </c>
      <c r="Y252" s="132">
        <v>44617</v>
      </c>
      <c r="Z252" s="132"/>
      <c r="AA252" s="132"/>
      <c r="AB252" s="133"/>
      <c r="AC252" s="126" t="s">
        <v>64</v>
      </c>
      <c r="AD252" s="134" t="s">
        <v>154</v>
      </c>
      <c r="AE252" s="134" t="s">
        <v>1190</v>
      </c>
      <c r="AF252" s="134"/>
      <c r="AG252" s="134">
        <v>44496</v>
      </c>
      <c r="AH252" s="134"/>
      <c r="AI252" s="134">
        <f t="shared" ca="1" si="32"/>
        <v>44963</v>
      </c>
      <c r="AJ252" s="126">
        <f t="shared" ca="1" si="33"/>
        <v>467</v>
      </c>
      <c r="AK252" s="126">
        <f t="shared" ca="1" si="34"/>
        <v>346</v>
      </c>
      <c r="AL252" s="134"/>
      <c r="AM252" s="143" t="s">
        <v>1234</v>
      </c>
      <c r="AN252" s="129">
        <v>7.91</v>
      </c>
      <c r="AO252" s="129">
        <v>7.92</v>
      </c>
      <c r="AP252" s="129">
        <v>7.9450000000000003</v>
      </c>
      <c r="AQ252" s="129">
        <v>7.95</v>
      </c>
      <c r="AR252" s="126">
        <f t="shared" ca="1" si="35"/>
        <v>363</v>
      </c>
      <c r="AU252" s="99" t="s">
        <v>136</v>
      </c>
    </row>
    <row r="253" spans="1:59" s="99" customFormat="1" ht="21" customHeight="1" x14ac:dyDescent="0.35">
      <c r="A253" s="99">
        <v>422</v>
      </c>
      <c r="B253" s="126" t="str">
        <f t="shared" si="31"/>
        <v>0-304/2B-001X768</v>
      </c>
      <c r="C253" s="126" t="s">
        <v>3457</v>
      </c>
      <c r="D253" s="126" t="s">
        <v>3026</v>
      </c>
      <c r="E253" s="143" t="s">
        <v>2879</v>
      </c>
      <c r="F253" s="143" t="s">
        <v>3464</v>
      </c>
      <c r="G253" s="126">
        <v>304</v>
      </c>
      <c r="H253" s="126" t="s">
        <v>116</v>
      </c>
      <c r="I253" s="127">
        <v>3</v>
      </c>
      <c r="J253" s="127">
        <v>1.01</v>
      </c>
      <c r="K253" s="149"/>
      <c r="L253" s="149"/>
      <c r="M253" s="144">
        <v>768</v>
      </c>
      <c r="N253" s="129">
        <v>10.465</v>
      </c>
      <c r="O253" s="129">
        <f>4.02+6.395</f>
        <v>10.414999999999999</v>
      </c>
      <c r="P253" s="129"/>
      <c r="Q253" s="129"/>
      <c r="R253" s="129" t="s">
        <v>116</v>
      </c>
      <c r="S253" s="284" t="s">
        <v>3465</v>
      </c>
      <c r="T253" s="130" t="s">
        <v>3466</v>
      </c>
      <c r="U253" s="130"/>
      <c r="V253" s="131"/>
      <c r="W253" s="132">
        <v>44613</v>
      </c>
      <c r="X253" s="132">
        <v>44614</v>
      </c>
      <c r="Y253" s="132"/>
      <c r="Z253" s="132"/>
      <c r="AA253" s="132"/>
      <c r="AB253" s="133"/>
      <c r="AC253" s="126" t="s">
        <v>64</v>
      </c>
      <c r="AD253" s="134" t="s">
        <v>154</v>
      </c>
      <c r="AE253" s="134" t="s">
        <v>1296</v>
      </c>
      <c r="AF253" s="134"/>
      <c r="AG253" s="134">
        <v>44516</v>
      </c>
      <c r="AH253" s="134"/>
      <c r="AI253" s="134">
        <f t="shared" ca="1" si="32"/>
        <v>44963</v>
      </c>
      <c r="AJ253" s="126">
        <f t="shared" ca="1" si="33"/>
        <v>447</v>
      </c>
      <c r="AK253" s="126" t="str">
        <f t="shared" si="34"/>
        <v/>
      </c>
      <c r="AL253" s="134"/>
      <c r="AM253" s="143" t="s">
        <v>2881</v>
      </c>
      <c r="AN253" s="129">
        <v>10.455</v>
      </c>
      <c r="AO253" s="129">
        <v>10.465</v>
      </c>
      <c r="AP253" s="129">
        <v>10.489999999999998</v>
      </c>
      <c r="AQ253" s="129">
        <v>10.494999999999999</v>
      </c>
      <c r="AR253" s="126">
        <f t="shared" ca="1" si="35"/>
        <v>349</v>
      </c>
      <c r="AU253" s="99" t="s">
        <v>136</v>
      </c>
    </row>
    <row r="254" spans="1:59" s="99" customFormat="1" ht="21" customHeight="1" x14ac:dyDescent="0.35">
      <c r="A254" s="99">
        <v>422</v>
      </c>
      <c r="B254" s="126" t="str">
        <f t="shared" si="31"/>
        <v>0-304/2B-001X770</v>
      </c>
      <c r="C254" s="126" t="s">
        <v>3467</v>
      </c>
      <c r="D254" s="126" t="s">
        <v>3026</v>
      </c>
      <c r="E254" s="143" t="s">
        <v>2898</v>
      </c>
      <c r="F254" s="143" t="s">
        <v>3468</v>
      </c>
      <c r="G254" s="126">
        <v>304</v>
      </c>
      <c r="H254" s="126" t="s">
        <v>116</v>
      </c>
      <c r="I254" s="127">
        <v>3.5</v>
      </c>
      <c r="J254" s="127">
        <v>1.2</v>
      </c>
      <c r="K254" s="149"/>
      <c r="L254" s="149"/>
      <c r="M254" s="144">
        <v>770</v>
      </c>
      <c r="N254" s="129">
        <v>10.455</v>
      </c>
      <c r="O254" s="129">
        <f>4.63+5.77</f>
        <v>10.399999999999999</v>
      </c>
      <c r="P254" s="129"/>
      <c r="Q254" s="129"/>
      <c r="R254" s="129" t="s">
        <v>116</v>
      </c>
      <c r="S254" s="284" t="s">
        <v>3434</v>
      </c>
      <c r="T254" s="130" t="s">
        <v>1206</v>
      </c>
      <c r="U254" s="130"/>
      <c r="V254" s="131"/>
      <c r="W254" s="132">
        <v>44615</v>
      </c>
      <c r="X254" s="132">
        <v>44615</v>
      </c>
      <c r="Y254" s="132"/>
      <c r="Z254" s="132"/>
      <c r="AA254" s="132"/>
      <c r="AB254" s="133"/>
      <c r="AC254" s="126" t="s">
        <v>64</v>
      </c>
      <c r="AD254" s="134" t="s">
        <v>154</v>
      </c>
      <c r="AE254" s="134" t="s">
        <v>1296</v>
      </c>
      <c r="AF254" s="134"/>
      <c r="AG254" s="134">
        <v>44516</v>
      </c>
      <c r="AH254" s="134"/>
      <c r="AI254" s="134">
        <f t="shared" ca="1" si="32"/>
        <v>44963</v>
      </c>
      <c r="AJ254" s="126">
        <f t="shared" ca="1" si="33"/>
        <v>447</v>
      </c>
      <c r="AK254" s="126" t="str">
        <f t="shared" si="34"/>
        <v/>
      </c>
      <c r="AL254" s="134"/>
      <c r="AM254" s="143" t="s">
        <v>2900</v>
      </c>
      <c r="AN254" s="129">
        <v>10.43</v>
      </c>
      <c r="AO254" s="129">
        <v>10.44</v>
      </c>
      <c r="AP254" s="129">
        <v>10.464999999999998</v>
      </c>
      <c r="AQ254" s="129">
        <v>10.469999999999999</v>
      </c>
      <c r="AR254" s="126">
        <f t="shared" ca="1" si="35"/>
        <v>348</v>
      </c>
      <c r="AU254" s="99" t="s">
        <v>136</v>
      </c>
    </row>
    <row r="255" spans="1:59" s="99" customFormat="1" ht="21" customHeight="1" x14ac:dyDescent="0.35">
      <c r="A255" s="99">
        <v>422</v>
      </c>
      <c r="B255" s="126" t="str">
        <f t="shared" si="31"/>
        <v>0-304L/2B-002X777</v>
      </c>
      <c r="C255" s="126" t="s">
        <v>3467</v>
      </c>
      <c r="D255" s="126" t="s">
        <v>3026</v>
      </c>
      <c r="E255" s="143" t="s">
        <v>2944</v>
      </c>
      <c r="F255" s="143" t="s">
        <v>3469</v>
      </c>
      <c r="G255" s="126" t="s">
        <v>230</v>
      </c>
      <c r="H255" s="126" t="s">
        <v>116</v>
      </c>
      <c r="I255" s="127">
        <v>3.8</v>
      </c>
      <c r="J255" s="127">
        <v>2</v>
      </c>
      <c r="K255" s="149"/>
      <c r="L255" s="149"/>
      <c r="M255" s="144">
        <v>777</v>
      </c>
      <c r="N255" s="129">
        <v>10.484999999999999</v>
      </c>
      <c r="O255" s="129">
        <f>5.185+5.25</f>
        <v>10.434999999999999</v>
      </c>
      <c r="P255" s="129"/>
      <c r="Q255" s="129"/>
      <c r="R255" s="129" t="s">
        <v>116</v>
      </c>
      <c r="S255" s="284" t="s">
        <v>3434</v>
      </c>
      <c r="T255" s="130" t="s">
        <v>1206</v>
      </c>
      <c r="U255" s="130"/>
      <c r="V255" s="131"/>
      <c r="W255" s="132">
        <v>44616</v>
      </c>
      <c r="X255" s="132">
        <v>44616</v>
      </c>
      <c r="Y255" s="132"/>
      <c r="Z255" s="132"/>
      <c r="AA255" s="132"/>
      <c r="AB255" s="133"/>
      <c r="AC255" s="126" t="s">
        <v>64</v>
      </c>
      <c r="AD255" s="134" t="s">
        <v>154</v>
      </c>
      <c r="AE255" s="134" t="s">
        <v>1330</v>
      </c>
      <c r="AF255" s="134"/>
      <c r="AG255" s="134">
        <v>44516</v>
      </c>
      <c r="AH255" s="134"/>
      <c r="AI255" s="134">
        <f t="shared" ca="1" si="32"/>
        <v>44963</v>
      </c>
      <c r="AJ255" s="126">
        <f t="shared" ca="1" si="33"/>
        <v>447</v>
      </c>
      <c r="AK255" s="126" t="str">
        <f t="shared" si="34"/>
        <v/>
      </c>
      <c r="AL255" s="134"/>
      <c r="AM255" s="143" t="s">
        <v>2946</v>
      </c>
      <c r="AN255" s="129">
        <v>10.475</v>
      </c>
      <c r="AO255" s="129">
        <v>10.484999999999999</v>
      </c>
      <c r="AP255" s="129">
        <v>10.509999999999998</v>
      </c>
      <c r="AQ255" s="129">
        <v>10.514999999999999</v>
      </c>
      <c r="AR255" s="126">
        <f t="shared" ca="1" si="35"/>
        <v>347</v>
      </c>
      <c r="AU255" s="99" t="s">
        <v>136</v>
      </c>
    </row>
    <row r="256" spans="1:59" s="99" customFormat="1" ht="21" customHeight="1" x14ac:dyDescent="0.35">
      <c r="A256" s="99">
        <v>421</v>
      </c>
      <c r="B256" s="126" t="str">
        <f t="shared" si="31"/>
        <v>0-304L/2B-001X770</v>
      </c>
      <c r="C256" s="126" t="s">
        <v>3467</v>
      </c>
      <c r="D256" s="126" t="s">
        <v>3026</v>
      </c>
      <c r="E256" s="143" t="s">
        <v>2934</v>
      </c>
      <c r="F256" s="143" t="s">
        <v>3470</v>
      </c>
      <c r="G256" s="126" t="s">
        <v>230</v>
      </c>
      <c r="H256" s="126" t="s">
        <v>116</v>
      </c>
      <c r="I256" s="127">
        <v>3.32</v>
      </c>
      <c r="J256" s="127">
        <v>1.1499999999999999</v>
      </c>
      <c r="K256" s="149"/>
      <c r="L256" s="149"/>
      <c r="M256" s="144">
        <v>770</v>
      </c>
      <c r="N256" s="129">
        <v>10.574999999999999</v>
      </c>
      <c r="O256" s="129">
        <f>5.21+5.305</f>
        <v>10.515000000000001</v>
      </c>
      <c r="P256" s="129"/>
      <c r="Q256" s="129"/>
      <c r="R256" s="129" t="s">
        <v>116</v>
      </c>
      <c r="S256" s="284" t="s">
        <v>3431</v>
      </c>
      <c r="T256" s="130" t="s">
        <v>1326</v>
      </c>
      <c r="U256" s="130"/>
      <c r="V256" s="131"/>
      <c r="W256" s="132">
        <v>44616</v>
      </c>
      <c r="X256" s="132">
        <v>44616</v>
      </c>
      <c r="Y256" s="132"/>
      <c r="Z256" s="132"/>
      <c r="AA256" s="132"/>
      <c r="AB256" s="133"/>
      <c r="AC256" s="126" t="s">
        <v>64</v>
      </c>
      <c r="AD256" s="134" t="s">
        <v>154</v>
      </c>
      <c r="AE256" s="134" t="s">
        <v>1246</v>
      </c>
      <c r="AF256" s="134"/>
      <c r="AG256" s="134">
        <v>44496</v>
      </c>
      <c r="AH256" s="134"/>
      <c r="AI256" s="134">
        <f t="shared" ca="1" si="32"/>
        <v>44963</v>
      </c>
      <c r="AJ256" s="126">
        <f t="shared" ca="1" si="33"/>
        <v>467</v>
      </c>
      <c r="AK256" s="126" t="str">
        <f t="shared" si="34"/>
        <v/>
      </c>
      <c r="AL256" s="134"/>
      <c r="AM256" s="143" t="s">
        <v>2936</v>
      </c>
      <c r="AN256" s="129">
        <v>10.555</v>
      </c>
      <c r="AO256" s="129">
        <v>10.565</v>
      </c>
      <c r="AP256" s="129">
        <v>10.589999999999998</v>
      </c>
      <c r="AQ256" s="129">
        <v>10.594999999999999</v>
      </c>
      <c r="AR256" s="126">
        <f t="shared" ca="1" si="35"/>
        <v>347</v>
      </c>
      <c r="AU256" s="99" t="s">
        <v>136</v>
      </c>
    </row>
    <row r="257" spans="1:59" s="99" customFormat="1" ht="21" customHeight="1" x14ac:dyDescent="0.35">
      <c r="A257" s="99">
        <v>421</v>
      </c>
      <c r="B257" s="126" t="str">
        <f t="shared" si="31"/>
        <v>0-304L/2B-001X770</v>
      </c>
      <c r="C257" s="126" t="s">
        <v>3467</v>
      </c>
      <c r="D257" s="126" t="s">
        <v>3026</v>
      </c>
      <c r="E257" s="143" t="s">
        <v>2947</v>
      </c>
      <c r="F257" s="143" t="s">
        <v>3471</v>
      </c>
      <c r="G257" s="126" t="s">
        <v>230</v>
      </c>
      <c r="H257" s="126" t="s">
        <v>116</v>
      </c>
      <c r="I257" s="127">
        <v>3.78</v>
      </c>
      <c r="J257" s="127">
        <v>1.31</v>
      </c>
      <c r="K257" s="149"/>
      <c r="L257" s="149"/>
      <c r="M257" s="144">
        <v>770</v>
      </c>
      <c r="N257" s="129">
        <v>12.065</v>
      </c>
      <c r="O257" s="129">
        <f>6.06+5.935</f>
        <v>11.994999999999999</v>
      </c>
      <c r="P257" s="129"/>
      <c r="Q257" s="129"/>
      <c r="R257" s="129" t="s">
        <v>116</v>
      </c>
      <c r="S257" s="284" t="s">
        <v>3431</v>
      </c>
      <c r="T257" s="130" t="s">
        <v>1326</v>
      </c>
      <c r="U257" s="130"/>
      <c r="V257" s="131"/>
      <c r="W257" s="132">
        <v>44616</v>
      </c>
      <c r="X257" s="132">
        <v>44617</v>
      </c>
      <c r="Y257" s="132"/>
      <c r="Z257" s="132"/>
      <c r="AA257" s="132"/>
      <c r="AB257" s="133"/>
      <c r="AC257" s="126" t="s">
        <v>64</v>
      </c>
      <c r="AD257" s="134" t="s">
        <v>154</v>
      </c>
      <c r="AE257" s="134" t="s">
        <v>1256</v>
      </c>
      <c r="AF257" s="134"/>
      <c r="AG257" s="134">
        <v>44496</v>
      </c>
      <c r="AH257" s="134"/>
      <c r="AI257" s="134">
        <f t="shared" ca="1" si="32"/>
        <v>44963</v>
      </c>
      <c r="AJ257" s="126">
        <f t="shared" ca="1" si="33"/>
        <v>467</v>
      </c>
      <c r="AK257" s="126" t="str">
        <f t="shared" si="34"/>
        <v/>
      </c>
      <c r="AL257" s="134"/>
      <c r="AM257" s="143" t="s">
        <v>2949</v>
      </c>
      <c r="AN257" s="129">
        <v>12.04</v>
      </c>
      <c r="AO257" s="129">
        <v>12.05</v>
      </c>
      <c r="AP257" s="129">
        <v>12.074999999999999</v>
      </c>
      <c r="AQ257" s="129">
        <v>12.08</v>
      </c>
      <c r="AR257" s="126">
        <f t="shared" ca="1" si="35"/>
        <v>346</v>
      </c>
      <c r="AU257" s="99" t="s">
        <v>136</v>
      </c>
    </row>
    <row r="258" spans="1:59" s="99" customFormat="1" ht="21" customHeight="1" x14ac:dyDescent="0.35">
      <c r="A258" s="99">
        <v>421</v>
      </c>
      <c r="B258" s="126" t="str">
        <f t="shared" si="31"/>
        <v>0-304L/2B-000X762</v>
      </c>
      <c r="C258" s="126" t="s">
        <v>3472</v>
      </c>
      <c r="D258" s="126" t="s">
        <v>358</v>
      </c>
      <c r="E258" s="143" t="s">
        <v>2913</v>
      </c>
      <c r="F258" s="143" t="s">
        <v>2962</v>
      </c>
      <c r="G258" s="126" t="s">
        <v>230</v>
      </c>
      <c r="H258" s="126" t="s">
        <v>116</v>
      </c>
      <c r="I258" s="127">
        <v>0.6</v>
      </c>
      <c r="J258" s="127">
        <v>0.3</v>
      </c>
      <c r="K258" s="149"/>
      <c r="L258" s="149"/>
      <c r="M258" s="144">
        <v>762</v>
      </c>
      <c r="N258" s="129">
        <v>4.99</v>
      </c>
      <c r="O258" s="129">
        <v>4.97</v>
      </c>
      <c r="P258" s="129"/>
      <c r="Q258" s="129"/>
      <c r="R258" s="129" t="s">
        <v>116</v>
      </c>
      <c r="S258" s="284"/>
      <c r="T258" s="130" t="s">
        <v>1206</v>
      </c>
      <c r="U258" s="130"/>
      <c r="V258" s="131"/>
      <c r="W258" s="132" t="s">
        <v>1237</v>
      </c>
      <c r="X258" s="132" t="s">
        <v>3018</v>
      </c>
      <c r="Y258" s="132" t="s">
        <v>3473</v>
      </c>
      <c r="Z258" s="132">
        <v>44617</v>
      </c>
      <c r="AA258" s="132"/>
      <c r="AB258" s="133"/>
      <c r="AC258" s="126" t="s">
        <v>64</v>
      </c>
      <c r="AD258" s="134" t="s">
        <v>154</v>
      </c>
      <c r="AE258" s="134" t="s">
        <v>1190</v>
      </c>
      <c r="AF258" s="134"/>
      <c r="AG258" s="134">
        <v>44496</v>
      </c>
      <c r="AH258" s="134"/>
      <c r="AI258" s="134">
        <f t="shared" ca="1" si="32"/>
        <v>44963</v>
      </c>
      <c r="AJ258" s="126">
        <f t="shared" ca="1" si="33"/>
        <v>467</v>
      </c>
      <c r="AK258" s="126" t="e">
        <f t="shared" ca="1" si="34"/>
        <v>#VALUE!</v>
      </c>
      <c r="AL258" s="134"/>
      <c r="AM258" s="143" t="s">
        <v>2915</v>
      </c>
      <c r="AN258" s="129">
        <v>10.54</v>
      </c>
      <c r="AO258" s="129">
        <v>10.55</v>
      </c>
      <c r="AP258" s="129">
        <v>10.574999999999999</v>
      </c>
      <c r="AQ258" s="129">
        <v>10.58</v>
      </c>
      <c r="AR258" s="126" t="e">
        <f t="shared" ca="1" si="35"/>
        <v>#VALUE!</v>
      </c>
      <c r="AU258" s="99" t="s">
        <v>136</v>
      </c>
    </row>
    <row r="259" spans="1:59" s="99" customFormat="1" ht="21" customHeight="1" x14ac:dyDescent="0.35">
      <c r="A259" s="99">
        <v>422</v>
      </c>
      <c r="B259" s="126" t="str">
        <f t="shared" si="31"/>
        <v>0-304L/2B-001X766</v>
      </c>
      <c r="C259" s="126" t="s">
        <v>3467</v>
      </c>
      <c r="D259" s="126" t="s">
        <v>3026</v>
      </c>
      <c r="E259" s="143" t="s">
        <v>2604</v>
      </c>
      <c r="F259" s="143" t="s">
        <v>3474</v>
      </c>
      <c r="G259" s="126" t="s">
        <v>230</v>
      </c>
      <c r="H259" s="126" t="s">
        <v>116</v>
      </c>
      <c r="I259" s="127">
        <v>2.91</v>
      </c>
      <c r="J259" s="127">
        <v>0.95</v>
      </c>
      <c r="K259" s="149"/>
      <c r="L259" s="149"/>
      <c r="M259" s="144">
        <v>766</v>
      </c>
      <c r="N259" s="129">
        <v>2.4649999999999999</v>
      </c>
      <c r="O259" s="129">
        <v>2.4649999999999999</v>
      </c>
      <c r="P259" s="129"/>
      <c r="Q259" s="129"/>
      <c r="R259" s="129" t="s">
        <v>116</v>
      </c>
      <c r="S259" s="284" t="s">
        <v>3205</v>
      </c>
      <c r="T259" s="130" t="s">
        <v>993</v>
      </c>
      <c r="U259" s="130"/>
      <c r="V259" s="131"/>
      <c r="W259" s="132">
        <v>44600</v>
      </c>
      <c r="X259" s="132">
        <v>44600</v>
      </c>
      <c r="Y259" s="132"/>
      <c r="Z259" s="132"/>
      <c r="AA259" s="132"/>
      <c r="AB259" s="133"/>
      <c r="AC259" s="126" t="s">
        <v>64</v>
      </c>
      <c r="AD259" s="134" t="s">
        <v>154</v>
      </c>
      <c r="AE259" s="134" t="s">
        <v>1296</v>
      </c>
      <c r="AF259" s="134"/>
      <c r="AG259" s="134">
        <v>44516</v>
      </c>
      <c r="AH259" s="134"/>
      <c r="AI259" s="134">
        <f t="shared" ca="1" si="32"/>
        <v>44963</v>
      </c>
      <c r="AJ259" s="126">
        <f t="shared" ca="1" si="33"/>
        <v>447</v>
      </c>
      <c r="AK259" s="126" t="str">
        <f t="shared" si="34"/>
        <v/>
      </c>
      <c r="AL259" s="134"/>
      <c r="AM259" s="143" t="s">
        <v>1304</v>
      </c>
      <c r="AN259" s="129">
        <v>8.5549999999999997</v>
      </c>
      <c r="AO259" s="129">
        <v>8.5649999999999995</v>
      </c>
      <c r="AP259" s="129">
        <v>8.5899999999999981</v>
      </c>
      <c r="AQ259" s="129">
        <v>8.5949999999999989</v>
      </c>
      <c r="AR259" s="126">
        <f t="shared" ca="1" si="35"/>
        <v>363</v>
      </c>
      <c r="AU259" s="99" t="s">
        <v>136</v>
      </c>
    </row>
    <row r="260" spans="1:59" s="99" customFormat="1" ht="21" customHeight="1" x14ac:dyDescent="0.35">
      <c r="A260" s="99">
        <v>424</v>
      </c>
      <c r="B260" s="126" t="str">
        <f t="shared" si="31"/>
        <v>0-304/2B-001X770</v>
      </c>
      <c r="C260" s="126" t="s">
        <v>3467</v>
      </c>
      <c r="D260" s="126" t="s">
        <v>3026</v>
      </c>
      <c r="E260" s="143" t="s">
        <v>2951</v>
      </c>
      <c r="F260" s="143" t="s">
        <v>3475</v>
      </c>
      <c r="G260" s="126">
        <v>304</v>
      </c>
      <c r="H260" s="126" t="s">
        <v>116</v>
      </c>
      <c r="I260" s="127">
        <v>3.78</v>
      </c>
      <c r="J260" s="127">
        <v>1.31</v>
      </c>
      <c r="K260" s="149"/>
      <c r="L260" s="149"/>
      <c r="M260" s="144">
        <v>770</v>
      </c>
      <c r="N260" s="129">
        <v>11.845000000000001</v>
      </c>
      <c r="O260" s="129">
        <f>4.025+4.015+3.735</f>
        <v>11.774999999999999</v>
      </c>
      <c r="P260" s="129"/>
      <c r="Q260" s="129"/>
      <c r="R260" s="129" t="s">
        <v>116</v>
      </c>
      <c r="S260" s="284" t="s">
        <v>3431</v>
      </c>
      <c r="T260" s="130" t="s">
        <v>1326</v>
      </c>
      <c r="U260" s="130"/>
      <c r="V260" s="131"/>
      <c r="W260" s="132">
        <v>44617</v>
      </c>
      <c r="X260" s="132">
        <v>44617</v>
      </c>
      <c r="Y260" s="132"/>
      <c r="Z260" s="132"/>
      <c r="AA260" s="132"/>
      <c r="AB260" s="133" t="s">
        <v>1395</v>
      </c>
      <c r="AC260" s="126" t="s">
        <v>64</v>
      </c>
      <c r="AD260" s="134" t="s">
        <v>154</v>
      </c>
      <c r="AE260" s="134" t="s">
        <v>1516</v>
      </c>
      <c r="AF260" s="134"/>
      <c r="AG260" s="134">
        <v>44554</v>
      </c>
      <c r="AH260" s="134"/>
      <c r="AI260" s="134">
        <f t="shared" ca="1" si="32"/>
        <v>44963</v>
      </c>
      <c r="AJ260" s="126">
        <f t="shared" ca="1" si="33"/>
        <v>409</v>
      </c>
      <c r="AK260" s="126" t="str">
        <f t="shared" si="34"/>
        <v/>
      </c>
      <c r="AL260" s="134"/>
      <c r="AM260" s="143" t="s">
        <v>1718</v>
      </c>
      <c r="AN260" s="129">
        <v>11.82</v>
      </c>
      <c r="AO260" s="129">
        <v>11.83</v>
      </c>
      <c r="AP260" s="129">
        <v>11.854999999999999</v>
      </c>
      <c r="AQ260" s="129">
        <v>11.86</v>
      </c>
      <c r="AR260" s="126">
        <f t="shared" ca="1" si="35"/>
        <v>346</v>
      </c>
      <c r="AU260" s="99" t="s">
        <v>136</v>
      </c>
    </row>
    <row r="261" spans="1:59" s="99" customFormat="1" ht="21" customHeight="1" x14ac:dyDescent="0.35">
      <c r="A261" s="99">
        <v>424</v>
      </c>
      <c r="B261" s="126" t="str">
        <f t="shared" si="31"/>
        <v>0-304/2B-001X770</v>
      </c>
      <c r="C261" s="126" t="s">
        <v>3472</v>
      </c>
      <c r="D261" s="126" t="s">
        <v>358</v>
      </c>
      <c r="E261" s="143" t="s">
        <v>2918</v>
      </c>
      <c r="F261" s="143" t="s">
        <v>2919</v>
      </c>
      <c r="G261" s="126">
        <v>304</v>
      </c>
      <c r="H261" s="126" t="s">
        <v>116</v>
      </c>
      <c r="I261" s="127">
        <v>3.25</v>
      </c>
      <c r="J261" s="127">
        <v>1.1599999999999999</v>
      </c>
      <c r="K261" s="149"/>
      <c r="L261" s="149"/>
      <c r="M261" s="144">
        <v>770</v>
      </c>
      <c r="N261" s="129">
        <v>10.59</v>
      </c>
      <c r="O261" s="129">
        <v>10.555</v>
      </c>
      <c r="P261" s="129"/>
      <c r="Q261" s="129"/>
      <c r="R261" s="129" t="s">
        <v>116</v>
      </c>
      <c r="S261" s="284"/>
      <c r="T261" s="130" t="s">
        <v>284</v>
      </c>
      <c r="U261" s="130"/>
      <c r="V261" s="131"/>
      <c r="W261" s="132">
        <v>44615</v>
      </c>
      <c r="X261" s="132">
        <v>44616</v>
      </c>
      <c r="Y261" s="132">
        <v>44618</v>
      </c>
      <c r="Z261" s="132"/>
      <c r="AA261" s="132"/>
      <c r="AB261" s="133" t="s">
        <v>1395</v>
      </c>
      <c r="AC261" s="126" t="s">
        <v>64</v>
      </c>
      <c r="AD261" s="134" t="s">
        <v>154</v>
      </c>
      <c r="AE261" s="134" t="s">
        <v>1330</v>
      </c>
      <c r="AF261" s="134"/>
      <c r="AG261" s="134">
        <v>44554</v>
      </c>
      <c r="AH261" s="134"/>
      <c r="AI261" s="134">
        <f t="shared" ca="1" si="32"/>
        <v>44963</v>
      </c>
      <c r="AJ261" s="126">
        <f t="shared" ca="1" si="33"/>
        <v>409</v>
      </c>
      <c r="AK261" s="126">
        <f t="shared" ca="1" si="34"/>
        <v>345</v>
      </c>
      <c r="AL261" s="134"/>
      <c r="AM261" s="143" t="s">
        <v>1424</v>
      </c>
      <c r="AN261" s="129">
        <v>10.565</v>
      </c>
      <c r="AO261" s="129">
        <v>10.574999999999999</v>
      </c>
      <c r="AP261" s="129">
        <v>10.599999999999998</v>
      </c>
      <c r="AQ261" s="129">
        <v>10.604999999999999</v>
      </c>
      <c r="AR261" s="126">
        <f t="shared" ca="1" si="35"/>
        <v>347</v>
      </c>
      <c r="AU261" s="99" t="s">
        <v>136</v>
      </c>
    </row>
    <row r="262" spans="1:59" s="99" customFormat="1" ht="21" customHeight="1" x14ac:dyDescent="0.35">
      <c r="A262" s="99">
        <v>422</v>
      </c>
      <c r="B262" s="126" t="str">
        <f t="shared" si="31"/>
        <v>0-304L/2B-001X768</v>
      </c>
      <c r="C262" s="126" t="s">
        <v>3472</v>
      </c>
      <c r="D262" s="126" t="s">
        <v>358</v>
      </c>
      <c r="E262" s="143" t="s">
        <v>2891</v>
      </c>
      <c r="F262" s="143" t="s">
        <v>2892</v>
      </c>
      <c r="G262" s="126" t="s">
        <v>230</v>
      </c>
      <c r="H262" s="126" t="s">
        <v>116</v>
      </c>
      <c r="I262" s="127">
        <v>3.23</v>
      </c>
      <c r="J262" s="127">
        <v>1.1599999999999999</v>
      </c>
      <c r="K262" s="149"/>
      <c r="L262" s="149"/>
      <c r="M262" s="144">
        <v>768</v>
      </c>
      <c r="N262" s="129">
        <v>11.73</v>
      </c>
      <c r="O262" s="129">
        <v>11.69</v>
      </c>
      <c r="P262" s="129"/>
      <c r="Q262" s="129"/>
      <c r="R262" s="129" t="s">
        <v>116</v>
      </c>
      <c r="S262" s="284"/>
      <c r="T262" s="130" t="s">
        <v>284</v>
      </c>
      <c r="U262" s="130"/>
      <c r="V262" s="131"/>
      <c r="W262" s="132">
        <v>44614</v>
      </c>
      <c r="X262" s="132">
        <v>44614</v>
      </c>
      <c r="Y262" s="132">
        <v>44618</v>
      </c>
      <c r="Z262" s="132"/>
      <c r="AA262" s="132"/>
      <c r="AB262" s="133"/>
      <c r="AC262" s="126" t="s">
        <v>64</v>
      </c>
      <c r="AD262" s="134" t="s">
        <v>154</v>
      </c>
      <c r="AE262" s="134" t="s">
        <v>1330</v>
      </c>
      <c r="AF262" s="134"/>
      <c r="AG262" s="134">
        <v>44516</v>
      </c>
      <c r="AH262" s="134"/>
      <c r="AI262" s="134">
        <f t="shared" ca="1" si="32"/>
        <v>44963</v>
      </c>
      <c r="AJ262" s="126">
        <f t="shared" ca="1" si="33"/>
        <v>447</v>
      </c>
      <c r="AK262" s="126">
        <f t="shared" ca="1" si="34"/>
        <v>345</v>
      </c>
      <c r="AL262" s="134"/>
      <c r="AM262" s="143" t="s">
        <v>2893</v>
      </c>
      <c r="AN262" s="129">
        <v>11.71</v>
      </c>
      <c r="AO262" s="129">
        <v>11.72</v>
      </c>
      <c r="AP262" s="129">
        <v>11.744999999999999</v>
      </c>
      <c r="AQ262" s="129">
        <v>11.75</v>
      </c>
      <c r="AR262" s="126">
        <f t="shared" ca="1" si="35"/>
        <v>349</v>
      </c>
      <c r="AU262" s="99" t="s">
        <v>136</v>
      </c>
    </row>
    <row r="263" spans="1:59" s="99" customFormat="1" ht="21" customHeight="1" x14ac:dyDescent="0.35">
      <c r="A263" s="99">
        <v>422</v>
      </c>
      <c r="B263" s="126" t="str">
        <f t="shared" si="31"/>
        <v>0-304/2B-001X768</v>
      </c>
      <c r="C263" s="126" t="s">
        <v>3476</v>
      </c>
      <c r="D263" s="126" t="s">
        <v>358</v>
      </c>
      <c r="E263" s="143" t="s">
        <v>1290</v>
      </c>
      <c r="F263" s="143" t="s">
        <v>1291</v>
      </c>
      <c r="G263" s="126">
        <v>304</v>
      </c>
      <c r="H263" s="126" t="s">
        <v>116</v>
      </c>
      <c r="I263" s="127">
        <v>1.98</v>
      </c>
      <c r="J263" s="127">
        <v>0.95</v>
      </c>
      <c r="K263" s="149">
        <v>0.93</v>
      </c>
      <c r="L263" s="149">
        <v>0.95</v>
      </c>
      <c r="M263" s="144">
        <v>768</v>
      </c>
      <c r="N263" s="129">
        <v>10.42</v>
      </c>
      <c r="O263" s="129">
        <v>10.385</v>
      </c>
      <c r="P263" s="129"/>
      <c r="Q263" s="129"/>
      <c r="R263" s="129" t="s">
        <v>116</v>
      </c>
      <c r="S263" s="284"/>
      <c r="T263" s="130" t="s">
        <v>1292</v>
      </c>
      <c r="U263" s="130" t="s">
        <v>267</v>
      </c>
      <c r="V263" s="131" t="s">
        <v>1293</v>
      </c>
      <c r="W263" s="132" t="s">
        <v>1294</v>
      </c>
      <c r="X263" s="132" t="s">
        <v>1294</v>
      </c>
      <c r="Y263" s="132" t="s">
        <v>1295</v>
      </c>
      <c r="Z263" s="132"/>
      <c r="AA263" s="132"/>
      <c r="AB263" s="133"/>
      <c r="AC263" s="126" t="s">
        <v>64</v>
      </c>
      <c r="AD263" s="134" t="s">
        <v>154</v>
      </c>
      <c r="AE263" s="134" t="s">
        <v>1296</v>
      </c>
      <c r="AF263" s="134"/>
      <c r="AG263" s="134">
        <v>44516</v>
      </c>
      <c r="AH263" s="134"/>
      <c r="AI263" s="134">
        <f t="shared" ca="1" si="32"/>
        <v>44963</v>
      </c>
      <c r="AJ263" s="126">
        <f t="shared" ca="1" si="33"/>
        <v>447</v>
      </c>
      <c r="AK263" s="126" t="e">
        <f t="shared" ca="1" si="34"/>
        <v>#VALUE!</v>
      </c>
      <c r="AL263" s="134"/>
      <c r="AM263" s="143" t="s">
        <v>1297</v>
      </c>
      <c r="AN263" s="129">
        <v>10.425000000000001</v>
      </c>
      <c r="AO263" s="129">
        <v>10.435</v>
      </c>
      <c r="AP263" s="129">
        <v>10.459999999999999</v>
      </c>
      <c r="AQ263" s="129">
        <v>10.465</v>
      </c>
      <c r="AR263" s="126">
        <f t="shared" ca="1" si="35"/>
        <v>188</v>
      </c>
      <c r="AU263" s="99" t="s">
        <v>136</v>
      </c>
    </row>
    <row r="264" spans="1:59" s="99" customFormat="1" ht="21" customHeight="1" x14ac:dyDescent="0.35">
      <c r="A264" s="99">
        <v>422</v>
      </c>
      <c r="B264" s="126" t="str">
        <f t="shared" si="31"/>
        <v>0-304L/2B-001X765</v>
      </c>
      <c r="C264" s="126" t="s">
        <v>3476</v>
      </c>
      <c r="D264" s="126" t="s">
        <v>358</v>
      </c>
      <c r="E264" s="143" t="s">
        <v>1302</v>
      </c>
      <c r="F264" s="143" t="s">
        <v>1303</v>
      </c>
      <c r="G264" s="126" t="s">
        <v>230</v>
      </c>
      <c r="H264" s="126" t="s">
        <v>116</v>
      </c>
      <c r="I264" s="127">
        <v>2.9</v>
      </c>
      <c r="J264" s="127">
        <v>0.95</v>
      </c>
      <c r="K264" s="149">
        <v>0.93</v>
      </c>
      <c r="L264" s="149">
        <v>0.95</v>
      </c>
      <c r="M264" s="144">
        <v>765</v>
      </c>
      <c r="N264" s="129">
        <v>8.5350000000000001</v>
      </c>
      <c r="O264" s="129">
        <v>8.5050000000000008</v>
      </c>
      <c r="P264" s="129"/>
      <c r="Q264" s="129"/>
      <c r="R264" s="129" t="s">
        <v>116</v>
      </c>
      <c r="S264" s="284"/>
      <c r="T264" s="130" t="s">
        <v>993</v>
      </c>
      <c r="U264" s="130"/>
      <c r="V264" s="131"/>
      <c r="W264" s="132">
        <v>44600</v>
      </c>
      <c r="X264" s="132">
        <v>44600</v>
      </c>
      <c r="Y264" s="132">
        <v>44619</v>
      </c>
      <c r="Z264" s="132"/>
      <c r="AA264" s="132"/>
      <c r="AB264" s="133"/>
      <c r="AC264" s="126" t="s">
        <v>64</v>
      </c>
      <c r="AD264" s="134" t="s">
        <v>154</v>
      </c>
      <c r="AE264" s="134" t="s">
        <v>1296</v>
      </c>
      <c r="AF264" s="134"/>
      <c r="AG264" s="134">
        <v>44516</v>
      </c>
      <c r="AH264" s="134"/>
      <c r="AI264" s="134">
        <f t="shared" ca="1" si="32"/>
        <v>44963</v>
      </c>
      <c r="AJ264" s="126">
        <f t="shared" ca="1" si="33"/>
        <v>447</v>
      </c>
      <c r="AK264" s="126">
        <f t="shared" ca="1" si="34"/>
        <v>344</v>
      </c>
      <c r="AL264" s="134"/>
      <c r="AM264" s="143" t="s">
        <v>1304</v>
      </c>
      <c r="AN264" s="129">
        <v>8.5350000000000001</v>
      </c>
      <c r="AO264" s="129">
        <v>8.5449999999999999</v>
      </c>
      <c r="AP264" s="129">
        <v>8.5699999999999985</v>
      </c>
      <c r="AQ264" s="129">
        <v>8.5749999999999993</v>
      </c>
      <c r="AR264" s="126">
        <f t="shared" ca="1" si="35"/>
        <v>363</v>
      </c>
      <c r="AU264" s="99" t="s">
        <v>136</v>
      </c>
    </row>
    <row r="265" spans="1:59" s="99" customFormat="1" ht="21" customHeight="1" x14ac:dyDescent="0.35">
      <c r="A265" s="99">
        <v>422</v>
      </c>
      <c r="B265" s="126" t="str">
        <f t="shared" si="31"/>
        <v>0-304L/2B-001X766</v>
      </c>
      <c r="C265" s="126" t="s">
        <v>3476</v>
      </c>
      <c r="D265" s="126" t="s">
        <v>358</v>
      </c>
      <c r="E265" s="143" t="s">
        <v>1348</v>
      </c>
      <c r="F265" s="143" t="s">
        <v>1349</v>
      </c>
      <c r="G265" s="126" t="s">
        <v>230</v>
      </c>
      <c r="H265" s="126" t="s">
        <v>116</v>
      </c>
      <c r="I265" s="127">
        <v>2.91</v>
      </c>
      <c r="J265" s="127">
        <v>0.95</v>
      </c>
      <c r="K265" s="149">
        <v>0.94</v>
      </c>
      <c r="L265" s="149">
        <v>0.95</v>
      </c>
      <c r="M265" s="144">
        <v>766</v>
      </c>
      <c r="N265" s="129">
        <v>8.7149999999999999</v>
      </c>
      <c r="O265" s="129">
        <v>8.6999999999999993</v>
      </c>
      <c r="P265" s="129"/>
      <c r="Q265" s="129"/>
      <c r="R265" s="129" t="s">
        <v>116</v>
      </c>
      <c r="S265" s="284"/>
      <c r="T265" s="130" t="s">
        <v>993</v>
      </c>
      <c r="U265" s="130"/>
      <c r="V265" s="131"/>
      <c r="W265" s="132">
        <v>44600</v>
      </c>
      <c r="X265" s="132">
        <v>44600</v>
      </c>
      <c r="Y265" s="132">
        <v>44619</v>
      </c>
      <c r="Z265" s="132"/>
      <c r="AA265" s="132"/>
      <c r="AB265" s="133"/>
      <c r="AC265" s="126" t="s">
        <v>64</v>
      </c>
      <c r="AD265" s="134" t="s">
        <v>154</v>
      </c>
      <c r="AE265" s="134" t="s">
        <v>1330</v>
      </c>
      <c r="AF265" s="134"/>
      <c r="AG265" s="134">
        <v>44516</v>
      </c>
      <c r="AH265" s="134"/>
      <c r="AI265" s="134">
        <f t="shared" ca="1" si="32"/>
        <v>44963</v>
      </c>
      <c r="AJ265" s="126">
        <f t="shared" ca="1" si="33"/>
        <v>447</v>
      </c>
      <c r="AK265" s="126">
        <f t="shared" ca="1" si="34"/>
        <v>344</v>
      </c>
      <c r="AL265" s="134"/>
      <c r="AM265" s="143" t="s">
        <v>1350</v>
      </c>
      <c r="AN265" s="129">
        <v>8.7200000000000006</v>
      </c>
      <c r="AO265" s="129">
        <v>8.73</v>
      </c>
      <c r="AP265" s="129">
        <v>8.754999999999999</v>
      </c>
      <c r="AQ265" s="129">
        <v>8.76</v>
      </c>
      <c r="AR265" s="126">
        <f t="shared" ca="1" si="35"/>
        <v>363</v>
      </c>
      <c r="AU265" s="99" t="s">
        <v>136</v>
      </c>
    </row>
    <row r="266" spans="1:59" s="99" customFormat="1" ht="21" customHeight="1" x14ac:dyDescent="0.35">
      <c r="A266" s="99">
        <v>422</v>
      </c>
      <c r="B266" s="126" t="str">
        <f t="shared" si="31"/>
        <v>0-304L/2B-001X766</v>
      </c>
      <c r="C266" s="126" t="s">
        <v>3477</v>
      </c>
      <c r="D266" s="126" t="s">
        <v>3026</v>
      </c>
      <c r="E266" s="143" t="s">
        <v>2604</v>
      </c>
      <c r="F266" s="143" t="s">
        <v>3478</v>
      </c>
      <c r="G266" s="126" t="s">
        <v>230</v>
      </c>
      <c r="H266" s="126" t="s">
        <v>116</v>
      </c>
      <c r="I266" s="127">
        <v>2.91</v>
      </c>
      <c r="J266" s="127">
        <v>0.95</v>
      </c>
      <c r="K266" s="149">
        <v>0.95</v>
      </c>
      <c r="L266" s="149">
        <v>0.97</v>
      </c>
      <c r="M266" s="144">
        <v>766</v>
      </c>
      <c r="N266" s="129">
        <f>8.545-2.465</f>
        <v>6.08</v>
      </c>
      <c r="O266" s="129">
        <f>3.02+3.025</f>
        <v>6.0449999999999999</v>
      </c>
      <c r="P266" s="129"/>
      <c r="Q266" s="129"/>
      <c r="R266" s="129" t="s">
        <v>116</v>
      </c>
      <c r="S266" s="284" t="s">
        <v>3205</v>
      </c>
      <c r="T266" s="130" t="s">
        <v>993</v>
      </c>
      <c r="U266" s="130"/>
      <c r="V266" s="131"/>
      <c r="W266" s="132">
        <v>44600</v>
      </c>
      <c r="X266" s="132">
        <v>44600</v>
      </c>
      <c r="Y266" s="132"/>
      <c r="Z266" s="132"/>
      <c r="AA266" s="132"/>
      <c r="AB266" s="133"/>
      <c r="AC266" s="126" t="s">
        <v>64</v>
      </c>
      <c r="AD266" s="134" t="s">
        <v>154</v>
      </c>
      <c r="AE266" s="134" t="s">
        <v>1296</v>
      </c>
      <c r="AF266" s="134"/>
      <c r="AG266" s="134">
        <v>44516</v>
      </c>
      <c r="AH266" s="134"/>
      <c r="AI266" s="134">
        <f t="shared" ca="1" si="32"/>
        <v>44963</v>
      </c>
      <c r="AJ266" s="126">
        <f t="shared" ca="1" si="33"/>
        <v>447</v>
      </c>
      <c r="AK266" s="126" t="str">
        <f t="shared" si="34"/>
        <v/>
      </c>
      <c r="AL266" s="134"/>
      <c r="AM266" s="143" t="s">
        <v>1304</v>
      </c>
      <c r="AN266" s="129">
        <v>8.5549999999999997</v>
      </c>
      <c r="AO266" s="129">
        <v>8.5649999999999995</v>
      </c>
      <c r="AP266" s="129">
        <v>8.5899999999999981</v>
      </c>
      <c r="AQ266" s="129">
        <v>8.5949999999999989</v>
      </c>
      <c r="AR266" s="126">
        <f t="shared" ca="1" si="35"/>
        <v>363</v>
      </c>
      <c r="AU266" s="99" t="s">
        <v>136</v>
      </c>
    </row>
    <row r="267" spans="1:59" s="99" customFormat="1" ht="21" customHeight="1" x14ac:dyDescent="0.35">
      <c r="A267" s="99">
        <v>422</v>
      </c>
      <c r="B267" s="126" t="str">
        <f t="shared" si="31"/>
        <v>0-304L/2B-001X769</v>
      </c>
      <c r="C267" s="126" t="s">
        <v>3477</v>
      </c>
      <c r="D267" s="126" t="s">
        <v>3026</v>
      </c>
      <c r="E267" s="143" t="s">
        <v>2598</v>
      </c>
      <c r="F267" s="143" t="s">
        <v>3479</v>
      </c>
      <c r="G267" s="126" t="s">
        <v>230</v>
      </c>
      <c r="H267" s="126" t="s">
        <v>116</v>
      </c>
      <c r="I267" s="127">
        <v>2.91</v>
      </c>
      <c r="J267" s="127">
        <v>0.95</v>
      </c>
      <c r="K267" s="149">
        <v>0.91</v>
      </c>
      <c r="L267" s="149">
        <v>0.94</v>
      </c>
      <c r="M267" s="144">
        <v>769</v>
      </c>
      <c r="N267" s="129">
        <v>7.835</v>
      </c>
      <c r="O267" s="129">
        <f>2.475+2.67+2.635</f>
        <v>7.7799999999999994</v>
      </c>
      <c r="P267" s="129"/>
      <c r="Q267" s="129"/>
      <c r="R267" s="129" t="s">
        <v>116</v>
      </c>
      <c r="S267" s="284" t="s">
        <v>3205</v>
      </c>
      <c r="T267" s="130" t="s">
        <v>993</v>
      </c>
      <c r="U267" s="130"/>
      <c r="V267" s="131"/>
      <c r="W267" s="132">
        <v>44600</v>
      </c>
      <c r="X267" s="132">
        <v>44600</v>
      </c>
      <c r="Y267" s="132"/>
      <c r="Z267" s="132"/>
      <c r="AA267" s="132"/>
      <c r="AB267" s="133"/>
      <c r="AC267" s="126" t="s">
        <v>64</v>
      </c>
      <c r="AD267" s="134" t="s">
        <v>154</v>
      </c>
      <c r="AE267" s="134" t="s">
        <v>1296</v>
      </c>
      <c r="AF267" s="134"/>
      <c r="AG267" s="134">
        <v>44516</v>
      </c>
      <c r="AH267" s="134"/>
      <c r="AI267" s="134">
        <f t="shared" ca="1" si="32"/>
        <v>44963</v>
      </c>
      <c r="AJ267" s="126">
        <f t="shared" ca="1" si="33"/>
        <v>447</v>
      </c>
      <c r="AK267" s="126" t="str">
        <f t="shared" si="34"/>
        <v/>
      </c>
      <c r="AL267" s="134"/>
      <c r="AM267" s="143" t="s">
        <v>2570</v>
      </c>
      <c r="AN267" s="129">
        <v>7.83</v>
      </c>
      <c r="AO267" s="129">
        <v>7.84</v>
      </c>
      <c r="AP267" s="129">
        <v>7.8650000000000002</v>
      </c>
      <c r="AQ267" s="129">
        <v>7.87</v>
      </c>
      <c r="AR267" s="126">
        <f t="shared" ca="1" si="35"/>
        <v>363</v>
      </c>
      <c r="AU267" s="99" t="s">
        <v>136</v>
      </c>
    </row>
    <row r="268" spans="1:59" s="99" customFormat="1" ht="21" customHeight="1" x14ac:dyDescent="0.35">
      <c r="A268" s="99">
        <v>421</v>
      </c>
      <c r="B268" s="126" t="str">
        <f t="shared" si="31"/>
        <v>0-304L/2B-001X770</v>
      </c>
      <c r="C268" s="126" t="s">
        <v>3476</v>
      </c>
      <c r="D268" s="126" t="s">
        <v>358</v>
      </c>
      <c r="E268" s="143" t="s">
        <v>1258</v>
      </c>
      <c r="F268" s="143" t="s">
        <v>1259</v>
      </c>
      <c r="G268" s="126" t="s">
        <v>230</v>
      </c>
      <c r="H268" s="126" t="s">
        <v>116</v>
      </c>
      <c r="I268" s="127">
        <v>1.88</v>
      </c>
      <c r="J268" s="127">
        <v>0.95</v>
      </c>
      <c r="K268" s="149">
        <v>0.93</v>
      </c>
      <c r="L268" s="149">
        <v>0.95</v>
      </c>
      <c r="M268" s="144">
        <v>770</v>
      </c>
      <c r="N268" s="129">
        <v>5.3</v>
      </c>
      <c r="O268" s="129">
        <v>5.2850000000000001</v>
      </c>
      <c r="P268" s="129"/>
      <c r="Q268" s="129"/>
      <c r="R268" s="129" t="s">
        <v>116</v>
      </c>
      <c r="S268" s="284"/>
      <c r="T268" s="130" t="s">
        <v>993</v>
      </c>
      <c r="U268" s="130" t="s">
        <v>1143</v>
      </c>
      <c r="V268" s="131" t="s">
        <v>1260</v>
      </c>
      <c r="W268" s="132" t="s">
        <v>1261</v>
      </c>
      <c r="X268" s="132" t="s">
        <v>1261</v>
      </c>
      <c r="Y268" s="132" t="s">
        <v>1262</v>
      </c>
      <c r="Z268" s="132"/>
      <c r="AA268" s="132"/>
      <c r="AB268" s="133"/>
      <c r="AC268" s="126" t="s">
        <v>64</v>
      </c>
      <c r="AD268" s="134" t="s">
        <v>154</v>
      </c>
      <c r="AE268" s="134" t="s">
        <v>1256</v>
      </c>
      <c r="AF268" s="134"/>
      <c r="AG268" s="134">
        <v>44496</v>
      </c>
      <c r="AH268" s="134"/>
      <c r="AI268" s="134">
        <f t="shared" ca="1" si="32"/>
        <v>44963</v>
      </c>
      <c r="AJ268" s="126">
        <f t="shared" ca="1" si="33"/>
        <v>467</v>
      </c>
      <c r="AK268" s="126" t="e">
        <f t="shared" ca="1" si="34"/>
        <v>#VALUE!</v>
      </c>
      <c r="AL268" s="134"/>
      <c r="AM268" s="143" t="s">
        <v>1263</v>
      </c>
      <c r="AN268" s="129">
        <v>10.425000000000001</v>
      </c>
      <c r="AO268" s="129">
        <v>10.435</v>
      </c>
      <c r="AP268" s="129">
        <v>10.459999999999999</v>
      </c>
      <c r="AQ268" s="129">
        <v>10.465</v>
      </c>
      <c r="AR268" s="126">
        <f t="shared" ca="1" si="35"/>
        <v>188</v>
      </c>
      <c r="AU268" s="99" t="s">
        <v>136</v>
      </c>
      <c r="BG268" s="99" t="s">
        <v>1264</v>
      </c>
    </row>
    <row r="269" spans="1:59" s="99" customFormat="1" ht="21" customHeight="1" x14ac:dyDescent="0.35">
      <c r="A269" s="99">
        <v>421</v>
      </c>
      <c r="B269" s="126" t="str">
        <f t="shared" si="31"/>
        <v>0-304/2B-001X770</v>
      </c>
      <c r="C269" s="126" t="s">
        <v>3476</v>
      </c>
      <c r="D269" s="126" t="s">
        <v>358</v>
      </c>
      <c r="E269" s="143" t="s">
        <v>1241</v>
      </c>
      <c r="F269" s="143" t="s">
        <v>1242</v>
      </c>
      <c r="G269" s="126">
        <v>304</v>
      </c>
      <c r="H269" s="126" t="s">
        <v>116</v>
      </c>
      <c r="I269" s="127">
        <v>3</v>
      </c>
      <c r="J269" s="127">
        <v>0.92</v>
      </c>
      <c r="K269" s="149">
        <v>0.9</v>
      </c>
      <c r="L269" s="149">
        <v>0.92</v>
      </c>
      <c r="M269" s="144">
        <v>770</v>
      </c>
      <c r="N269" s="129">
        <v>10.45</v>
      </c>
      <c r="O269" s="129">
        <v>10.425000000000001</v>
      </c>
      <c r="P269" s="129"/>
      <c r="Q269" s="129"/>
      <c r="R269" s="129" t="s">
        <v>116</v>
      </c>
      <c r="S269" s="284"/>
      <c r="T269" s="130" t="s">
        <v>284</v>
      </c>
      <c r="U269" s="130"/>
      <c r="V269" s="131"/>
      <c r="W269" s="132">
        <v>44617</v>
      </c>
      <c r="X269" s="132">
        <v>44618</v>
      </c>
      <c r="Y269" s="132">
        <v>44619</v>
      </c>
      <c r="Z269" s="132"/>
      <c r="AA269" s="132"/>
      <c r="AB269" s="133"/>
      <c r="AC269" s="126" t="s">
        <v>64</v>
      </c>
      <c r="AD269" s="134" t="s">
        <v>154</v>
      </c>
      <c r="AE269" s="134" t="s">
        <v>1239</v>
      </c>
      <c r="AF269" s="134"/>
      <c r="AG269" s="134">
        <v>44496</v>
      </c>
      <c r="AH269" s="134"/>
      <c r="AI269" s="134">
        <f t="shared" ca="1" si="32"/>
        <v>44963</v>
      </c>
      <c r="AJ269" s="126">
        <f t="shared" ca="1" si="33"/>
        <v>467</v>
      </c>
      <c r="AK269" s="126">
        <f t="shared" ca="1" si="34"/>
        <v>344</v>
      </c>
      <c r="AL269" s="134"/>
      <c r="AM269" s="143" t="s">
        <v>1243</v>
      </c>
      <c r="AN269" s="129">
        <v>10.425000000000001</v>
      </c>
      <c r="AO269" s="129">
        <v>10.435</v>
      </c>
      <c r="AP269" s="129">
        <v>10.459999999999999</v>
      </c>
      <c r="AQ269" s="129">
        <v>10.465</v>
      </c>
      <c r="AR269" s="126">
        <f t="shared" ca="1" si="35"/>
        <v>345</v>
      </c>
      <c r="AU269" s="99" t="s">
        <v>136</v>
      </c>
    </row>
    <row r="270" spans="1:59" s="99" customFormat="1" ht="21" customHeight="1" x14ac:dyDescent="0.35">
      <c r="A270" s="99">
        <v>422</v>
      </c>
      <c r="B270" s="126" t="str">
        <f t="shared" si="31"/>
        <v>0-304L/2B-001X768</v>
      </c>
      <c r="C270" s="126" t="s">
        <v>3477</v>
      </c>
      <c r="D270" s="126" t="s">
        <v>3026</v>
      </c>
      <c r="E270" s="143" t="s">
        <v>2938</v>
      </c>
      <c r="F270" s="143" t="s">
        <v>3480</v>
      </c>
      <c r="G270" s="126" t="s">
        <v>230</v>
      </c>
      <c r="H270" s="126" t="s">
        <v>116</v>
      </c>
      <c r="I270" s="127">
        <v>3</v>
      </c>
      <c r="J270" s="127">
        <v>0.8</v>
      </c>
      <c r="K270" s="149">
        <v>0.78</v>
      </c>
      <c r="L270" s="149">
        <v>0.79</v>
      </c>
      <c r="M270" s="144">
        <v>768</v>
      </c>
      <c r="N270" s="129">
        <v>10.220000000000001</v>
      </c>
      <c r="O270" s="129">
        <f>5.16+5.015</f>
        <v>10.175000000000001</v>
      </c>
      <c r="P270" s="129"/>
      <c r="Q270" s="129"/>
      <c r="R270" s="129" t="s">
        <v>116</v>
      </c>
      <c r="S270" s="284" t="s">
        <v>3410</v>
      </c>
      <c r="T270" s="130" t="s">
        <v>2987</v>
      </c>
      <c r="U270" s="130"/>
      <c r="V270" s="131"/>
      <c r="W270" s="132">
        <v>44616</v>
      </c>
      <c r="X270" s="132">
        <v>44617</v>
      </c>
      <c r="Y270" s="132"/>
      <c r="Z270" s="132"/>
      <c r="AA270" s="132"/>
      <c r="AB270" s="133"/>
      <c r="AC270" s="126" t="s">
        <v>64</v>
      </c>
      <c r="AD270" s="134" t="s">
        <v>154</v>
      </c>
      <c r="AE270" s="134" t="s">
        <v>1330</v>
      </c>
      <c r="AF270" s="134"/>
      <c r="AG270" s="134">
        <v>44516</v>
      </c>
      <c r="AH270" s="134"/>
      <c r="AI270" s="134">
        <f t="shared" ca="1" si="32"/>
        <v>44963</v>
      </c>
      <c r="AJ270" s="126">
        <f t="shared" ca="1" si="33"/>
        <v>447</v>
      </c>
      <c r="AK270" s="126" t="str">
        <f t="shared" si="34"/>
        <v/>
      </c>
      <c r="AL270" s="134"/>
      <c r="AM270" s="143" t="s">
        <v>2858</v>
      </c>
      <c r="AN270" s="129">
        <v>10.205</v>
      </c>
      <c r="AO270" s="129">
        <v>10.215</v>
      </c>
      <c r="AP270" s="129">
        <v>10.239999999999998</v>
      </c>
      <c r="AQ270" s="129">
        <v>10.244999999999999</v>
      </c>
      <c r="AR270" s="126">
        <f t="shared" ca="1" si="35"/>
        <v>346</v>
      </c>
      <c r="AU270" s="99" t="s">
        <v>136</v>
      </c>
    </row>
    <row r="271" spans="1:59" s="99" customFormat="1" ht="21" customHeight="1" x14ac:dyDescent="0.35">
      <c r="A271" s="99">
        <v>421</v>
      </c>
      <c r="B271" s="126" t="str">
        <f t="shared" si="31"/>
        <v>0-304L/2B-001X770</v>
      </c>
      <c r="C271" s="126" t="s">
        <v>3477</v>
      </c>
      <c r="D271" s="126" t="s">
        <v>3026</v>
      </c>
      <c r="E271" s="143" t="s">
        <v>2963</v>
      </c>
      <c r="F271" s="143" t="s">
        <v>3481</v>
      </c>
      <c r="G271" s="126" t="s">
        <v>230</v>
      </c>
      <c r="H271" s="126" t="s">
        <v>116</v>
      </c>
      <c r="I271" s="127">
        <v>2.89</v>
      </c>
      <c r="J271" s="127">
        <v>0.9</v>
      </c>
      <c r="K271" s="149">
        <v>0.89</v>
      </c>
      <c r="L271" s="149">
        <v>0.91</v>
      </c>
      <c r="M271" s="144">
        <v>770</v>
      </c>
      <c r="N271" s="129">
        <v>8.0050000000000008</v>
      </c>
      <c r="O271" s="129">
        <f>4.035+3.94</f>
        <v>7.9749999999999996</v>
      </c>
      <c r="P271" s="129"/>
      <c r="Q271" s="129"/>
      <c r="R271" s="129" t="s">
        <v>116</v>
      </c>
      <c r="S271" s="284" t="s">
        <v>3410</v>
      </c>
      <c r="T271" s="130" t="s">
        <v>3016</v>
      </c>
      <c r="U271" s="130"/>
      <c r="V271" s="131"/>
      <c r="W271" s="132">
        <v>44617</v>
      </c>
      <c r="X271" s="132">
        <v>44617</v>
      </c>
      <c r="Y271" s="132"/>
      <c r="Z271" s="132"/>
      <c r="AA271" s="132"/>
      <c r="AB271" s="133"/>
      <c r="AC271" s="126" t="s">
        <v>64</v>
      </c>
      <c r="AD271" s="134" t="s">
        <v>154</v>
      </c>
      <c r="AE271" s="134" t="s">
        <v>1190</v>
      </c>
      <c r="AF271" s="134"/>
      <c r="AG271" s="134">
        <v>44496</v>
      </c>
      <c r="AH271" s="134"/>
      <c r="AI271" s="134">
        <f t="shared" ca="1" si="32"/>
        <v>44963</v>
      </c>
      <c r="AJ271" s="126">
        <f t="shared" ca="1" si="33"/>
        <v>467</v>
      </c>
      <c r="AK271" s="126" t="str">
        <f t="shared" si="34"/>
        <v/>
      </c>
      <c r="AL271" s="134"/>
      <c r="AM271" s="143" t="s">
        <v>2965</v>
      </c>
      <c r="AN271" s="129">
        <v>8</v>
      </c>
      <c r="AO271" s="129">
        <v>8.01</v>
      </c>
      <c r="AP271" s="129">
        <v>8.0349999999999984</v>
      </c>
      <c r="AQ271" s="129">
        <v>8.0399999999999991</v>
      </c>
      <c r="AR271" s="126">
        <f t="shared" ca="1" si="35"/>
        <v>346</v>
      </c>
      <c r="AU271" s="99" t="s">
        <v>136</v>
      </c>
    </row>
    <row r="272" spans="1:59" s="99" customFormat="1" ht="21" customHeight="1" x14ac:dyDescent="0.35">
      <c r="A272" s="99">
        <v>357</v>
      </c>
      <c r="B272" s="126" t="str">
        <f t="shared" si="31"/>
        <v>0-304/2B-001X690</v>
      </c>
      <c r="C272" s="126" t="s">
        <v>3476</v>
      </c>
      <c r="D272" s="126" t="s">
        <v>358</v>
      </c>
      <c r="E272" s="143" t="s">
        <v>359</v>
      </c>
      <c r="F272" s="143" t="s">
        <v>360</v>
      </c>
      <c r="G272" s="126">
        <v>304</v>
      </c>
      <c r="H272" s="126" t="s">
        <v>116</v>
      </c>
      <c r="I272" s="127">
        <v>1</v>
      </c>
      <c r="J272" s="127">
        <v>0.5</v>
      </c>
      <c r="K272" s="149">
        <v>0.48</v>
      </c>
      <c r="L272" s="149">
        <v>0.5</v>
      </c>
      <c r="M272" s="144">
        <v>690</v>
      </c>
      <c r="N272" s="129">
        <v>8.34</v>
      </c>
      <c r="O272" s="129">
        <v>8.33</v>
      </c>
      <c r="P272" s="129"/>
      <c r="Q272" s="129"/>
      <c r="R272" s="129" t="s">
        <v>116</v>
      </c>
      <c r="S272" s="284"/>
      <c r="T272" s="130" t="s">
        <v>232</v>
      </c>
      <c r="U272" s="130" t="s">
        <v>361</v>
      </c>
      <c r="V272" s="131" t="s">
        <v>362</v>
      </c>
      <c r="W272" s="132">
        <v>44617</v>
      </c>
      <c r="X272" s="132">
        <v>44618</v>
      </c>
      <c r="Y272" s="132" t="s">
        <v>363</v>
      </c>
      <c r="Z272" s="132" t="s">
        <v>364</v>
      </c>
      <c r="AA272" s="132"/>
      <c r="AB272" s="133"/>
      <c r="AC272" s="126" t="s">
        <v>65</v>
      </c>
      <c r="AD272" s="134" t="s">
        <v>132</v>
      </c>
      <c r="AE272" s="134" t="s">
        <v>365</v>
      </c>
      <c r="AF272" s="134">
        <v>44228</v>
      </c>
      <c r="AG272" s="134">
        <v>44245</v>
      </c>
      <c r="AH272" s="134"/>
      <c r="AI272" s="134">
        <f t="shared" ca="1" si="32"/>
        <v>44963</v>
      </c>
      <c r="AJ272" s="126">
        <f t="shared" ca="1" si="33"/>
        <v>718</v>
      </c>
      <c r="AK272" s="126" t="e">
        <f t="shared" ca="1" si="34"/>
        <v>#VALUE!</v>
      </c>
      <c r="AL272" s="134" t="s">
        <v>366</v>
      </c>
      <c r="AM272" s="143" t="s">
        <v>367</v>
      </c>
      <c r="AN272" s="129">
        <v>8.4459999999999997</v>
      </c>
      <c r="AO272" s="129">
        <v>8.4809999999999999</v>
      </c>
      <c r="AP272" s="129">
        <v>8.5059999999999985</v>
      </c>
      <c r="AQ272" s="129">
        <v>8.5109999999999992</v>
      </c>
      <c r="AR272" s="126">
        <f t="shared" ca="1" si="35"/>
        <v>345</v>
      </c>
      <c r="AU272" s="99" t="s">
        <v>136</v>
      </c>
      <c r="BG272" s="99" t="s">
        <v>137</v>
      </c>
    </row>
    <row r="273" spans="1:59" s="99" customFormat="1" ht="21" customHeight="1" x14ac:dyDescent="0.35">
      <c r="A273" s="99">
        <v>422</v>
      </c>
      <c r="B273" s="126" t="str">
        <f t="shared" si="31"/>
        <v>0-304L/2B-001X768</v>
      </c>
      <c r="C273" s="126" t="s">
        <v>3476</v>
      </c>
      <c r="D273" s="126" t="s">
        <v>358</v>
      </c>
      <c r="E273" s="143" t="s">
        <v>1308</v>
      </c>
      <c r="F273" s="143" t="s">
        <v>1309</v>
      </c>
      <c r="G273" s="126" t="s">
        <v>230</v>
      </c>
      <c r="H273" s="126" t="s">
        <v>116</v>
      </c>
      <c r="I273" s="127">
        <v>2.9</v>
      </c>
      <c r="J273" s="127">
        <v>0.9</v>
      </c>
      <c r="K273" s="149">
        <v>0.89</v>
      </c>
      <c r="L273" s="149">
        <v>0.92</v>
      </c>
      <c r="M273" s="144">
        <v>768</v>
      </c>
      <c r="N273" s="129">
        <v>6.8849999999999998</v>
      </c>
      <c r="O273" s="129">
        <v>6.875</v>
      </c>
      <c r="P273" s="129"/>
      <c r="Q273" s="129"/>
      <c r="R273" s="129" t="s">
        <v>116</v>
      </c>
      <c r="S273" s="284"/>
      <c r="T273" s="130" t="s">
        <v>1165</v>
      </c>
      <c r="U273" s="130"/>
      <c r="V273" s="131"/>
      <c r="W273" s="132">
        <v>44617</v>
      </c>
      <c r="X273" s="132">
        <v>44619</v>
      </c>
      <c r="Y273" s="132">
        <v>44619</v>
      </c>
      <c r="Z273" s="132"/>
      <c r="AA273" s="132"/>
      <c r="AB273" s="133"/>
      <c r="AC273" s="126" t="s">
        <v>64</v>
      </c>
      <c r="AD273" s="134" t="s">
        <v>154</v>
      </c>
      <c r="AE273" s="134" t="s">
        <v>1296</v>
      </c>
      <c r="AF273" s="134"/>
      <c r="AG273" s="134">
        <v>44516</v>
      </c>
      <c r="AH273" s="134"/>
      <c r="AI273" s="134">
        <f t="shared" ca="1" si="32"/>
        <v>44963</v>
      </c>
      <c r="AJ273" s="126">
        <f t="shared" ca="1" si="33"/>
        <v>447</v>
      </c>
      <c r="AK273" s="126">
        <f t="shared" ca="1" si="34"/>
        <v>344</v>
      </c>
      <c r="AL273" s="134"/>
      <c r="AM273" s="143" t="s">
        <v>1310</v>
      </c>
      <c r="AN273" s="129">
        <v>6.89</v>
      </c>
      <c r="AO273" s="129">
        <v>6.9</v>
      </c>
      <c r="AP273" s="129">
        <v>6.9250000000000007</v>
      </c>
      <c r="AQ273" s="129">
        <v>6.9300000000000006</v>
      </c>
      <c r="AR273" s="126">
        <f t="shared" ca="1" si="35"/>
        <v>344</v>
      </c>
      <c r="AU273" s="99" t="s">
        <v>136</v>
      </c>
    </row>
    <row r="274" spans="1:59" s="99" customFormat="1" ht="21" customHeight="1" x14ac:dyDescent="0.35">
      <c r="A274" s="99">
        <v>424</v>
      </c>
      <c r="B274" s="126" t="str">
        <f t="shared" si="31"/>
        <v>0-304L/2B-001X768</v>
      </c>
      <c r="C274" s="126" t="s">
        <v>3482</v>
      </c>
      <c r="D274" s="126" t="s">
        <v>358</v>
      </c>
      <c r="E274" s="143" t="s">
        <v>1511</v>
      </c>
      <c r="F274" s="143" t="s">
        <v>1512</v>
      </c>
      <c r="G274" s="126" t="s">
        <v>230</v>
      </c>
      <c r="H274" s="126" t="s">
        <v>116</v>
      </c>
      <c r="I274" s="127">
        <v>3.77</v>
      </c>
      <c r="J274" s="127">
        <v>1.1000000000000001</v>
      </c>
      <c r="K274" s="149">
        <v>1.0900000000000001</v>
      </c>
      <c r="L274" s="149">
        <v>1.1000000000000001</v>
      </c>
      <c r="M274" s="144">
        <v>768</v>
      </c>
      <c r="N274" s="129">
        <v>12.05</v>
      </c>
      <c r="O274" s="129">
        <v>12.065</v>
      </c>
      <c r="P274" s="129"/>
      <c r="Q274" s="129"/>
      <c r="R274" s="129" t="s">
        <v>116</v>
      </c>
      <c r="S274" s="284"/>
      <c r="T274" s="130" t="s">
        <v>1165</v>
      </c>
      <c r="U274" s="130"/>
      <c r="V274" s="131"/>
      <c r="W274" s="132">
        <v>44618</v>
      </c>
      <c r="X274" s="132">
        <v>44618</v>
      </c>
      <c r="Y274" s="132">
        <v>44620</v>
      </c>
      <c r="Z274" s="132"/>
      <c r="AA274" s="132"/>
      <c r="AB274" s="133" t="s">
        <v>1395</v>
      </c>
      <c r="AC274" s="126" t="s">
        <v>64</v>
      </c>
      <c r="AD274" s="134" t="s">
        <v>154</v>
      </c>
      <c r="AE274" s="134" t="s">
        <v>1330</v>
      </c>
      <c r="AF274" s="134"/>
      <c r="AG274" s="134">
        <v>44554</v>
      </c>
      <c r="AH274" s="134"/>
      <c r="AI274" s="134">
        <f t="shared" ca="1" si="32"/>
        <v>44963</v>
      </c>
      <c r="AJ274" s="126">
        <f t="shared" ca="1" si="33"/>
        <v>409</v>
      </c>
      <c r="AK274" s="126">
        <f t="shared" ca="1" si="34"/>
        <v>343</v>
      </c>
      <c r="AL274" s="134"/>
      <c r="AM274" s="143" t="s">
        <v>1513</v>
      </c>
      <c r="AN274" s="129">
        <v>11.955</v>
      </c>
      <c r="AO274" s="129">
        <v>11.965</v>
      </c>
      <c r="AP274" s="129">
        <v>11.989999999999998</v>
      </c>
      <c r="AQ274" s="129">
        <v>11.994999999999999</v>
      </c>
      <c r="AR274" s="126">
        <f t="shared" ca="1" si="35"/>
        <v>345</v>
      </c>
      <c r="AU274" s="99" t="s">
        <v>136</v>
      </c>
    </row>
    <row r="275" spans="1:59" s="583" customFormat="1" ht="21" customHeight="1" x14ac:dyDescent="0.35">
      <c r="A275" s="583">
        <v>421</v>
      </c>
      <c r="B275" s="584" t="str">
        <f t="shared" si="31"/>
        <v>0-304L/2B-002X770</v>
      </c>
      <c r="C275" s="584" t="s">
        <v>3482</v>
      </c>
      <c r="D275" s="584" t="s">
        <v>63</v>
      </c>
      <c r="E275" s="586" t="s">
        <v>1214</v>
      </c>
      <c r="F275" s="586" t="s">
        <v>1215</v>
      </c>
      <c r="G275" s="584" t="s">
        <v>230</v>
      </c>
      <c r="H275" s="584" t="s">
        <v>116</v>
      </c>
      <c r="I275" s="587">
        <v>3.88</v>
      </c>
      <c r="J275" s="587">
        <v>1.9</v>
      </c>
      <c r="K275" s="719">
        <v>1.9</v>
      </c>
      <c r="L275" s="719">
        <v>1.94</v>
      </c>
      <c r="M275" s="723">
        <v>770</v>
      </c>
      <c r="N275" s="589">
        <v>12.16</v>
      </c>
      <c r="O275" s="589">
        <v>12.135</v>
      </c>
      <c r="P275" s="589"/>
      <c r="Q275" s="589"/>
      <c r="R275" s="589" t="s">
        <v>116</v>
      </c>
      <c r="S275" s="593"/>
      <c r="T275" s="721" t="s">
        <v>1165</v>
      </c>
      <c r="U275" s="721"/>
      <c r="V275" s="722" t="s">
        <v>1216</v>
      </c>
      <c r="W275" s="596">
        <v>44618</v>
      </c>
      <c r="X275" s="596">
        <v>44618</v>
      </c>
      <c r="Y275" s="596">
        <v>44620</v>
      </c>
      <c r="Z275" s="596"/>
      <c r="AA275" s="596"/>
      <c r="AB275" s="597"/>
      <c r="AC275" s="584" t="s">
        <v>64</v>
      </c>
      <c r="AD275" s="598" t="s">
        <v>154</v>
      </c>
      <c r="AE275" s="598" t="s">
        <v>1190</v>
      </c>
      <c r="AF275" s="598"/>
      <c r="AG275" s="598">
        <v>44496</v>
      </c>
      <c r="AH275" s="598"/>
      <c r="AI275" s="598">
        <f t="shared" ca="1" si="32"/>
        <v>44963</v>
      </c>
      <c r="AJ275" s="584">
        <f t="shared" ca="1" si="33"/>
        <v>467</v>
      </c>
      <c r="AK275" s="584">
        <f t="shared" ca="1" si="34"/>
        <v>343</v>
      </c>
      <c r="AL275" s="598"/>
      <c r="AM275" s="586" t="s">
        <v>1217</v>
      </c>
      <c r="AN275" s="589">
        <v>12.145</v>
      </c>
      <c r="AO275" s="589">
        <v>12.154999999999999</v>
      </c>
      <c r="AP275" s="589">
        <v>12.179999999999998</v>
      </c>
      <c r="AQ275" s="589">
        <v>12.184999999999999</v>
      </c>
      <c r="AR275" s="584">
        <f t="shared" ca="1" si="35"/>
        <v>345</v>
      </c>
      <c r="AU275" s="583" t="s">
        <v>136</v>
      </c>
    </row>
    <row r="276" spans="1:59" s="99" customFormat="1" ht="21" customHeight="1" x14ac:dyDescent="0.35">
      <c r="A276" s="99">
        <v>417</v>
      </c>
      <c r="B276" s="126" t="str">
        <f t="shared" si="31"/>
        <v>0-316L/2B-001X770</v>
      </c>
      <c r="C276" s="126" t="s">
        <v>3482</v>
      </c>
      <c r="D276" s="126" t="s">
        <v>358</v>
      </c>
      <c r="E276" s="143" t="s">
        <v>1163</v>
      </c>
      <c r="F276" s="143" t="s">
        <v>1164</v>
      </c>
      <c r="G276" s="126" t="s">
        <v>148</v>
      </c>
      <c r="H276" s="126" t="s">
        <v>116</v>
      </c>
      <c r="I276" s="127">
        <v>2</v>
      </c>
      <c r="J276" s="127">
        <v>1.17</v>
      </c>
      <c r="K276" s="149">
        <v>1.1599999999999999</v>
      </c>
      <c r="L276" s="149">
        <v>1.17</v>
      </c>
      <c r="M276" s="144">
        <v>770</v>
      </c>
      <c r="N276" s="129">
        <v>5.3650000000000002</v>
      </c>
      <c r="O276" s="129">
        <v>5.3550000000000004</v>
      </c>
      <c r="P276" s="129"/>
      <c r="Q276" s="129"/>
      <c r="R276" s="129" t="s">
        <v>116</v>
      </c>
      <c r="S276" s="284"/>
      <c r="T276" s="130" t="s">
        <v>1165</v>
      </c>
      <c r="U276" s="130" t="s">
        <v>390</v>
      </c>
      <c r="V276" s="131"/>
      <c r="W276" s="132" t="s">
        <v>1166</v>
      </c>
      <c r="X276" s="132" t="s">
        <v>1167</v>
      </c>
      <c r="Y276" s="132" t="s">
        <v>1168</v>
      </c>
      <c r="Z276" s="132"/>
      <c r="AA276" s="132"/>
      <c r="AB276" s="133"/>
      <c r="AC276" s="126" t="s">
        <v>64</v>
      </c>
      <c r="AD276" s="134" t="s">
        <v>154</v>
      </c>
      <c r="AE276" s="134" t="s">
        <v>1169</v>
      </c>
      <c r="AF276" s="134"/>
      <c r="AG276" s="134">
        <v>44431</v>
      </c>
      <c r="AH276" s="134"/>
      <c r="AI276" s="134">
        <f t="shared" ca="1" si="32"/>
        <v>44963</v>
      </c>
      <c r="AJ276" s="126">
        <f t="shared" ca="1" si="33"/>
        <v>532</v>
      </c>
      <c r="AK276" s="126" t="e">
        <f t="shared" ca="1" si="34"/>
        <v>#VALUE!</v>
      </c>
      <c r="AL276" s="134"/>
      <c r="AM276" s="143" t="s">
        <v>1170</v>
      </c>
      <c r="AN276" s="129">
        <v>10.585000000000001</v>
      </c>
      <c r="AO276" s="129">
        <v>10.595000000000001</v>
      </c>
      <c r="AP276" s="129">
        <v>10.62</v>
      </c>
      <c r="AQ276" s="129">
        <v>10.625</v>
      </c>
      <c r="AR276" s="126" t="e">
        <f t="shared" ca="1" si="35"/>
        <v>#VALUE!</v>
      </c>
      <c r="AU276" s="99" t="s">
        <v>136</v>
      </c>
      <c r="BG276" s="99" t="s">
        <v>157</v>
      </c>
    </row>
    <row r="277" spans="1:59" s="99" customFormat="1" ht="21" customHeight="1" x14ac:dyDescent="0.35">
      <c r="A277" s="99">
        <v>421</v>
      </c>
      <c r="B277" s="126" t="str">
        <f t="shared" si="31"/>
        <v>0-304L/2B-001X770</v>
      </c>
      <c r="C277" s="126" t="s">
        <v>3482</v>
      </c>
      <c r="D277" s="126" t="s">
        <v>358</v>
      </c>
      <c r="E277" s="143" t="s">
        <v>1248</v>
      </c>
      <c r="F277" s="143" t="s">
        <v>1249</v>
      </c>
      <c r="G277" s="126" t="s">
        <v>230</v>
      </c>
      <c r="H277" s="126" t="s">
        <v>116</v>
      </c>
      <c r="I277" s="127">
        <v>3.46</v>
      </c>
      <c r="J277" s="127">
        <v>1.1000000000000001</v>
      </c>
      <c r="K277" s="149">
        <v>1.1000000000000001</v>
      </c>
      <c r="L277" s="149">
        <v>1.1100000000000001</v>
      </c>
      <c r="M277" s="144">
        <v>770</v>
      </c>
      <c r="N277" s="129">
        <v>12.18</v>
      </c>
      <c r="O277" s="129">
        <v>12.154999999999999</v>
      </c>
      <c r="P277" s="129"/>
      <c r="Q277" s="129"/>
      <c r="R277" s="129" t="s">
        <v>116</v>
      </c>
      <c r="S277" s="284"/>
      <c r="T277" s="130" t="s">
        <v>1165</v>
      </c>
      <c r="U277" s="130"/>
      <c r="V277" s="131"/>
      <c r="W277" s="132">
        <v>44616</v>
      </c>
      <c r="X277" s="132">
        <v>44618</v>
      </c>
      <c r="Y277" s="132">
        <v>44620</v>
      </c>
      <c r="Z277" s="132"/>
      <c r="AA277" s="132"/>
      <c r="AB277" s="133"/>
      <c r="AC277" s="126" t="s">
        <v>64</v>
      </c>
      <c r="AD277" s="134" t="s">
        <v>154</v>
      </c>
      <c r="AE277" s="134" t="s">
        <v>1246</v>
      </c>
      <c r="AF277" s="134"/>
      <c r="AG277" s="134">
        <v>44496</v>
      </c>
      <c r="AH277" s="134"/>
      <c r="AI277" s="134">
        <f t="shared" ca="1" si="32"/>
        <v>44963</v>
      </c>
      <c r="AJ277" s="126">
        <f t="shared" ca="1" si="33"/>
        <v>467</v>
      </c>
      <c r="AK277" s="126">
        <f t="shared" ca="1" si="34"/>
        <v>343</v>
      </c>
      <c r="AL277" s="134"/>
      <c r="AM277" s="143" t="s">
        <v>1250</v>
      </c>
      <c r="AN277" s="129">
        <v>12.16</v>
      </c>
      <c r="AO277" s="129">
        <v>12.17</v>
      </c>
      <c r="AP277" s="129">
        <v>12.194999999999999</v>
      </c>
      <c r="AQ277" s="129">
        <v>12.2</v>
      </c>
      <c r="AR277" s="126">
        <f t="shared" ca="1" si="35"/>
        <v>345</v>
      </c>
      <c r="AU277" s="99" t="s">
        <v>136</v>
      </c>
    </row>
    <row r="278" spans="1:59" s="99" customFormat="1" ht="21" customHeight="1" x14ac:dyDescent="0.35">
      <c r="A278" s="99">
        <v>421</v>
      </c>
      <c r="B278" s="126" t="str">
        <f t="shared" si="31"/>
        <v>0-304L/2B-001X770</v>
      </c>
      <c r="C278" s="126" t="s">
        <v>3482</v>
      </c>
      <c r="D278" s="126" t="s">
        <v>358</v>
      </c>
      <c r="E278" s="143" t="s">
        <v>1244</v>
      </c>
      <c r="F278" s="143" t="s">
        <v>1245</v>
      </c>
      <c r="G278" s="126" t="s">
        <v>230</v>
      </c>
      <c r="H278" s="126" t="s">
        <v>116</v>
      </c>
      <c r="I278" s="127">
        <v>3.78</v>
      </c>
      <c r="J278" s="127">
        <v>1.4</v>
      </c>
      <c r="K278" s="149">
        <v>1.38</v>
      </c>
      <c r="L278" s="149">
        <v>1.4</v>
      </c>
      <c r="M278" s="144">
        <v>770</v>
      </c>
      <c r="N278" s="129">
        <v>11.775</v>
      </c>
      <c r="O278" s="129">
        <v>11.715</v>
      </c>
      <c r="P278" s="129"/>
      <c r="Q278" s="129"/>
      <c r="R278" s="129" t="s">
        <v>116</v>
      </c>
      <c r="S278" s="284"/>
      <c r="T278" s="130" t="s">
        <v>412</v>
      </c>
      <c r="U278" s="130"/>
      <c r="V278" s="131"/>
      <c r="W278" s="132">
        <v>44619</v>
      </c>
      <c r="X278" s="132">
        <v>44619</v>
      </c>
      <c r="Y278" s="132">
        <v>44620</v>
      </c>
      <c r="Z278" s="132"/>
      <c r="AA278" s="132"/>
      <c r="AB278" s="133"/>
      <c r="AC278" s="126" t="s">
        <v>64</v>
      </c>
      <c r="AD278" s="134" t="s">
        <v>154</v>
      </c>
      <c r="AE278" s="134" t="s">
        <v>1246</v>
      </c>
      <c r="AF278" s="134"/>
      <c r="AG278" s="134">
        <v>44496</v>
      </c>
      <c r="AH278" s="134"/>
      <c r="AI278" s="134">
        <f t="shared" ca="1" si="32"/>
        <v>44963</v>
      </c>
      <c r="AJ278" s="126">
        <f t="shared" ca="1" si="33"/>
        <v>467</v>
      </c>
      <c r="AK278" s="126">
        <f t="shared" ca="1" si="34"/>
        <v>343</v>
      </c>
      <c r="AL278" s="134"/>
      <c r="AM278" s="143" t="s">
        <v>1247</v>
      </c>
      <c r="AN278" s="129">
        <v>11.73</v>
      </c>
      <c r="AO278" s="129">
        <v>11.74</v>
      </c>
      <c r="AP278" s="129">
        <v>11.764999999999999</v>
      </c>
      <c r="AQ278" s="129">
        <v>11.77</v>
      </c>
      <c r="AR278" s="126">
        <f t="shared" ca="1" si="35"/>
        <v>344</v>
      </c>
      <c r="AU278" s="99" t="s">
        <v>136</v>
      </c>
    </row>
    <row r="279" spans="1:59" s="99" customFormat="1" ht="21" customHeight="1" x14ac:dyDescent="0.35">
      <c r="A279" s="99">
        <v>421</v>
      </c>
      <c r="B279" s="126" t="str">
        <f t="shared" si="31"/>
        <v>0-304L/2B-001X770</v>
      </c>
      <c r="C279" s="126" t="s">
        <v>3482</v>
      </c>
      <c r="D279" s="126" t="s">
        <v>358</v>
      </c>
      <c r="E279" s="143" t="s">
        <v>1265</v>
      </c>
      <c r="F279" s="143" t="s">
        <v>1266</v>
      </c>
      <c r="G279" s="126" t="s">
        <v>230</v>
      </c>
      <c r="H279" s="126" t="s">
        <v>116</v>
      </c>
      <c r="I279" s="127">
        <v>3.7</v>
      </c>
      <c r="J279" s="127">
        <v>1.1000000000000001</v>
      </c>
      <c r="K279" s="149">
        <v>1.08</v>
      </c>
      <c r="L279" s="149">
        <v>1.1000000000000001</v>
      </c>
      <c r="M279" s="144">
        <v>770</v>
      </c>
      <c r="N279" s="129">
        <v>10.51</v>
      </c>
      <c r="O279" s="129">
        <v>10.475</v>
      </c>
      <c r="P279" s="129"/>
      <c r="Q279" s="129"/>
      <c r="R279" s="129" t="s">
        <v>116</v>
      </c>
      <c r="S279" s="284"/>
      <c r="T279" s="130" t="s">
        <v>412</v>
      </c>
      <c r="U279" s="130"/>
      <c r="V279" s="131"/>
      <c r="W279" s="132">
        <v>44619</v>
      </c>
      <c r="X279" s="132">
        <v>44619</v>
      </c>
      <c r="Y279" s="132">
        <v>44620</v>
      </c>
      <c r="Z279" s="132"/>
      <c r="AA279" s="132"/>
      <c r="AB279" s="133"/>
      <c r="AC279" s="126" t="s">
        <v>64</v>
      </c>
      <c r="AD279" s="134" t="s">
        <v>154</v>
      </c>
      <c r="AE279" s="134" t="s">
        <v>1267</v>
      </c>
      <c r="AF279" s="134"/>
      <c r="AG279" s="134">
        <v>44496</v>
      </c>
      <c r="AH279" s="134"/>
      <c r="AI279" s="134">
        <f t="shared" ca="1" si="32"/>
        <v>44963</v>
      </c>
      <c r="AJ279" s="126">
        <f t="shared" ca="1" si="33"/>
        <v>467</v>
      </c>
      <c r="AK279" s="126">
        <f t="shared" ca="1" si="34"/>
        <v>343</v>
      </c>
      <c r="AL279" s="134"/>
      <c r="AM279" s="143" t="s">
        <v>1268</v>
      </c>
      <c r="AN279" s="129">
        <v>10.484999999999999</v>
      </c>
      <c r="AO279" s="129">
        <v>10.494999999999999</v>
      </c>
      <c r="AP279" s="129">
        <v>10.519999999999998</v>
      </c>
      <c r="AQ279" s="129">
        <v>10.524999999999999</v>
      </c>
      <c r="AR279" s="126">
        <f t="shared" ca="1" si="35"/>
        <v>344</v>
      </c>
      <c r="AU279" s="99" t="s">
        <v>136</v>
      </c>
    </row>
    <row r="280" spans="1:59" s="99" customFormat="1" ht="21" customHeight="1" x14ac:dyDescent="0.35">
      <c r="A280" s="99">
        <v>424</v>
      </c>
      <c r="B280" s="126" t="str">
        <f t="shared" si="31"/>
        <v>0-304L/2B-001X764</v>
      </c>
      <c r="C280" s="126" t="s">
        <v>3482</v>
      </c>
      <c r="D280" s="126" t="s">
        <v>358</v>
      </c>
      <c r="E280" s="143" t="s">
        <v>1393</v>
      </c>
      <c r="F280" s="143" t="s">
        <v>1394</v>
      </c>
      <c r="G280" s="126" t="s">
        <v>230</v>
      </c>
      <c r="H280" s="126" t="s">
        <v>116</v>
      </c>
      <c r="I280" s="127">
        <v>3.78</v>
      </c>
      <c r="J280" s="127">
        <v>1.4</v>
      </c>
      <c r="K280" s="149">
        <v>1.39</v>
      </c>
      <c r="L280" s="149">
        <v>1.4</v>
      </c>
      <c r="M280" s="144">
        <v>764</v>
      </c>
      <c r="N280" s="129">
        <v>10.24</v>
      </c>
      <c r="O280" s="129">
        <v>10.205</v>
      </c>
      <c r="P280" s="129"/>
      <c r="Q280" s="129"/>
      <c r="R280" s="129" t="s">
        <v>116</v>
      </c>
      <c r="S280" s="284"/>
      <c r="T280" s="130" t="s">
        <v>412</v>
      </c>
      <c r="U280" s="130"/>
      <c r="V280" s="131"/>
      <c r="W280" s="132">
        <v>44619</v>
      </c>
      <c r="X280" s="132">
        <v>44619</v>
      </c>
      <c r="Y280" s="132">
        <v>44620</v>
      </c>
      <c r="Z280" s="132"/>
      <c r="AA280" s="132"/>
      <c r="AB280" s="133" t="s">
        <v>1395</v>
      </c>
      <c r="AC280" s="126" t="s">
        <v>64</v>
      </c>
      <c r="AD280" s="134" t="s">
        <v>154</v>
      </c>
      <c r="AE280" s="134" t="s">
        <v>1330</v>
      </c>
      <c r="AF280" s="134"/>
      <c r="AG280" s="134">
        <v>44554</v>
      </c>
      <c r="AH280" s="134"/>
      <c r="AI280" s="134">
        <f t="shared" ca="1" si="32"/>
        <v>44963</v>
      </c>
      <c r="AJ280" s="126">
        <f t="shared" ca="1" si="33"/>
        <v>409</v>
      </c>
      <c r="AK280" s="126">
        <f t="shared" ca="1" si="34"/>
        <v>343</v>
      </c>
      <c r="AL280" s="134"/>
      <c r="AM280" s="143" t="s">
        <v>1396</v>
      </c>
      <c r="AN280" s="129">
        <v>10.220000000000001</v>
      </c>
      <c r="AO280" s="129">
        <v>10.23</v>
      </c>
      <c r="AP280" s="129">
        <v>10.254999999999999</v>
      </c>
      <c r="AQ280" s="129">
        <v>10.26</v>
      </c>
      <c r="AR280" s="126">
        <f t="shared" ca="1" si="35"/>
        <v>344</v>
      </c>
      <c r="AU280" s="99" t="s">
        <v>136</v>
      </c>
    </row>
    <row r="281" spans="1:59" s="99" customFormat="1" ht="21" customHeight="1" x14ac:dyDescent="0.35">
      <c r="A281" s="99">
        <v>424</v>
      </c>
      <c r="B281" s="126" t="str">
        <f t="shared" si="31"/>
        <v>0-304/2B-001X771</v>
      </c>
      <c r="C281" s="126" t="s">
        <v>3482</v>
      </c>
      <c r="D281" s="126" t="s">
        <v>358</v>
      </c>
      <c r="E281" s="143" t="s">
        <v>1704</v>
      </c>
      <c r="F281" s="143" t="s">
        <v>1705</v>
      </c>
      <c r="G281" s="126">
        <v>304</v>
      </c>
      <c r="H281" s="126" t="s">
        <v>116</v>
      </c>
      <c r="I281" s="127">
        <v>3.78</v>
      </c>
      <c r="J281" s="127">
        <v>1.1000000000000001</v>
      </c>
      <c r="K281" s="149">
        <v>1.1000000000000001</v>
      </c>
      <c r="L281" s="149">
        <v>1.1100000000000001</v>
      </c>
      <c r="M281" s="144">
        <v>771</v>
      </c>
      <c r="N281" s="129">
        <v>11.95</v>
      </c>
      <c r="O281" s="129">
        <v>11.914999999999999</v>
      </c>
      <c r="P281" s="129"/>
      <c r="Q281" s="129"/>
      <c r="R281" s="129" t="s">
        <v>116</v>
      </c>
      <c r="S281" s="284"/>
      <c r="T281" s="130" t="s">
        <v>412</v>
      </c>
      <c r="U281" s="130"/>
      <c r="V281" s="131"/>
      <c r="W281" s="132">
        <v>44619</v>
      </c>
      <c r="X281" s="132">
        <v>44619</v>
      </c>
      <c r="Y281" s="132">
        <v>44620</v>
      </c>
      <c r="Z281" s="132"/>
      <c r="AA281" s="132"/>
      <c r="AB281" s="133" t="s">
        <v>1395</v>
      </c>
      <c r="AC281" s="126" t="s">
        <v>64</v>
      </c>
      <c r="AD281" s="134" t="s">
        <v>154</v>
      </c>
      <c r="AE281" s="134" t="s">
        <v>1516</v>
      </c>
      <c r="AF281" s="134"/>
      <c r="AG281" s="134">
        <v>44554</v>
      </c>
      <c r="AH281" s="134"/>
      <c r="AI281" s="134">
        <f t="shared" ca="1" si="32"/>
        <v>44963</v>
      </c>
      <c r="AJ281" s="126">
        <f t="shared" ca="1" si="33"/>
        <v>409</v>
      </c>
      <c r="AK281" s="126">
        <f t="shared" ca="1" si="34"/>
        <v>343</v>
      </c>
      <c r="AL281" s="134"/>
      <c r="AM281" s="143" t="s">
        <v>1703</v>
      </c>
      <c r="AN281" s="129">
        <v>11.92</v>
      </c>
      <c r="AO281" s="129">
        <v>11.93</v>
      </c>
      <c r="AP281" s="129">
        <v>11.954999999999998</v>
      </c>
      <c r="AQ281" s="129">
        <v>11.959999999999999</v>
      </c>
      <c r="AR281" s="126">
        <f t="shared" ca="1" si="35"/>
        <v>344</v>
      </c>
      <c r="AU281" s="99" t="s">
        <v>136</v>
      </c>
    </row>
    <row r="282" spans="1:59" s="99" customFormat="1" ht="21" customHeight="1" x14ac:dyDescent="0.35">
      <c r="A282" s="99">
        <v>421</v>
      </c>
      <c r="B282" s="126" t="str">
        <f t="shared" si="31"/>
        <v>0-304L/2B-001X770</v>
      </c>
      <c r="C282" s="126" t="s">
        <v>3482</v>
      </c>
      <c r="D282" s="126" t="s">
        <v>358</v>
      </c>
      <c r="E282" s="143" t="s">
        <v>1188</v>
      </c>
      <c r="F282" s="143" t="s">
        <v>1189</v>
      </c>
      <c r="G282" s="126" t="s">
        <v>230</v>
      </c>
      <c r="H282" s="126" t="s">
        <v>116</v>
      </c>
      <c r="I282" s="127">
        <v>2.81</v>
      </c>
      <c r="J282" s="127">
        <v>0.95</v>
      </c>
      <c r="K282" s="149">
        <v>0.95</v>
      </c>
      <c r="L282" s="149">
        <v>0.97</v>
      </c>
      <c r="M282" s="144">
        <v>770</v>
      </c>
      <c r="N282" s="129">
        <v>12.2</v>
      </c>
      <c r="O282" s="129">
        <v>12.175000000000001</v>
      </c>
      <c r="P282" s="129"/>
      <c r="Q282" s="129"/>
      <c r="R282" s="129" t="s">
        <v>116</v>
      </c>
      <c r="S282" s="284"/>
      <c r="T282" s="130" t="s">
        <v>412</v>
      </c>
      <c r="U282" s="130"/>
      <c r="V282" s="131"/>
      <c r="W282" s="132">
        <v>44618</v>
      </c>
      <c r="X282" s="132">
        <v>44619</v>
      </c>
      <c r="Y282" s="132">
        <v>44620</v>
      </c>
      <c r="Z282" s="132"/>
      <c r="AA282" s="132"/>
      <c r="AB282" s="133"/>
      <c r="AC282" s="126" t="s">
        <v>64</v>
      </c>
      <c r="AD282" s="134" t="s">
        <v>154</v>
      </c>
      <c r="AE282" s="134" t="s">
        <v>1190</v>
      </c>
      <c r="AF282" s="134"/>
      <c r="AG282" s="134">
        <v>44496</v>
      </c>
      <c r="AH282" s="134"/>
      <c r="AI282" s="134">
        <f t="shared" ca="1" si="32"/>
        <v>44963</v>
      </c>
      <c r="AJ282" s="126">
        <f t="shared" ca="1" si="33"/>
        <v>467</v>
      </c>
      <c r="AK282" s="126">
        <f t="shared" ca="1" si="34"/>
        <v>343</v>
      </c>
      <c r="AL282" s="134"/>
      <c r="AM282" s="143" t="s">
        <v>1191</v>
      </c>
      <c r="AN282" s="129">
        <v>12.17</v>
      </c>
      <c r="AO282" s="129">
        <v>12.18</v>
      </c>
      <c r="AP282" s="129">
        <v>12.204999999999998</v>
      </c>
      <c r="AQ282" s="129">
        <v>12.209999999999999</v>
      </c>
      <c r="AR282" s="126">
        <f t="shared" ca="1" si="35"/>
        <v>344</v>
      </c>
      <c r="AU282" s="99" t="s">
        <v>136</v>
      </c>
    </row>
    <row r="283" spans="1:59" s="99" customFormat="1" ht="21" customHeight="1" x14ac:dyDescent="0.35">
      <c r="A283" s="99">
        <v>424</v>
      </c>
      <c r="B283" s="126" t="str">
        <f t="shared" si="31"/>
        <v>0-304L/2B-001X768</v>
      </c>
      <c r="C283" s="126" t="s">
        <v>3483</v>
      </c>
      <c r="D283" s="126" t="s">
        <v>3026</v>
      </c>
      <c r="E283" s="143" t="s">
        <v>1368</v>
      </c>
      <c r="F283" s="143" t="s">
        <v>1369</v>
      </c>
      <c r="G283" s="126" t="s">
        <v>230</v>
      </c>
      <c r="H283" s="126" t="s">
        <v>116</v>
      </c>
      <c r="I283" s="127">
        <v>2.99</v>
      </c>
      <c r="J283" s="127">
        <v>1</v>
      </c>
      <c r="K283" s="149"/>
      <c r="L283" s="149"/>
      <c r="M283" s="144">
        <v>768</v>
      </c>
      <c r="N283" s="129">
        <v>5.2450000000000001</v>
      </c>
      <c r="O283" s="129">
        <v>5.2450000000000001</v>
      </c>
      <c r="P283" s="129"/>
      <c r="Q283" s="129"/>
      <c r="R283" s="129" t="s">
        <v>116</v>
      </c>
      <c r="S283" s="284" t="s">
        <v>3484</v>
      </c>
      <c r="T283" s="130" t="s">
        <v>1370</v>
      </c>
      <c r="U283" s="130"/>
      <c r="V283" s="131"/>
      <c r="W283" s="132">
        <v>44620</v>
      </c>
      <c r="X283" s="132">
        <v>44620</v>
      </c>
      <c r="Y283" s="132"/>
      <c r="Z283" s="132"/>
      <c r="AA283" s="132"/>
      <c r="AB283" s="133" t="s">
        <v>1366</v>
      </c>
      <c r="AC283" s="126" t="s">
        <v>64</v>
      </c>
      <c r="AD283" s="134" t="s">
        <v>154</v>
      </c>
      <c r="AE283" s="134" t="s">
        <v>1330</v>
      </c>
      <c r="AF283" s="134"/>
      <c r="AG283" s="134">
        <v>44554</v>
      </c>
      <c r="AH283" s="134"/>
      <c r="AI283" s="134">
        <f t="shared" ca="1" si="32"/>
        <v>44963</v>
      </c>
      <c r="AJ283" s="126">
        <f t="shared" ca="1" si="33"/>
        <v>409</v>
      </c>
      <c r="AK283" s="126" t="str">
        <f t="shared" si="34"/>
        <v/>
      </c>
      <c r="AL283" s="134"/>
      <c r="AM283" s="143" t="s">
        <v>1371</v>
      </c>
      <c r="AN283" s="129">
        <v>10.375</v>
      </c>
      <c r="AO283" s="129">
        <v>10.385</v>
      </c>
      <c r="AP283" s="129">
        <v>10.409999999999998</v>
      </c>
      <c r="AQ283" s="129">
        <v>10.414999999999999</v>
      </c>
      <c r="AR283" s="126">
        <f t="shared" ca="1" si="35"/>
        <v>343</v>
      </c>
      <c r="AU283" s="99" t="s">
        <v>136</v>
      </c>
    </row>
  </sheetData>
  <autoFilter ref="A3:AN283" xr:uid="{00000000-0009-0000-0000-000002000000}"/>
  <mergeCells count="9">
    <mergeCell ref="N212:N213"/>
    <mergeCell ref="N220:N221"/>
    <mergeCell ref="N244:N245"/>
    <mergeCell ref="N38:N39"/>
    <mergeCell ref="N74:N75"/>
    <mergeCell ref="N76:N77"/>
    <mergeCell ref="N124:N125"/>
    <mergeCell ref="N147:N148"/>
    <mergeCell ref="N176:N177"/>
  </mergeCells>
  <pageMargins left="0.7" right="0.7" top="0.75" bottom="0.75" header="0.3" footer="0.3"/>
  <pageSetup paperSize="9" scale="7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7674-3106-4755-AEBF-FE6EF183F1D7}">
  <dimension ref="A1:BJ775"/>
  <sheetViews>
    <sheetView zoomScale="71" zoomScaleNormal="85" workbookViewId="0">
      <pane ySplit="3" topLeftCell="A152" activePane="bottomLeft" state="frozen"/>
      <selection activeCell="J367" sqref="J367"/>
      <selection pane="bottomLeft" activeCell="N96" sqref="N96:N97"/>
    </sheetView>
  </sheetViews>
  <sheetFormatPr defaultColWidth="9.1796875" defaultRowHeight="14" x14ac:dyDescent="0.35"/>
  <cols>
    <col min="1" max="1" width="8.54296875" style="260" customWidth="1"/>
    <col min="2" max="2" width="20.453125" style="260" customWidth="1"/>
    <col min="3" max="3" width="27.26953125" style="260" customWidth="1"/>
    <col min="4" max="4" width="20.26953125" style="260" customWidth="1"/>
    <col min="5" max="5" width="21.453125" style="260" customWidth="1"/>
    <col min="6" max="6" width="23.81640625" style="260" customWidth="1"/>
    <col min="7" max="7" width="9.7265625" style="260" customWidth="1"/>
    <col min="8" max="8" width="9.1796875" style="260"/>
    <col min="9" max="12" width="12.453125" style="274" customWidth="1"/>
    <col min="13" max="13" width="9.7265625" style="275" customWidth="1"/>
    <col min="14" max="14" width="15.1796875" style="276" customWidth="1"/>
    <col min="15" max="15" width="14.453125" style="274" customWidth="1"/>
    <col min="16" max="16" width="14.26953125" style="274" customWidth="1"/>
    <col min="17" max="18" width="10.453125" style="274" customWidth="1"/>
    <col min="19" max="19" width="10.453125" style="291" customWidth="1"/>
    <col min="20" max="20" width="10.453125" style="274" customWidth="1"/>
    <col min="21" max="21" width="10.453125" style="291" customWidth="1"/>
    <col min="22" max="22" width="12.7265625" style="291" customWidth="1"/>
    <col min="23" max="25" width="11.7265625" style="275" customWidth="1"/>
    <col min="26" max="26" width="36" style="289" customWidth="1"/>
    <col min="27" max="27" width="19.1796875" style="289" customWidth="1"/>
    <col min="28" max="28" width="29.81640625" style="260" customWidth="1"/>
    <col min="29" max="29" width="12.1796875" style="276" customWidth="1"/>
    <col min="30" max="31" width="11.54296875" style="260" customWidth="1"/>
    <col min="32" max="32" width="12.54296875" style="260" customWidth="1"/>
    <col min="33" max="33" width="14.1796875" style="260" customWidth="1"/>
    <col min="34" max="34" width="14.7265625" style="260" customWidth="1"/>
    <col min="35" max="35" width="11.1796875" style="260" customWidth="1"/>
    <col min="36" max="36" width="39.81640625" style="260" customWidth="1"/>
    <col min="37" max="37" width="14.54296875" style="260" customWidth="1"/>
    <col min="38" max="38" width="14" style="260" customWidth="1"/>
    <col min="39" max="39" width="11.26953125" style="260" customWidth="1"/>
    <col min="40" max="43" width="13.453125" style="260" customWidth="1"/>
    <col min="44" max="44" width="17.1796875" style="260" customWidth="1"/>
    <col min="45" max="45" width="9.1796875" style="260" customWidth="1"/>
    <col min="46" max="48" width="12" style="260" customWidth="1"/>
    <col min="49" max="49" width="11.26953125" style="260" customWidth="1"/>
    <col min="50" max="63" width="9.1796875" style="260" customWidth="1"/>
    <col min="64" max="16384" width="9.1796875" style="260"/>
  </cols>
  <sheetData>
    <row r="1" spans="1:62" ht="20" x14ac:dyDescent="0.35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87"/>
      <c r="R1" s="258"/>
      <c r="S1" s="288"/>
      <c r="T1" s="258"/>
      <c r="U1" s="288"/>
      <c r="V1" s="288"/>
      <c r="W1" s="258"/>
      <c r="X1" s="258"/>
      <c r="Y1" s="258"/>
      <c r="AC1" s="258"/>
      <c r="AD1" s="258"/>
      <c r="AE1" s="258"/>
      <c r="AN1" s="258"/>
      <c r="AO1" s="258"/>
      <c r="AP1" s="258"/>
      <c r="AQ1" s="258"/>
    </row>
    <row r="2" spans="1:62" ht="20" x14ac:dyDescent="0.35">
      <c r="Q2" s="290"/>
      <c r="R2" s="258"/>
      <c r="S2" s="288"/>
      <c r="T2" s="258"/>
    </row>
    <row r="3" spans="1:62" ht="42" x14ac:dyDescent="0.35">
      <c r="A3" s="261" t="s">
        <v>2541</v>
      </c>
      <c r="B3" s="109" t="s">
        <v>69</v>
      </c>
      <c r="C3" s="110" t="s">
        <v>4</v>
      </c>
      <c r="D3" s="111" t="s">
        <v>2542</v>
      </c>
      <c r="E3" s="261" t="s">
        <v>71</v>
      </c>
      <c r="F3" s="261" t="s">
        <v>72</v>
      </c>
      <c r="G3" s="261" t="s">
        <v>73</v>
      </c>
      <c r="H3" s="261" t="s">
        <v>74</v>
      </c>
      <c r="I3" s="262" t="s">
        <v>3485</v>
      </c>
      <c r="J3" s="262" t="s">
        <v>76</v>
      </c>
      <c r="K3" s="263" t="s">
        <v>2544</v>
      </c>
      <c r="L3" s="263" t="s">
        <v>2545</v>
      </c>
      <c r="M3" s="264" t="s">
        <v>79</v>
      </c>
      <c r="N3" s="265" t="s">
        <v>80</v>
      </c>
      <c r="O3" s="292" t="s">
        <v>3486</v>
      </c>
      <c r="P3" s="262" t="s">
        <v>3487</v>
      </c>
      <c r="Q3" s="283" t="s">
        <v>3023</v>
      </c>
      <c r="R3" s="283" t="s">
        <v>8</v>
      </c>
      <c r="S3" s="293"/>
      <c r="T3" s="283" t="s">
        <v>9</v>
      </c>
      <c r="U3" s="293"/>
      <c r="V3" s="293"/>
      <c r="W3" s="262" t="s">
        <v>3488</v>
      </c>
      <c r="X3" s="262"/>
      <c r="Y3" s="262"/>
      <c r="Z3" s="262" t="s">
        <v>83</v>
      </c>
      <c r="AA3" s="262"/>
      <c r="AB3" s="262"/>
      <c r="AC3" s="266" t="s">
        <v>10</v>
      </c>
      <c r="AD3" s="267" t="s">
        <v>11</v>
      </c>
      <c r="AE3" s="268" t="s">
        <v>13</v>
      </c>
      <c r="AF3" s="269" t="s">
        <v>14</v>
      </c>
      <c r="AG3" s="270" t="s">
        <v>16</v>
      </c>
      <c r="AH3" s="262" t="s">
        <v>86</v>
      </c>
      <c r="AI3" s="262" t="s">
        <v>87</v>
      </c>
      <c r="AJ3" s="261" t="s">
        <v>88</v>
      </c>
      <c r="AK3" s="261" t="s">
        <v>89</v>
      </c>
      <c r="AL3" s="271" t="s">
        <v>90</v>
      </c>
      <c r="AM3" s="271" t="s">
        <v>91</v>
      </c>
      <c r="AR3" s="261" t="s">
        <v>95</v>
      </c>
      <c r="AS3" s="261" t="s">
        <v>96</v>
      </c>
      <c r="AT3" s="272" t="s">
        <v>2556</v>
      </c>
      <c r="AU3" s="272" t="s">
        <v>2557</v>
      </c>
      <c r="AV3" s="272" t="s">
        <v>2977</v>
      </c>
      <c r="AW3" s="272" t="s">
        <v>2559</v>
      </c>
    </row>
    <row r="4" spans="1:62" s="99" customFormat="1" ht="21.75" customHeight="1" x14ac:dyDescent="0.35">
      <c r="A4" s="99">
        <v>422</v>
      </c>
      <c r="B4" s="126" t="str">
        <f t="shared" ref="B4:B10" si="0">IF(C4="HOLD RM","HOLD RM",IF(C4="BAL","WIP",IF(C4="HOLD SLT","HOLD SLT",IF(C4="MILL","RM",IF(C4="RE SLT","WIP",IF(C4="RM","RM",IF(C4="RM BAL","RM",IF(C4="RM SLT","RM",IF(C4="RR","WIP",IF(C4="SKP","WIP",IF(C4="SLT","WIP",IF(C4="CTL","WIP",IF(C4="RM SLT RUST","RM SLT RUST",0)))))))))))))&amp;"-"&amp;G4&amp;"/"&amp;IF(H4="2B","2B",IF(H4="NO.1","1D",IF(H4="FH","FH",0)))&amp;"-"&amp;IF(J4="",(TEXT(I4,"0.00")),TEXT(J4,"0.00"))&amp;"X"&amp;M4</f>
        <v>0-304L/2B-001X767</v>
      </c>
      <c r="C4" s="294" t="s">
        <v>3489</v>
      </c>
      <c r="D4" s="126" t="s">
        <v>3026</v>
      </c>
      <c r="E4" s="126" t="s">
        <v>3490</v>
      </c>
      <c r="F4" s="143" t="s">
        <v>3491</v>
      </c>
      <c r="G4" s="126" t="s">
        <v>230</v>
      </c>
      <c r="H4" s="126" t="s">
        <v>116</v>
      </c>
      <c r="I4" s="127">
        <v>2.79</v>
      </c>
      <c r="J4" s="127">
        <v>0.8</v>
      </c>
      <c r="K4" s="127">
        <v>0.78</v>
      </c>
      <c r="L4" s="126">
        <v>0.8</v>
      </c>
      <c r="M4" s="295">
        <v>767</v>
      </c>
      <c r="N4" s="129">
        <v>9.9499999999999993</v>
      </c>
      <c r="O4" s="296">
        <f>2.49+2.52+2.475+2.405</f>
        <v>9.8899999999999988</v>
      </c>
      <c r="P4" s="297"/>
      <c r="Q4" s="129">
        <v>0.06</v>
      </c>
      <c r="R4" s="129"/>
      <c r="S4" s="298">
        <f t="shared" ref="S4:S69" si="1">R4/N4</f>
        <v>0</v>
      </c>
      <c r="T4" s="129"/>
      <c r="U4" s="298">
        <f t="shared" ref="U4:U69" si="2">T4/N4</f>
        <v>0</v>
      </c>
      <c r="V4" s="298"/>
      <c r="W4" s="128">
        <v>765</v>
      </c>
      <c r="X4" s="299" t="s">
        <v>116</v>
      </c>
      <c r="Y4" s="284" t="s">
        <v>3205</v>
      </c>
      <c r="Z4" s="282" t="s">
        <v>993</v>
      </c>
      <c r="AA4" s="282"/>
      <c r="AB4" s="300"/>
      <c r="AC4" s="132">
        <v>44577</v>
      </c>
      <c r="AD4" s="132">
        <v>44577</v>
      </c>
      <c r="AE4" s="132">
        <v>44590</v>
      </c>
      <c r="AF4" s="132"/>
      <c r="AG4" s="132"/>
      <c r="AH4" s="133"/>
      <c r="AI4" s="126" t="s">
        <v>64</v>
      </c>
      <c r="AJ4" s="126" t="s">
        <v>154</v>
      </c>
      <c r="AK4" s="134" t="s">
        <v>1330</v>
      </c>
      <c r="AL4" s="134"/>
      <c r="AM4" s="134">
        <v>44516</v>
      </c>
      <c r="AN4" s="134"/>
      <c r="AO4" s="134">
        <f t="shared" ref="AO4:AO67" ca="1" si="3">TODAY()</f>
        <v>44963</v>
      </c>
      <c r="AP4" s="126">
        <f t="shared" ref="AP4:AP67" ca="1" si="4">IF(AM4&lt;&gt;0,AO4-AM4,0)</f>
        <v>447</v>
      </c>
      <c r="AQ4" s="134">
        <f t="shared" ref="AQ4:AQ20" ca="1" si="5">IF(ISNUMBER(AE4)=TRUE,AO4-AE4,IF(AE4="","",(AO4)-(MID(RIGHT(AE4,10),4,2)&amp;"/"&amp;LEFT((RIGHT(AE4,10)),2)&amp;"/"&amp;RIGHT(AE4,4))))</f>
        <v>373</v>
      </c>
      <c r="AR4" s="129"/>
      <c r="AS4" s="129" t="s">
        <v>2793</v>
      </c>
      <c r="AT4" s="129">
        <v>9.9749999999999996</v>
      </c>
      <c r="AU4" s="129">
        <v>9.9849999999999994</v>
      </c>
      <c r="AV4" s="129">
        <v>10.009999999999998</v>
      </c>
      <c r="AW4" s="129">
        <v>10.014999999999999</v>
      </c>
      <c r="AX4" s="126">
        <f t="shared" ref="AX4:AX20" ca="1" si="6">IF(ISNUMBER(AD4)=TRUE,AO4-AD4,IF(AD4="","",(AO4)-(MID(RIGHT(AD4,10),4,2)&amp;"/"&amp;LEFT((RIGHT(AD4,10)),2)&amp;"/"&amp;RIGHT(AD4,4))))</f>
        <v>386</v>
      </c>
      <c r="BA4" s="99" t="s">
        <v>136</v>
      </c>
    </row>
    <row r="5" spans="1:62" s="99" customFormat="1" ht="21.75" customHeight="1" x14ac:dyDescent="0.35">
      <c r="A5" s="451">
        <v>422</v>
      </c>
      <c r="B5" s="452" t="str">
        <f t="shared" si="0"/>
        <v>0-304L/2B-001X768</v>
      </c>
      <c r="C5" s="453" t="s">
        <v>3489</v>
      </c>
      <c r="D5" s="452" t="s">
        <v>3026</v>
      </c>
      <c r="E5" s="452" t="s">
        <v>3492</v>
      </c>
      <c r="F5" s="454" t="s">
        <v>3493</v>
      </c>
      <c r="G5" s="452" t="s">
        <v>230</v>
      </c>
      <c r="H5" s="452" t="s">
        <v>116</v>
      </c>
      <c r="I5" s="455">
        <v>2.92</v>
      </c>
      <c r="J5" s="455">
        <v>0.95</v>
      </c>
      <c r="K5" s="455">
        <v>0.91</v>
      </c>
      <c r="L5" s="452">
        <v>0.92</v>
      </c>
      <c r="M5" s="456">
        <v>768</v>
      </c>
      <c r="N5" s="828">
        <v>7.9</v>
      </c>
      <c r="O5" s="457">
        <f>2.535+2.51+2.56</f>
        <v>7.6050000000000004</v>
      </c>
      <c r="P5" s="457"/>
      <c r="Q5" s="458"/>
      <c r="R5" s="458"/>
      <c r="S5" s="459">
        <f t="shared" si="1"/>
        <v>0</v>
      </c>
      <c r="T5" s="458"/>
      <c r="U5" s="459">
        <f t="shared" si="2"/>
        <v>0</v>
      </c>
      <c r="V5" s="459"/>
      <c r="W5" s="460">
        <v>765</v>
      </c>
      <c r="X5" s="461" t="s">
        <v>116</v>
      </c>
      <c r="Y5" s="462" t="s">
        <v>3205</v>
      </c>
      <c r="Z5" s="463" t="s">
        <v>993</v>
      </c>
      <c r="AA5" s="463"/>
      <c r="AB5" s="464"/>
      <c r="AC5" s="465">
        <v>44577</v>
      </c>
      <c r="AD5" s="465">
        <v>44578</v>
      </c>
      <c r="AE5" s="465">
        <v>44590</v>
      </c>
      <c r="AF5" s="465"/>
      <c r="AG5" s="465"/>
      <c r="AH5" s="466"/>
      <c r="AI5" s="452" t="s">
        <v>64</v>
      </c>
      <c r="AJ5" s="452" t="s">
        <v>154</v>
      </c>
      <c r="AK5" s="467" t="s">
        <v>1296</v>
      </c>
      <c r="AL5" s="467"/>
      <c r="AM5" s="467">
        <v>44516</v>
      </c>
      <c r="AN5" s="467"/>
      <c r="AO5" s="467">
        <f t="shared" ca="1" si="3"/>
        <v>44963</v>
      </c>
      <c r="AP5" s="452">
        <f t="shared" ca="1" si="4"/>
        <v>447</v>
      </c>
      <c r="AQ5" s="467">
        <f t="shared" ca="1" si="5"/>
        <v>373</v>
      </c>
      <c r="AR5" s="458"/>
      <c r="AS5" s="458" t="s">
        <v>2696</v>
      </c>
      <c r="AT5" s="458">
        <v>7.93</v>
      </c>
      <c r="AU5" s="458">
        <v>7.94</v>
      </c>
      <c r="AV5" s="458">
        <v>7.9650000000000007</v>
      </c>
      <c r="AW5" s="458">
        <v>7.9700000000000006</v>
      </c>
      <c r="AX5" s="452">
        <f t="shared" ca="1" si="6"/>
        <v>385</v>
      </c>
      <c r="AY5" s="451"/>
      <c r="AZ5" s="451"/>
      <c r="BA5" s="451" t="s">
        <v>136</v>
      </c>
      <c r="BB5" s="451"/>
      <c r="BC5" s="451"/>
      <c r="BD5" s="451"/>
      <c r="BE5" s="451"/>
      <c r="BF5" s="451"/>
      <c r="BG5" s="451"/>
      <c r="BH5" s="451"/>
      <c r="BI5" s="451"/>
      <c r="BJ5" s="451"/>
    </row>
    <row r="6" spans="1:62" s="99" customFormat="1" ht="21.75" customHeight="1" x14ac:dyDescent="0.35">
      <c r="A6" s="451">
        <v>422</v>
      </c>
      <c r="B6" s="452" t="str">
        <f t="shared" si="0"/>
        <v>0-304L/2B-001X768</v>
      </c>
      <c r="C6" s="453" t="s">
        <v>3494</v>
      </c>
      <c r="D6" s="452" t="s">
        <v>3495</v>
      </c>
      <c r="E6" s="452" t="s">
        <v>3492</v>
      </c>
      <c r="F6" s="454" t="s">
        <v>3496</v>
      </c>
      <c r="G6" s="452" t="s">
        <v>230</v>
      </c>
      <c r="H6" s="452" t="s">
        <v>116</v>
      </c>
      <c r="I6" s="455">
        <v>2.92</v>
      </c>
      <c r="J6" s="455">
        <v>0.95</v>
      </c>
      <c r="K6" s="455">
        <v>0.91</v>
      </c>
      <c r="L6" s="452">
        <v>0.92</v>
      </c>
      <c r="M6" s="456">
        <v>768</v>
      </c>
      <c r="N6" s="829"/>
      <c r="O6" s="457">
        <v>0.28999999999999998</v>
      </c>
      <c r="P6" s="457"/>
      <c r="Q6" s="458"/>
      <c r="R6" s="458"/>
      <c r="S6" s="459" t="e">
        <f t="shared" si="1"/>
        <v>#DIV/0!</v>
      </c>
      <c r="T6" s="458"/>
      <c r="U6" s="459" t="e">
        <f t="shared" si="2"/>
        <v>#DIV/0!</v>
      </c>
      <c r="V6" s="459"/>
      <c r="W6" s="460">
        <v>765</v>
      </c>
      <c r="X6" s="461" t="s">
        <v>116</v>
      </c>
      <c r="Y6" s="462"/>
      <c r="Z6" s="463" t="s">
        <v>3497</v>
      </c>
      <c r="AA6" s="463"/>
      <c r="AB6" s="464"/>
      <c r="AC6" s="465">
        <v>44577</v>
      </c>
      <c r="AD6" s="465">
        <v>44578</v>
      </c>
      <c r="AE6" s="465">
        <v>44590</v>
      </c>
      <c r="AF6" s="465"/>
      <c r="AG6" s="465"/>
      <c r="AH6" s="466"/>
      <c r="AI6" s="452" t="s">
        <v>64</v>
      </c>
      <c r="AJ6" s="452" t="s">
        <v>154</v>
      </c>
      <c r="AK6" s="467" t="s">
        <v>1296</v>
      </c>
      <c r="AL6" s="467"/>
      <c r="AM6" s="467">
        <v>44516</v>
      </c>
      <c r="AN6" s="467"/>
      <c r="AO6" s="467">
        <f t="shared" ca="1" si="3"/>
        <v>44963</v>
      </c>
      <c r="AP6" s="452">
        <f t="shared" ca="1" si="4"/>
        <v>447</v>
      </c>
      <c r="AQ6" s="467">
        <f t="shared" ca="1" si="5"/>
        <v>373</v>
      </c>
      <c r="AR6" s="458"/>
      <c r="AS6" s="458" t="s">
        <v>2696</v>
      </c>
      <c r="AT6" s="458">
        <v>7.93</v>
      </c>
      <c r="AU6" s="458">
        <v>7.94</v>
      </c>
      <c r="AV6" s="458">
        <v>7.9650000000000007</v>
      </c>
      <c r="AW6" s="458">
        <v>7.9700000000000006</v>
      </c>
      <c r="AX6" s="452">
        <f t="shared" ca="1" si="6"/>
        <v>385</v>
      </c>
      <c r="AY6" s="451"/>
      <c r="AZ6" s="451"/>
      <c r="BA6" s="451" t="s">
        <v>136</v>
      </c>
      <c r="BB6" s="451"/>
      <c r="BC6" s="451"/>
      <c r="BD6" s="451"/>
      <c r="BE6" s="451"/>
      <c r="BF6" s="451"/>
      <c r="BG6" s="451"/>
      <c r="BH6" s="451"/>
      <c r="BI6" s="451"/>
      <c r="BJ6" s="451"/>
    </row>
    <row r="7" spans="1:62" s="698" customFormat="1" ht="21.75" customHeight="1" x14ac:dyDescent="0.35">
      <c r="A7" s="698">
        <v>421</v>
      </c>
      <c r="B7" s="699" t="str">
        <f t="shared" si="0"/>
        <v>0-304/2B-001X770</v>
      </c>
      <c r="C7" s="700" t="s">
        <v>3489</v>
      </c>
      <c r="D7" s="699" t="s">
        <v>3026</v>
      </c>
      <c r="E7" s="699" t="s">
        <v>3498</v>
      </c>
      <c r="F7" s="701" t="s">
        <v>3499</v>
      </c>
      <c r="G7" s="699">
        <v>304</v>
      </c>
      <c r="H7" s="699" t="s">
        <v>116</v>
      </c>
      <c r="I7" s="702">
        <v>2.99</v>
      </c>
      <c r="J7" s="702">
        <v>0.8</v>
      </c>
      <c r="K7" s="702">
        <v>0.78</v>
      </c>
      <c r="L7" s="699">
        <v>0.8</v>
      </c>
      <c r="M7" s="703">
        <v>770</v>
      </c>
      <c r="N7" s="704">
        <v>4.9550000000000001</v>
      </c>
      <c r="O7" s="705">
        <f>2.465+2.49</f>
        <v>4.9550000000000001</v>
      </c>
      <c r="P7" s="705"/>
      <c r="Q7" s="704"/>
      <c r="R7" s="704"/>
      <c r="S7" s="706">
        <f t="shared" si="1"/>
        <v>0</v>
      </c>
      <c r="T7" s="704"/>
      <c r="U7" s="706">
        <f t="shared" si="2"/>
        <v>0</v>
      </c>
      <c r="V7" s="706"/>
      <c r="W7" s="707">
        <v>765</v>
      </c>
      <c r="X7" s="708" t="s">
        <v>116</v>
      </c>
      <c r="Y7" s="709" t="s">
        <v>3205</v>
      </c>
      <c r="Z7" s="710" t="s">
        <v>993</v>
      </c>
      <c r="AA7" s="710"/>
      <c r="AB7" s="711"/>
      <c r="AC7" s="712">
        <v>44577</v>
      </c>
      <c r="AD7" s="712">
        <v>44578</v>
      </c>
      <c r="AE7" s="712">
        <v>44590</v>
      </c>
      <c r="AF7" s="712"/>
      <c r="AG7" s="712"/>
      <c r="AH7" s="713"/>
      <c r="AI7" s="699" t="s">
        <v>64</v>
      </c>
      <c r="AJ7" s="699" t="s">
        <v>154</v>
      </c>
      <c r="AK7" s="714" t="s">
        <v>1239</v>
      </c>
      <c r="AL7" s="714"/>
      <c r="AM7" s="714">
        <v>44496</v>
      </c>
      <c r="AN7" s="714"/>
      <c r="AO7" s="714">
        <f t="shared" ca="1" si="3"/>
        <v>44963</v>
      </c>
      <c r="AP7" s="699">
        <f t="shared" ca="1" si="4"/>
        <v>467</v>
      </c>
      <c r="AQ7" s="714">
        <f t="shared" ca="1" si="5"/>
        <v>373</v>
      </c>
      <c r="AR7" s="704"/>
      <c r="AS7" s="704" t="s">
        <v>1243</v>
      </c>
      <c r="AT7" s="704">
        <v>10.46</v>
      </c>
      <c r="AU7" s="704">
        <v>10.47</v>
      </c>
      <c r="AV7" s="704">
        <v>10.494999999999999</v>
      </c>
      <c r="AW7" s="704">
        <v>10.5</v>
      </c>
      <c r="AX7" s="699">
        <f t="shared" ca="1" si="6"/>
        <v>385</v>
      </c>
      <c r="BA7" s="698" t="s">
        <v>136</v>
      </c>
    </row>
    <row r="8" spans="1:62" s="698" customFormat="1" ht="21.75" customHeight="1" x14ac:dyDescent="0.35">
      <c r="A8" s="698">
        <v>421</v>
      </c>
      <c r="B8" s="699" t="str">
        <f t="shared" si="0"/>
        <v>0-304/2B-001X770</v>
      </c>
      <c r="C8" s="700" t="s">
        <v>3500</v>
      </c>
      <c r="D8" s="699" t="s">
        <v>3026</v>
      </c>
      <c r="E8" s="699" t="s">
        <v>3498</v>
      </c>
      <c r="F8" s="701" t="s">
        <v>3501</v>
      </c>
      <c r="G8" s="699">
        <v>304</v>
      </c>
      <c r="H8" s="699" t="s">
        <v>116</v>
      </c>
      <c r="I8" s="702">
        <v>2.99</v>
      </c>
      <c r="J8" s="702">
        <v>0.8</v>
      </c>
      <c r="K8" s="702">
        <v>0.78</v>
      </c>
      <c r="L8" s="699">
        <v>0.8</v>
      </c>
      <c r="M8" s="703">
        <v>770</v>
      </c>
      <c r="N8" s="704">
        <f>10.44-2.465-2.49</f>
        <v>5.4849999999999994</v>
      </c>
      <c r="O8" s="705">
        <f>2.67+2.645</f>
        <v>5.3149999999999995</v>
      </c>
      <c r="P8" s="705"/>
      <c r="Q8" s="704">
        <v>0.04</v>
      </c>
      <c r="R8" s="704"/>
      <c r="S8" s="706">
        <f t="shared" si="1"/>
        <v>0</v>
      </c>
      <c r="T8" s="704"/>
      <c r="U8" s="706">
        <f t="shared" si="2"/>
        <v>0</v>
      </c>
      <c r="V8" s="706"/>
      <c r="W8" s="707">
        <v>765</v>
      </c>
      <c r="X8" s="708" t="s">
        <v>116</v>
      </c>
      <c r="Y8" s="709" t="s">
        <v>3205</v>
      </c>
      <c r="Z8" s="710" t="s">
        <v>993</v>
      </c>
      <c r="AA8" s="710"/>
      <c r="AB8" s="711"/>
      <c r="AC8" s="712">
        <v>44577</v>
      </c>
      <c r="AD8" s="712">
        <v>44578</v>
      </c>
      <c r="AE8" s="712">
        <v>44590</v>
      </c>
      <c r="AF8" s="712"/>
      <c r="AG8" s="712"/>
      <c r="AH8" s="713"/>
      <c r="AI8" s="699" t="s">
        <v>64</v>
      </c>
      <c r="AJ8" s="699" t="s">
        <v>154</v>
      </c>
      <c r="AK8" s="714" t="s">
        <v>1239</v>
      </c>
      <c r="AL8" s="714"/>
      <c r="AM8" s="714">
        <v>44496</v>
      </c>
      <c r="AN8" s="714"/>
      <c r="AO8" s="714">
        <f t="shared" ca="1" si="3"/>
        <v>44963</v>
      </c>
      <c r="AP8" s="699">
        <f t="shared" ca="1" si="4"/>
        <v>467</v>
      </c>
      <c r="AQ8" s="714">
        <f t="shared" ca="1" si="5"/>
        <v>373</v>
      </c>
      <c r="AR8" s="704"/>
      <c r="AS8" s="704" t="s">
        <v>1243</v>
      </c>
      <c r="AT8" s="704">
        <v>10.46</v>
      </c>
      <c r="AU8" s="704">
        <v>10.47</v>
      </c>
      <c r="AV8" s="704">
        <v>10.494999999999999</v>
      </c>
      <c r="AW8" s="704">
        <v>10.5</v>
      </c>
      <c r="AX8" s="699">
        <f t="shared" ca="1" si="6"/>
        <v>385</v>
      </c>
      <c r="BA8" s="698" t="s">
        <v>136</v>
      </c>
    </row>
    <row r="9" spans="1:62" s="99" customFormat="1" ht="21.75" customHeight="1" x14ac:dyDescent="0.35">
      <c r="A9" s="99">
        <v>422</v>
      </c>
      <c r="B9" s="126" t="str">
        <f t="shared" si="0"/>
        <v>0-304/2B-001X770</v>
      </c>
      <c r="C9" s="294" t="s">
        <v>3500</v>
      </c>
      <c r="D9" s="126" t="s">
        <v>3026</v>
      </c>
      <c r="E9" s="126" t="s">
        <v>3502</v>
      </c>
      <c r="F9" s="143" t="s">
        <v>3503</v>
      </c>
      <c r="G9" s="126">
        <v>304</v>
      </c>
      <c r="H9" s="126" t="s">
        <v>116</v>
      </c>
      <c r="I9" s="127">
        <v>2.99</v>
      </c>
      <c r="J9" s="127">
        <v>0.95</v>
      </c>
      <c r="K9" s="127">
        <v>0.94</v>
      </c>
      <c r="L9" s="126">
        <v>0.95</v>
      </c>
      <c r="M9" s="295">
        <v>770</v>
      </c>
      <c r="N9" s="129">
        <v>10.255000000000001</v>
      </c>
      <c r="O9" s="296">
        <f>2.56+2.56+2.56+2.44</f>
        <v>10.119999999999999</v>
      </c>
      <c r="P9" s="297"/>
      <c r="Q9" s="129">
        <v>0.105</v>
      </c>
      <c r="R9" s="129"/>
      <c r="S9" s="298">
        <f t="shared" si="1"/>
        <v>0</v>
      </c>
      <c r="T9" s="129"/>
      <c r="U9" s="298">
        <f t="shared" si="2"/>
        <v>0</v>
      </c>
      <c r="V9" s="298"/>
      <c r="W9" s="128">
        <v>765</v>
      </c>
      <c r="X9" s="299" t="s">
        <v>116</v>
      </c>
      <c r="Y9" s="284" t="s">
        <v>3205</v>
      </c>
      <c r="Z9" s="282" t="s">
        <v>993</v>
      </c>
      <c r="AA9" s="282"/>
      <c r="AB9" s="300"/>
      <c r="AC9" s="132">
        <v>44577</v>
      </c>
      <c r="AD9" s="132">
        <v>44577</v>
      </c>
      <c r="AE9" s="132">
        <v>44590</v>
      </c>
      <c r="AF9" s="132"/>
      <c r="AG9" s="132"/>
      <c r="AH9" s="133"/>
      <c r="AI9" s="126" t="s">
        <v>64</v>
      </c>
      <c r="AJ9" s="126" t="s">
        <v>154</v>
      </c>
      <c r="AK9" s="134" t="s">
        <v>1330</v>
      </c>
      <c r="AL9" s="134"/>
      <c r="AM9" s="134">
        <v>44516</v>
      </c>
      <c r="AN9" s="134"/>
      <c r="AO9" s="134">
        <f t="shared" ca="1" si="3"/>
        <v>44963</v>
      </c>
      <c r="AP9" s="126">
        <f t="shared" ca="1" si="4"/>
        <v>447</v>
      </c>
      <c r="AQ9" s="134">
        <f t="shared" ca="1" si="5"/>
        <v>373</v>
      </c>
      <c r="AR9" s="129"/>
      <c r="AS9" s="129" t="s">
        <v>1335</v>
      </c>
      <c r="AT9" s="129">
        <v>10.265000000000001</v>
      </c>
      <c r="AU9" s="129">
        <v>10.275</v>
      </c>
      <c r="AV9" s="129">
        <v>10.299999999999999</v>
      </c>
      <c r="AW9" s="129">
        <v>10.305</v>
      </c>
      <c r="AX9" s="126">
        <f t="shared" ca="1" si="6"/>
        <v>386</v>
      </c>
      <c r="BA9" s="99" t="s">
        <v>136</v>
      </c>
    </row>
    <row r="10" spans="1:62" s="99" customFormat="1" ht="21.75" customHeight="1" x14ac:dyDescent="0.35">
      <c r="A10" s="99">
        <v>422</v>
      </c>
      <c r="B10" s="126" t="str">
        <f t="shared" si="0"/>
        <v>0-304L/2B-001X766</v>
      </c>
      <c r="C10" s="294" t="s">
        <v>3500</v>
      </c>
      <c r="D10" s="126" t="s">
        <v>3026</v>
      </c>
      <c r="E10" s="126" t="s">
        <v>3504</v>
      </c>
      <c r="F10" s="143" t="s">
        <v>3505</v>
      </c>
      <c r="G10" s="126" t="s">
        <v>230</v>
      </c>
      <c r="H10" s="126" t="s">
        <v>116</v>
      </c>
      <c r="I10" s="127">
        <v>2.89</v>
      </c>
      <c r="J10" s="127">
        <v>0.95</v>
      </c>
      <c r="K10" s="127">
        <v>0.96</v>
      </c>
      <c r="L10" s="126">
        <v>0.98</v>
      </c>
      <c r="M10" s="295">
        <v>766</v>
      </c>
      <c r="N10" s="129">
        <v>6.835</v>
      </c>
      <c r="O10" s="296">
        <f>3.325+3.295</f>
        <v>6.62</v>
      </c>
      <c r="P10" s="297"/>
      <c r="Q10" s="129">
        <v>0.04</v>
      </c>
      <c r="R10" s="129"/>
      <c r="S10" s="298">
        <f t="shared" si="1"/>
        <v>0</v>
      </c>
      <c r="T10" s="129">
        <v>0.215</v>
      </c>
      <c r="U10" s="298">
        <f t="shared" si="2"/>
        <v>3.1455742501828823E-2</v>
      </c>
      <c r="V10" s="298"/>
      <c r="W10" s="128">
        <v>740</v>
      </c>
      <c r="X10" s="299" t="s">
        <v>116</v>
      </c>
      <c r="Y10" s="284" t="s">
        <v>3205</v>
      </c>
      <c r="Z10" s="282" t="s">
        <v>993</v>
      </c>
      <c r="AA10" s="282" t="s">
        <v>446</v>
      </c>
      <c r="AB10" s="300"/>
      <c r="AC10" s="132">
        <v>44566</v>
      </c>
      <c r="AD10" s="132">
        <v>44566</v>
      </c>
      <c r="AE10" s="132">
        <v>44590</v>
      </c>
      <c r="AF10" s="132"/>
      <c r="AG10" s="132"/>
      <c r="AH10" s="133"/>
      <c r="AI10" s="126" t="s">
        <v>64</v>
      </c>
      <c r="AJ10" s="126" t="s">
        <v>154</v>
      </c>
      <c r="AK10" s="134" t="s">
        <v>1296</v>
      </c>
      <c r="AL10" s="134"/>
      <c r="AM10" s="134">
        <v>44516</v>
      </c>
      <c r="AN10" s="134"/>
      <c r="AO10" s="134">
        <f t="shared" ca="1" si="3"/>
        <v>44963</v>
      </c>
      <c r="AP10" s="126">
        <f t="shared" ca="1" si="4"/>
        <v>447</v>
      </c>
      <c r="AQ10" s="134">
        <f t="shared" ca="1" si="5"/>
        <v>373</v>
      </c>
      <c r="AR10" s="129"/>
      <c r="AS10" s="129" t="s">
        <v>1310</v>
      </c>
      <c r="AT10" s="129">
        <v>6.8449999999999998</v>
      </c>
      <c r="AU10" s="129">
        <v>6.8550000000000004</v>
      </c>
      <c r="AV10" s="129">
        <v>6.8800000000000008</v>
      </c>
      <c r="AW10" s="129">
        <v>6.8850000000000007</v>
      </c>
      <c r="AX10" s="126">
        <f t="shared" ca="1" si="6"/>
        <v>397</v>
      </c>
      <c r="BA10" s="99" t="s">
        <v>136</v>
      </c>
    </row>
    <row r="11" spans="1:62" s="99" customFormat="1" ht="21.75" customHeight="1" x14ac:dyDescent="0.35">
      <c r="A11" s="500" t="e">
        <f>IF(#REF!="",(IF(ISNUMBER(SUBSTITUTE(LEFT(RIGHT(C11,LEN(C11)-MIN(SEARCH({1,2,3,4,5,6,7,8,9,0},C11&amp;"1234567890"))+1),10),".","/"))=TRUE,AO11-(SUBSTITUTE(LEFT(RIGHT(C11,LEN(C11)-MIN(SEARCH({1,2,3,4,5,6,7,8,9,0},C11&amp;"1234567890"))+1),10),".","/")),IF((SUBSTITUTE(LEFT(RIGHT(C11,LEN(C11)-MIN(SEARCH({1,2,3,4,5,6,7,8,9,0},C11&amp;"1234567890"))+1),10),".","/"))="","",(AO11)-(MID(RIGHT((SUBSTITUTE(LEFT(RIGHT(C11,LEN(C11)-MIN(SEARCH({1,2,3,4,5,6,7,8,9,0},C11&amp;"1234567890"))+1),10),".","/")),10),4,2)&amp;"/"&amp;LEFT((RIGHT((SUBSTITUTE(LEFT(RIGHT(C11,LEN(C11)-MIN(SEARCH({1,2,3,4,5,6,7,8,9,0},C11&amp;"1234567890"))+1),10),".","/")),10)),2)&amp;"/"&amp;RIGHT((SUBSTITUTE(LEFT(RIGHT(C11,LEN(C11)-MIN(SEARCH({1,2,3,4,5,6,7,8,9,0},C11&amp;"1234567890"))+1),10),".","/")),4))))),(AO11-#REF!))</f>
        <v>#REF!</v>
      </c>
      <c r="B11" s="501" t="str">
        <f>IF(M11="MULTI","FGM","FGC")&amp;"-"&amp;G11&amp;"/"&amp;H11&amp;"-"&amp;TEXT(J11,"0.00")&amp;"X"&amp;IF(M11="MULTI",#REF!,M11)</f>
        <v>FGC-304L/2B-001X58,6</v>
      </c>
      <c r="C11" s="502" t="s">
        <v>3506</v>
      </c>
      <c r="D11" s="501" t="s">
        <v>3026</v>
      </c>
      <c r="E11" s="501" t="s">
        <v>3507</v>
      </c>
      <c r="F11" s="503" t="s">
        <v>3508</v>
      </c>
      <c r="G11" s="501" t="s">
        <v>230</v>
      </c>
      <c r="H11" s="501" t="s">
        <v>116</v>
      </c>
      <c r="I11" s="504">
        <v>3.25</v>
      </c>
      <c r="J11" s="504">
        <v>0.8</v>
      </c>
      <c r="K11" s="504">
        <v>0.78</v>
      </c>
      <c r="L11" s="501">
        <v>0.79</v>
      </c>
      <c r="M11" s="505">
        <v>58.6</v>
      </c>
      <c r="N11" s="506">
        <f>2.98-2.745</f>
        <v>0.23499999999999988</v>
      </c>
      <c r="O11" s="507">
        <v>0.19</v>
      </c>
      <c r="P11" s="507"/>
      <c r="Q11" s="506"/>
      <c r="R11" s="506"/>
      <c r="S11" s="508">
        <f t="shared" si="1"/>
        <v>0</v>
      </c>
      <c r="T11" s="506">
        <v>4.4999999999999998E-2</v>
      </c>
      <c r="U11" s="508">
        <f t="shared" si="2"/>
        <v>0.19148936170212774</v>
      </c>
      <c r="V11" s="508"/>
      <c r="W11" s="509" t="s">
        <v>3509</v>
      </c>
      <c r="X11" s="510" t="s">
        <v>116</v>
      </c>
      <c r="Y11" s="511" t="s">
        <v>3510</v>
      </c>
      <c r="Z11" s="512" t="s">
        <v>446</v>
      </c>
      <c r="AA11" s="512" t="s">
        <v>3511</v>
      </c>
      <c r="AB11" s="513"/>
      <c r="AC11" s="514">
        <v>44075</v>
      </c>
      <c r="AD11" s="514">
        <v>44075</v>
      </c>
      <c r="AE11" s="514">
        <v>44078</v>
      </c>
      <c r="AF11" s="514"/>
      <c r="AG11" s="514"/>
      <c r="AH11" s="515"/>
      <c r="AI11" s="501" t="s">
        <v>64</v>
      </c>
      <c r="AJ11" s="501" t="s">
        <v>203</v>
      </c>
      <c r="AK11" s="516" t="s">
        <v>3512</v>
      </c>
      <c r="AL11" s="516"/>
      <c r="AM11" s="516">
        <v>44069</v>
      </c>
      <c r="AN11" s="516"/>
      <c r="AO11" s="516">
        <f t="shared" ca="1" si="3"/>
        <v>44963</v>
      </c>
      <c r="AP11" s="501">
        <f t="shared" ca="1" si="4"/>
        <v>894</v>
      </c>
      <c r="AQ11" s="516">
        <f t="shared" ca="1" si="5"/>
        <v>885</v>
      </c>
      <c r="AR11" s="506"/>
      <c r="AS11" s="506" t="s">
        <v>3513</v>
      </c>
      <c r="AT11" s="506">
        <v>12.145</v>
      </c>
      <c r="AU11" s="506">
        <v>12.154999999999999</v>
      </c>
      <c r="AV11" s="506">
        <v>12.179999999999998</v>
      </c>
      <c r="AW11" s="506">
        <v>12.184999999999999</v>
      </c>
      <c r="AX11" s="501">
        <f t="shared" ca="1" si="6"/>
        <v>888</v>
      </c>
      <c r="AY11" s="500"/>
      <c r="AZ11" s="500"/>
      <c r="BA11" s="500" t="s">
        <v>136</v>
      </c>
      <c r="BH11" s="99" t="s">
        <v>3514</v>
      </c>
      <c r="BI11" s="99" t="s">
        <v>3515</v>
      </c>
    </row>
    <row r="12" spans="1:62" s="99" customFormat="1" ht="21.75" customHeight="1" x14ac:dyDescent="0.35">
      <c r="A12" s="500" t="e">
        <f>IF(#REF!="",(IF(ISNUMBER(SUBSTITUTE(LEFT(RIGHT(C12,LEN(C12)-MIN(SEARCH({1,2,3,4,5,6,7,8,9,0},C12&amp;"1234567890"))+1),10),".","/"))=TRUE,AO12-(SUBSTITUTE(LEFT(RIGHT(C12,LEN(C12)-MIN(SEARCH({1,2,3,4,5,6,7,8,9,0},C12&amp;"1234567890"))+1),10),".","/")),IF((SUBSTITUTE(LEFT(RIGHT(C12,LEN(C12)-MIN(SEARCH({1,2,3,4,5,6,7,8,9,0},C12&amp;"1234567890"))+1),10),".","/"))="","",(AO12)-(MID(RIGHT((SUBSTITUTE(LEFT(RIGHT(C12,LEN(C12)-MIN(SEARCH({1,2,3,4,5,6,7,8,9,0},C12&amp;"1234567890"))+1),10),".","/")),10),4,2)&amp;"/"&amp;LEFT((RIGHT((SUBSTITUTE(LEFT(RIGHT(C12,LEN(C12)-MIN(SEARCH({1,2,3,4,5,6,7,8,9,0},C12&amp;"1234567890"))+1),10),".","/")),10)),2)&amp;"/"&amp;RIGHT((SUBSTITUTE(LEFT(RIGHT(C12,LEN(C12)-MIN(SEARCH({1,2,3,4,5,6,7,8,9,0},C12&amp;"1234567890"))+1),10),".","/")),4))))),(AO12-#REF!))</f>
        <v>#REF!</v>
      </c>
      <c r="B12" s="501" t="str">
        <f>IF(M12="MULTI","FGM","FGC")&amp;"-"&amp;G12&amp;"/"&amp;H12&amp;"-"&amp;TEXT(J12,"0.00")&amp;"X"&amp;IF(M12="MULTI",#REF!,M12)</f>
        <v>FGC-304L/2B-001X58,6</v>
      </c>
      <c r="C12" s="502" t="s">
        <v>3506</v>
      </c>
      <c r="D12" s="501" t="s">
        <v>3026</v>
      </c>
      <c r="E12" s="501" t="s">
        <v>3507</v>
      </c>
      <c r="F12" s="503" t="s">
        <v>3516</v>
      </c>
      <c r="G12" s="501" t="s">
        <v>230</v>
      </c>
      <c r="H12" s="501" t="s">
        <v>116</v>
      </c>
      <c r="I12" s="504">
        <v>3.25</v>
      </c>
      <c r="J12" s="504">
        <v>0.8</v>
      </c>
      <c r="K12" s="504">
        <v>0.78</v>
      </c>
      <c r="L12" s="501">
        <v>0.79</v>
      </c>
      <c r="M12" s="505">
        <v>58.6</v>
      </c>
      <c r="N12" s="506">
        <f>2.88-2.645</f>
        <v>0.23499999999999988</v>
      </c>
      <c r="O12" s="507">
        <v>0.185</v>
      </c>
      <c r="P12" s="507"/>
      <c r="Q12" s="506"/>
      <c r="R12" s="506"/>
      <c r="S12" s="508">
        <f t="shared" si="1"/>
        <v>0</v>
      </c>
      <c r="T12" s="506">
        <v>0.05</v>
      </c>
      <c r="U12" s="508">
        <f t="shared" si="2"/>
        <v>0.21276595744680862</v>
      </c>
      <c r="V12" s="508"/>
      <c r="W12" s="509" t="s">
        <v>3509</v>
      </c>
      <c r="X12" s="510" t="s">
        <v>116</v>
      </c>
      <c r="Y12" s="511" t="s">
        <v>3510</v>
      </c>
      <c r="Z12" s="512" t="s">
        <v>446</v>
      </c>
      <c r="AA12" s="512" t="s">
        <v>3511</v>
      </c>
      <c r="AB12" s="513"/>
      <c r="AC12" s="514">
        <v>44075</v>
      </c>
      <c r="AD12" s="514">
        <v>44075</v>
      </c>
      <c r="AE12" s="514">
        <v>44078</v>
      </c>
      <c r="AF12" s="514"/>
      <c r="AG12" s="514"/>
      <c r="AH12" s="515"/>
      <c r="AI12" s="501" t="s">
        <v>64</v>
      </c>
      <c r="AJ12" s="501" t="s">
        <v>203</v>
      </c>
      <c r="AK12" s="516" t="s">
        <v>3512</v>
      </c>
      <c r="AL12" s="516"/>
      <c r="AM12" s="516">
        <v>44069</v>
      </c>
      <c r="AN12" s="516"/>
      <c r="AO12" s="516">
        <f t="shared" ca="1" si="3"/>
        <v>44963</v>
      </c>
      <c r="AP12" s="501">
        <f t="shared" ca="1" si="4"/>
        <v>894</v>
      </c>
      <c r="AQ12" s="516">
        <f t="shared" ca="1" si="5"/>
        <v>885</v>
      </c>
      <c r="AR12" s="506"/>
      <c r="AS12" s="506" t="s">
        <v>3513</v>
      </c>
      <c r="AT12" s="506">
        <v>12.145</v>
      </c>
      <c r="AU12" s="506">
        <v>12.154999999999999</v>
      </c>
      <c r="AV12" s="506">
        <v>12.179999999999998</v>
      </c>
      <c r="AW12" s="506">
        <v>12.184999999999999</v>
      </c>
      <c r="AX12" s="501">
        <f t="shared" ca="1" si="6"/>
        <v>888</v>
      </c>
      <c r="AY12" s="500"/>
      <c r="AZ12" s="500"/>
      <c r="BA12" s="500" t="s">
        <v>136</v>
      </c>
      <c r="BH12" s="99" t="s">
        <v>3514</v>
      </c>
      <c r="BI12" s="99" t="s">
        <v>3515</v>
      </c>
    </row>
    <row r="13" spans="1:62" s="99" customFormat="1" ht="21.75" customHeight="1" x14ac:dyDescent="0.35">
      <c r="A13" s="500" t="e">
        <f>IF(#REF!="",(IF(ISNUMBER(SUBSTITUTE(LEFT(RIGHT(C13,LEN(C13)-MIN(SEARCH({1,2,3,4,5,6,7,8,9,0},C13&amp;"1234567890"))+1),10),".","/"))=TRUE,AO13-(SUBSTITUTE(LEFT(RIGHT(C13,LEN(C13)-MIN(SEARCH({1,2,3,4,5,6,7,8,9,0},C13&amp;"1234567890"))+1),10),".","/")),IF((SUBSTITUTE(LEFT(RIGHT(C13,LEN(C13)-MIN(SEARCH({1,2,3,4,5,6,7,8,9,0},C13&amp;"1234567890"))+1),10),".","/"))="","",(AO13)-(MID(RIGHT((SUBSTITUTE(LEFT(RIGHT(C13,LEN(C13)-MIN(SEARCH({1,2,3,4,5,6,7,8,9,0},C13&amp;"1234567890"))+1),10),".","/")),10),4,2)&amp;"/"&amp;LEFT((RIGHT((SUBSTITUTE(LEFT(RIGHT(C13,LEN(C13)-MIN(SEARCH({1,2,3,4,5,6,7,8,9,0},C13&amp;"1234567890"))+1),10),".","/")),10)),2)&amp;"/"&amp;RIGHT((SUBSTITUTE(LEFT(RIGHT(C13,LEN(C13)-MIN(SEARCH({1,2,3,4,5,6,7,8,9,0},C13&amp;"1234567890"))+1),10),".","/")),4))))),(AO13-#REF!))</f>
        <v>#REF!</v>
      </c>
      <c r="B13" s="501" t="str">
        <f>IF(M13="MULTI","FGM","FGC")&amp;"-"&amp;G13&amp;"/"&amp;H13&amp;"-"&amp;TEXT(J13,"0.00")&amp;"X"&amp;IF(M13="MULTI",#REF!,M13)</f>
        <v>FGC-304L/2B-001X58,6</v>
      </c>
      <c r="C13" s="502" t="s">
        <v>3517</v>
      </c>
      <c r="D13" s="501" t="s">
        <v>3026</v>
      </c>
      <c r="E13" s="501" t="s">
        <v>3507</v>
      </c>
      <c r="F13" s="503" t="s">
        <v>3518</v>
      </c>
      <c r="G13" s="501" t="s">
        <v>230</v>
      </c>
      <c r="H13" s="501" t="s">
        <v>116</v>
      </c>
      <c r="I13" s="504">
        <v>3.25</v>
      </c>
      <c r="J13" s="504">
        <v>0.8</v>
      </c>
      <c r="K13" s="504">
        <v>0.78</v>
      </c>
      <c r="L13" s="501">
        <v>0.79</v>
      </c>
      <c r="M13" s="505">
        <v>58.6</v>
      </c>
      <c r="N13" s="506">
        <f>2.89-2.655</f>
        <v>0.23500000000000032</v>
      </c>
      <c r="O13" s="507">
        <v>0.17499999999999999</v>
      </c>
      <c r="P13" s="507"/>
      <c r="Q13" s="506"/>
      <c r="R13" s="506"/>
      <c r="S13" s="508">
        <f t="shared" si="1"/>
        <v>0</v>
      </c>
      <c r="T13" s="506">
        <v>0.05</v>
      </c>
      <c r="U13" s="508">
        <f t="shared" si="2"/>
        <v>0.21276595744680823</v>
      </c>
      <c r="V13" s="508"/>
      <c r="W13" s="509" t="s">
        <v>3509</v>
      </c>
      <c r="X13" s="510" t="s">
        <v>116</v>
      </c>
      <c r="Y13" s="511" t="s">
        <v>3510</v>
      </c>
      <c r="Z13" s="512" t="s">
        <v>446</v>
      </c>
      <c r="AA13" s="512" t="s">
        <v>3511</v>
      </c>
      <c r="AB13" s="513"/>
      <c r="AC13" s="514">
        <v>44075</v>
      </c>
      <c r="AD13" s="514">
        <v>44075</v>
      </c>
      <c r="AE13" s="514">
        <v>44078</v>
      </c>
      <c r="AF13" s="514"/>
      <c r="AG13" s="514"/>
      <c r="AH13" s="515"/>
      <c r="AI13" s="501" t="s">
        <v>64</v>
      </c>
      <c r="AJ13" s="501" t="s">
        <v>203</v>
      </c>
      <c r="AK13" s="516" t="s">
        <v>3512</v>
      </c>
      <c r="AL13" s="516"/>
      <c r="AM13" s="516">
        <v>44069</v>
      </c>
      <c r="AN13" s="516"/>
      <c r="AO13" s="516">
        <f t="shared" ca="1" si="3"/>
        <v>44963</v>
      </c>
      <c r="AP13" s="501">
        <f t="shared" ca="1" si="4"/>
        <v>894</v>
      </c>
      <c r="AQ13" s="516">
        <f t="shared" ca="1" si="5"/>
        <v>885</v>
      </c>
      <c r="AR13" s="506"/>
      <c r="AS13" s="506" t="s">
        <v>3513</v>
      </c>
      <c r="AT13" s="506">
        <v>12.145</v>
      </c>
      <c r="AU13" s="506">
        <v>12.154999999999999</v>
      </c>
      <c r="AV13" s="506">
        <v>12.179999999999998</v>
      </c>
      <c r="AW13" s="506">
        <v>12.184999999999999</v>
      </c>
      <c r="AX13" s="501">
        <f t="shared" ca="1" si="6"/>
        <v>888</v>
      </c>
      <c r="AY13" s="500"/>
      <c r="AZ13" s="500"/>
      <c r="BA13" s="500" t="s">
        <v>136</v>
      </c>
      <c r="BH13" s="99" t="s">
        <v>3514</v>
      </c>
      <c r="BI13" s="99" t="s">
        <v>3515</v>
      </c>
    </row>
    <row r="14" spans="1:62" s="99" customFormat="1" ht="21.75" customHeight="1" x14ac:dyDescent="0.35">
      <c r="A14" s="500" t="e">
        <f>IF(#REF!="",(IF(ISNUMBER(SUBSTITUTE(LEFT(RIGHT(C14,LEN(C14)-MIN(SEARCH({1,2,3,4,5,6,7,8,9,0},C14&amp;"1234567890"))+1),10),".","/"))=TRUE,AO14-(SUBSTITUTE(LEFT(RIGHT(C14,LEN(C14)-MIN(SEARCH({1,2,3,4,5,6,7,8,9,0},C14&amp;"1234567890"))+1),10),".","/")),IF((SUBSTITUTE(LEFT(RIGHT(C14,LEN(C14)-MIN(SEARCH({1,2,3,4,5,6,7,8,9,0},C14&amp;"1234567890"))+1),10),".","/"))="","",(AO14)-(MID(RIGHT((SUBSTITUTE(LEFT(RIGHT(C14,LEN(C14)-MIN(SEARCH({1,2,3,4,5,6,7,8,9,0},C14&amp;"1234567890"))+1),10),".","/")),10),4,2)&amp;"/"&amp;LEFT((RIGHT((SUBSTITUTE(LEFT(RIGHT(C14,LEN(C14)-MIN(SEARCH({1,2,3,4,5,6,7,8,9,0},C14&amp;"1234567890"))+1),10),".","/")),10)),2)&amp;"/"&amp;RIGHT((SUBSTITUTE(LEFT(RIGHT(C14,LEN(C14)-MIN(SEARCH({1,2,3,4,5,6,7,8,9,0},C14&amp;"1234567890"))+1),10),".","/")),4))))),(AO14-#REF!))</f>
        <v>#REF!</v>
      </c>
      <c r="B14" s="501" t="str">
        <f>IF(M14="MULTI","FGM","FGC")&amp;"-"&amp;G14&amp;"/"&amp;H14&amp;"-"&amp;TEXT(J14,"0.00")&amp;"X"&amp;IF(M14="MULTI",#REF!,M14)</f>
        <v>FGC-304L/2B-001X58,6</v>
      </c>
      <c r="C14" s="502" t="s">
        <v>3517</v>
      </c>
      <c r="D14" s="501" t="s">
        <v>3026</v>
      </c>
      <c r="E14" s="501" t="s">
        <v>3507</v>
      </c>
      <c r="F14" s="503" t="s">
        <v>3519</v>
      </c>
      <c r="G14" s="501" t="s">
        <v>230</v>
      </c>
      <c r="H14" s="501" t="s">
        <v>116</v>
      </c>
      <c r="I14" s="504">
        <v>3.25</v>
      </c>
      <c r="J14" s="504">
        <v>0.8</v>
      </c>
      <c r="K14" s="504">
        <v>0.78</v>
      </c>
      <c r="L14" s="501">
        <v>0.79</v>
      </c>
      <c r="M14" s="505">
        <v>58.6</v>
      </c>
      <c r="N14" s="506">
        <f>2.94-2.705</f>
        <v>0.23499999999999988</v>
      </c>
      <c r="O14" s="507">
        <v>0.19</v>
      </c>
      <c r="P14" s="507"/>
      <c r="Q14" s="506"/>
      <c r="R14" s="506"/>
      <c r="S14" s="508">
        <f t="shared" si="1"/>
        <v>0</v>
      </c>
      <c r="T14" s="506">
        <v>0.04</v>
      </c>
      <c r="U14" s="508">
        <f t="shared" si="2"/>
        <v>0.17021276595744692</v>
      </c>
      <c r="V14" s="508"/>
      <c r="W14" s="509" t="s">
        <v>3509</v>
      </c>
      <c r="X14" s="510" t="s">
        <v>116</v>
      </c>
      <c r="Y14" s="511" t="s">
        <v>3510</v>
      </c>
      <c r="Z14" s="512" t="s">
        <v>446</v>
      </c>
      <c r="AA14" s="512" t="s">
        <v>3511</v>
      </c>
      <c r="AB14" s="513"/>
      <c r="AC14" s="514">
        <v>44075</v>
      </c>
      <c r="AD14" s="514">
        <v>44075</v>
      </c>
      <c r="AE14" s="514">
        <v>44078</v>
      </c>
      <c r="AF14" s="514"/>
      <c r="AG14" s="514"/>
      <c r="AH14" s="515"/>
      <c r="AI14" s="501" t="s">
        <v>64</v>
      </c>
      <c r="AJ14" s="501" t="s">
        <v>203</v>
      </c>
      <c r="AK14" s="516" t="s">
        <v>3512</v>
      </c>
      <c r="AL14" s="516"/>
      <c r="AM14" s="516">
        <v>44069</v>
      </c>
      <c r="AN14" s="516"/>
      <c r="AO14" s="516">
        <f t="shared" ca="1" si="3"/>
        <v>44963</v>
      </c>
      <c r="AP14" s="501">
        <f t="shared" ca="1" si="4"/>
        <v>894</v>
      </c>
      <c r="AQ14" s="516">
        <f t="shared" ca="1" si="5"/>
        <v>885</v>
      </c>
      <c r="AR14" s="506"/>
      <c r="AS14" s="506" t="s">
        <v>3513</v>
      </c>
      <c r="AT14" s="506">
        <v>12.145</v>
      </c>
      <c r="AU14" s="506">
        <v>12.154999999999999</v>
      </c>
      <c r="AV14" s="506">
        <v>12.179999999999998</v>
      </c>
      <c r="AW14" s="506">
        <v>12.184999999999999</v>
      </c>
      <c r="AX14" s="501">
        <f t="shared" ca="1" si="6"/>
        <v>888</v>
      </c>
      <c r="AY14" s="500"/>
      <c r="AZ14" s="500"/>
      <c r="BA14" s="500" t="s">
        <v>136</v>
      </c>
      <c r="BH14" s="99" t="s">
        <v>3514</v>
      </c>
      <c r="BI14" s="99" t="s">
        <v>3515</v>
      </c>
    </row>
    <row r="15" spans="1:62" s="99" customFormat="1" ht="21.5" customHeight="1" x14ac:dyDescent="0.35">
      <c r="A15" s="517" t="e">
        <f>IF(#REF!="",(IF(ISNUMBER(SUBSTITUTE(LEFT(RIGHT(C15,LEN(C15)-MIN(SEARCH({1,2,3,4,5,6,7,8,9,0},C15&amp;"1234567890"))+1),10),".","/"))=TRUE,AO15-(SUBSTITUTE(LEFT(RIGHT(C15,LEN(C15)-MIN(SEARCH({1,2,3,4,5,6,7,8,9,0},C15&amp;"1234567890"))+1),10),".","/")),IF((SUBSTITUTE(LEFT(RIGHT(C15,LEN(C15)-MIN(SEARCH({1,2,3,4,5,6,7,8,9,0},C15&amp;"1234567890"))+1),10),".","/"))="","",(AO15)-(MID(RIGHT((SUBSTITUTE(LEFT(RIGHT(C15,LEN(C15)-MIN(SEARCH({1,2,3,4,5,6,7,8,9,0},C15&amp;"1234567890"))+1),10),".","/")),10),4,2)&amp;"/"&amp;LEFT((RIGHT((SUBSTITUTE(LEFT(RIGHT(C15,LEN(C15)-MIN(SEARCH({1,2,3,4,5,6,7,8,9,0},C15&amp;"1234567890"))+1),10),".","/")),10)),2)&amp;"/"&amp;RIGHT((SUBSTITUTE(LEFT(RIGHT(C15,LEN(C15)-MIN(SEARCH({1,2,3,4,5,6,7,8,9,0},C15&amp;"1234567890"))+1),10),".","/")),4))))),(AO15-#REF!))</f>
        <v>#REF!</v>
      </c>
      <c r="B15" s="518" t="str">
        <f>IF(M15="MULTI","FGM","FGC")&amp;"-"&amp;G15&amp;"/"&amp;H15&amp;"-"&amp;TEXT(J15,"0.00")&amp;"X"&amp;IF(M15="MULTI",#REF!,M15)</f>
        <v>FGC-304/2B-001X58,6</v>
      </c>
      <c r="C15" s="519" t="s">
        <v>3517</v>
      </c>
      <c r="D15" s="518" t="s">
        <v>3026</v>
      </c>
      <c r="E15" s="518" t="s">
        <v>3520</v>
      </c>
      <c r="F15" s="520" t="s">
        <v>3521</v>
      </c>
      <c r="G15" s="518">
        <v>304</v>
      </c>
      <c r="H15" s="518" t="s">
        <v>116</v>
      </c>
      <c r="I15" s="521">
        <v>1.5</v>
      </c>
      <c r="J15" s="521">
        <v>0.78</v>
      </c>
      <c r="K15" s="521">
        <v>0.78</v>
      </c>
      <c r="L15" s="518">
        <v>0.8</v>
      </c>
      <c r="M15" s="522">
        <v>58.6</v>
      </c>
      <c r="N15" s="523">
        <f>3.46-3.185</f>
        <v>0.27499999999999991</v>
      </c>
      <c r="O15" s="524">
        <v>0.21</v>
      </c>
      <c r="P15" s="524"/>
      <c r="Q15" s="523"/>
      <c r="R15" s="523"/>
      <c r="S15" s="525">
        <f t="shared" si="1"/>
        <v>0</v>
      </c>
      <c r="T15" s="523">
        <v>5.5E-2</v>
      </c>
      <c r="U15" s="525">
        <f t="shared" si="2"/>
        <v>0.20000000000000007</v>
      </c>
      <c r="V15" s="525"/>
      <c r="W15" s="526" t="s">
        <v>3509</v>
      </c>
      <c r="X15" s="527" t="s">
        <v>116</v>
      </c>
      <c r="Y15" s="528" t="s">
        <v>3510</v>
      </c>
      <c r="Z15" s="529" t="s">
        <v>446</v>
      </c>
      <c r="AA15" s="529" t="s">
        <v>3511</v>
      </c>
      <c r="AB15" s="530"/>
      <c r="AC15" s="531" t="s">
        <v>3522</v>
      </c>
      <c r="AD15" s="531" t="s">
        <v>3523</v>
      </c>
      <c r="AE15" s="531" t="s">
        <v>3524</v>
      </c>
      <c r="AF15" s="531">
        <v>44074</v>
      </c>
      <c r="AG15" s="531"/>
      <c r="AH15" s="532"/>
      <c r="AI15" s="518" t="s">
        <v>64</v>
      </c>
      <c r="AJ15" s="518" t="s">
        <v>203</v>
      </c>
      <c r="AK15" s="533" t="s">
        <v>3525</v>
      </c>
      <c r="AL15" s="533"/>
      <c r="AM15" s="533">
        <v>44050</v>
      </c>
      <c r="AN15" s="533"/>
      <c r="AO15" s="533">
        <f t="shared" ca="1" si="3"/>
        <v>44963</v>
      </c>
      <c r="AP15" s="518">
        <f t="shared" ca="1" si="4"/>
        <v>913</v>
      </c>
      <c r="AQ15" s="533" t="e">
        <f t="shared" ca="1" si="5"/>
        <v>#VALUE!</v>
      </c>
      <c r="AR15" s="523"/>
      <c r="AS15" s="523" t="s">
        <v>3526</v>
      </c>
      <c r="AT15" s="523">
        <v>10.484999999999999</v>
      </c>
      <c r="AU15" s="523">
        <v>10.494999999999999</v>
      </c>
      <c r="AV15" s="523">
        <v>10.519999999999998</v>
      </c>
      <c r="AW15" s="523">
        <v>10.524999999999999</v>
      </c>
      <c r="AX15" s="518">
        <f t="shared" ca="1" si="6"/>
        <v>972</v>
      </c>
      <c r="AY15" s="517"/>
      <c r="AZ15" s="517"/>
      <c r="BA15" s="517" t="s">
        <v>136</v>
      </c>
      <c r="BH15" s="99" t="s">
        <v>3514</v>
      </c>
      <c r="BI15" s="99" t="s">
        <v>3515</v>
      </c>
    </row>
    <row r="16" spans="1:62" s="99" customFormat="1" ht="21.75" customHeight="1" x14ac:dyDescent="0.35">
      <c r="A16" s="517" t="e">
        <f>IF(#REF!="",(IF(ISNUMBER(SUBSTITUTE(LEFT(RIGHT(C16,LEN(C16)-MIN(SEARCH({1,2,3,4,5,6,7,8,9,0},C16&amp;"1234567890"))+1),10),".","/"))=TRUE,AO16-(SUBSTITUTE(LEFT(RIGHT(C16,LEN(C16)-MIN(SEARCH({1,2,3,4,5,6,7,8,9,0},C16&amp;"1234567890"))+1),10),".","/")),IF((SUBSTITUTE(LEFT(RIGHT(C16,LEN(C16)-MIN(SEARCH({1,2,3,4,5,6,7,8,9,0},C16&amp;"1234567890"))+1),10),".","/"))="","",(AO16)-(MID(RIGHT((SUBSTITUTE(LEFT(RIGHT(C16,LEN(C16)-MIN(SEARCH({1,2,3,4,5,6,7,8,9,0},C16&amp;"1234567890"))+1),10),".","/")),10),4,2)&amp;"/"&amp;LEFT((RIGHT((SUBSTITUTE(LEFT(RIGHT(C16,LEN(C16)-MIN(SEARCH({1,2,3,4,5,6,7,8,9,0},C16&amp;"1234567890"))+1),10),".","/")),10)),2)&amp;"/"&amp;RIGHT((SUBSTITUTE(LEFT(RIGHT(C16,LEN(C16)-MIN(SEARCH({1,2,3,4,5,6,7,8,9,0},C16&amp;"1234567890"))+1),10),".","/")),4))))),(AO16-#REF!))</f>
        <v>#REF!</v>
      </c>
      <c r="B16" s="518" t="str">
        <f>IF(M16="MULTI","FGM","FGC")&amp;"-"&amp;G16&amp;"/"&amp;H16&amp;"-"&amp;TEXT(J16,"0.00")&amp;"X"&amp;IF(M16="MULTI",#REF!,M16)</f>
        <v>FGC-304/2B-001X58,6</v>
      </c>
      <c r="C16" s="519" t="s">
        <v>3517</v>
      </c>
      <c r="D16" s="518" t="s">
        <v>3026</v>
      </c>
      <c r="E16" s="518" t="s">
        <v>3520</v>
      </c>
      <c r="F16" s="520" t="s">
        <v>3527</v>
      </c>
      <c r="G16" s="518">
        <v>304</v>
      </c>
      <c r="H16" s="518" t="s">
        <v>116</v>
      </c>
      <c r="I16" s="521">
        <v>1.5</v>
      </c>
      <c r="J16" s="521">
        <v>0.78</v>
      </c>
      <c r="K16" s="521">
        <v>0.78</v>
      </c>
      <c r="L16" s="518">
        <v>0.8</v>
      </c>
      <c r="M16" s="522">
        <v>58.6</v>
      </c>
      <c r="N16" s="523">
        <f>3.23-2.97</f>
        <v>0.25999999999999979</v>
      </c>
      <c r="O16" s="524">
        <v>0.19500000000000001</v>
      </c>
      <c r="P16" s="524"/>
      <c r="Q16" s="523"/>
      <c r="R16" s="523"/>
      <c r="S16" s="525">
        <f t="shared" si="1"/>
        <v>0</v>
      </c>
      <c r="T16" s="523"/>
      <c r="U16" s="525">
        <f t="shared" si="2"/>
        <v>0</v>
      </c>
      <c r="V16" s="525"/>
      <c r="W16" s="526" t="s">
        <v>3509</v>
      </c>
      <c r="X16" s="527" t="s">
        <v>116</v>
      </c>
      <c r="Y16" s="528" t="s">
        <v>3510</v>
      </c>
      <c r="Z16" s="529" t="s">
        <v>446</v>
      </c>
      <c r="AA16" s="529" t="s">
        <v>3511</v>
      </c>
      <c r="AB16" s="530"/>
      <c r="AC16" s="531" t="s">
        <v>3522</v>
      </c>
      <c r="AD16" s="531" t="s">
        <v>3523</v>
      </c>
      <c r="AE16" s="531" t="s">
        <v>3524</v>
      </c>
      <c r="AF16" s="531">
        <v>44074</v>
      </c>
      <c r="AG16" s="531"/>
      <c r="AH16" s="532"/>
      <c r="AI16" s="518" t="s">
        <v>64</v>
      </c>
      <c r="AJ16" s="518" t="s">
        <v>203</v>
      </c>
      <c r="AK16" s="533" t="s">
        <v>3525</v>
      </c>
      <c r="AL16" s="533"/>
      <c r="AM16" s="533">
        <v>44050</v>
      </c>
      <c r="AN16" s="533"/>
      <c r="AO16" s="533">
        <f t="shared" ca="1" si="3"/>
        <v>44963</v>
      </c>
      <c r="AP16" s="518">
        <f t="shared" ca="1" si="4"/>
        <v>913</v>
      </c>
      <c r="AQ16" s="533" t="e">
        <f t="shared" ca="1" si="5"/>
        <v>#VALUE!</v>
      </c>
      <c r="AR16" s="523"/>
      <c r="AS16" s="523" t="s">
        <v>3526</v>
      </c>
      <c r="AT16" s="523">
        <v>10.484999999999999</v>
      </c>
      <c r="AU16" s="523">
        <v>10.494999999999999</v>
      </c>
      <c r="AV16" s="523">
        <v>10.519999999999998</v>
      </c>
      <c r="AW16" s="523">
        <v>10.524999999999999</v>
      </c>
      <c r="AX16" s="518">
        <f t="shared" ca="1" si="6"/>
        <v>972</v>
      </c>
      <c r="AY16" s="517"/>
      <c r="AZ16" s="517"/>
      <c r="BA16" s="517" t="s">
        <v>136</v>
      </c>
      <c r="BH16" s="99" t="s">
        <v>3514</v>
      </c>
      <c r="BI16" s="99" t="s">
        <v>3515</v>
      </c>
    </row>
    <row r="17" spans="1:61" s="99" customFormat="1" ht="21.75" customHeight="1" x14ac:dyDescent="0.35">
      <c r="A17" s="517" t="e">
        <f>IF(#REF!="",(IF(ISNUMBER(SUBSTITUTE(LEFT(RIGHT(C17,LEN(C17)-MIN(SEARCH({1,2,3,4,5,6,7,8,9,0},C17&amp;"1234567890"))+1),10),".","/"))=TRUE,AO17-(SUBSTITUTE(LEFT(RIGHT(C17,LEN(C17)-MIN(SEARCH({1,2,3,4,5,6,7,8,9,0},C17&amp;"1234567890"))+1),10),".","/")),IF((SUBSTITUTE(LEFT(RIGHT(C17,LEN(C17)-MIN(SEARCH({1,2,3,4,5,6,7,8,9,0},C17&amp;"1234567890"))+1),10),".","/"))="","",(AO17)-(MID(RIGHT((SUBSTITUTE(LEFT(RIGHT(C17,LEN(C17)-MIN(SEARCH({1,2,3,4,5,6,7,8,9,0},C17&amp;"1234567890"))+1),10),".","/")),10),4,2)&amp;"/"&amp;LEFT((RIGHT((SUBSTITUTE(LEFT(RIGHT(C17,LEN(C17)-MIN(SEARCH({1,2,3,4,5,6,7,8,9,0},C17&amp;"1234567890"))+1),10),".","/")),10)),2)&amp;"/"&amp;RIGHT((SUBSTITUTE(LEFT(RIGHT(C17,LEN(C17)-MIN(SEARCH({1,2,3,4,5,6,7,8,9,0},C17&amp;"1234567890"))+1),10),".","/")),4))))),(AO17-#REF!))</f>
        <v>#REF!</v>
      </c>
      <c r="B17" s="518" t="str">
        <f>IF(M17="MULTI","FGM","FGC")&amp;"-"&amp;G17&amp;"/"&amp;H17&amp;"-"&amp;TEXT(J17,"0.00")&amp;"X"&amp;IF(M17="MULTI",#REF!,M17)</f>
        <v>FGC-304/2B-001X58,6</v>
      </c>
      <c r="C17" s="519" t="s">
        <v>3517</v>
      </c>
      <c r="D17" s="518" t="s">
        <v>3026</v>
      </c>
      <c r="E17" s="518" t="s">
        <v>3520</v>
      </c>
      <c r="F17" s="520" t="s">
        <v>3528</v>
      </c>
      <c r="G17" s="518">
        <v>304</v>
      </c>
      <c r="H17" s="518" t="s">
        <v>116</v>
      </c>
      <c r="I17" s="521">
        <v>1.5</v>
      </c>
      <c r="J17" s="521">
        <v>0.78</v>
      </c>
      <c r="K17" s="521">
        <v>0.78</v>
      </c>
      <c r="L17" s="518">
        <v>0.8</v>
      </c>
      <c r="M17" s="522">
        <v>58.6</v>
      </c>
      <c r="N17" s="523">
        <f>3.475-3.2</f>
        <v>0.27499999999999991</v>
      </c>
      <c r="O17" s="524">
        <v>0.21</v>
      </c>
      <c r="P17" s="524"/>
      <c r="Q17" s="523"/>
      <c r="R17" s="523"/>
      <c r="S17" s="525">
        <f t="shared" si="1"/>
        <v>0</v>
      </c>
      <c r="T17" s="523">
        <v>6.5000000000000002E-2</v>
      </c>
      <c r="U17" s="525">
        <f t="shared" si="2"/>
        <v>0.23636363636363644</v>
      </c>
      <c r="V17" s="525"/>
      <c r="W17" s="526" t="s">
        <v>3509</v>
      </c>
      <c r="X17" s="527" t="s">
        <v>116</v>
      </c>
      <c r="Y17" s="528" t="s">
        <v>3510</v>
      </c>
      <c r="Z17" s="529" t="s">
        <v>446</v>
      </c>
      <c r="AA17" s="529" t="s">
        <v>3511</v>
      </c>
      <c r="AB17" s="530"/>
      <c r="AC17" s="531" t="s">
        <v>3522</v>
      </c>
      <c r="AD17" s="531" t="s">
        <v>3523</v>
      </c>
      <c r="AE17" s="531" t="s">
        <v>3524</v>
      </c>
      <c r="AF17" s="531">
        <v>44074</v>
      </c>
      <c r="AG17" s="531"/>
      <c r="AH17" s="532"/>
      <c r="AI17" s="518" t="s">
        <v>64</v>
      </c>
      <c r="AJ17" s="518" t="s">
        <v>203</v>
      </c>
      <c r="AK17" s="533" t="s">
        <v>3525</v>
      </c>
      <c r="AL17" s="533"/>
      <c r="AM17" s="533">
        <v>44050</v>
      </c>
      <c r="AN17" s="533"/>
      <c r="AO17" s="533">
        <f t="shared" ca="1" si="3"/>
        <v>44963</v>
      </c>
      <c r="AP17" s="518">
        <f t="shared" ca="1" si="4"/>
        <v>913</v>
      </c>
      <c r="AQ17" s="533" t="e">
        <f t="shared" ca="1" si="5"/>
        <v>#VALUE!</v>
      </c>
      <c r="AR17" s="523"/>
      <c r="AS17" s="523" t="s">
        <v>3526</v>
      </c>
      <c r="AT17" s="523">
        <v>10.484999999999999</v>
      </c>
      <c r="AU17" s="523">
        <v>10.494999999999999</v>
      </c>
      <c r="AV17" s="523">
        <v>10.519999999999998</v>
      </c>
      <c r="AW17" s="523">
        <v>10.524999999999999</v>
      </c>
      <c r="AX17" s="518">
        <f t="shared" ca="1" si="6"/>
        <v>972</v>
      </c>
      <c r="AY17" s="517"/>
      <c r="AZ17" s="517"/>
      <c r="BA17" s="517" t="s">
        <v>136</v>
      </c>
      <c r="BH17" s="99" t="s">
        <v>3514</v>
      </c>
      <c r="BI17" s="99" t="s">
        <v>3515</v>
      </c>
    </row>
    <row r="18" spans="1:61" s="99" customFormat="1" ht="21.75" customHeight="1" x14ac:dyDescent="0.35">
      <c r="A18" s="550" t="e">
        <f>IF(#REF!="",(IF(ISNUMBER(SUBSTITUTE(LEFT(RIGHT(C18,LEN(C18)-MIN(SEARCH({1,2,3,4,5,6,7,8,9,0},C18&amp;"1234567890"))+1),10),".","/"))=TRUE,AO18-(SUBSTITUTE(LEFT(RIGHT(C18,LEN(C18)-MIN(SEARCH({1,2,3,4,5,6,7,8,9,0},C18&amp;"1234567890"))+1),10),".","/")),IF((SUBSTITUTE(LEFT(RIGHT(C18,LEN(C18)-MIN(SEARCH({1,2,3,4,5,6,7,8,9,0},C18&amp;"1234567890"))+1),10),".","/"))="","",(AO18)-(MID(RIGHT((SUBSTITUTE(LEFT(RIGHT(C18,LEN(C18)-MIN(SEARCH({1,2,3,4,5,6,7,8,9,0},C18&amp;"1234567890"))+1),10),".","/")),10),4,2)&amp;"/"&amp;LEFT((RIGHT((SUBSTITUTE(LEFT(RIGHT(C18,LEN(C18)-MIN(SEARCH({1,2,3,4,5,6,7,8,9,0},C18&amp;"1234567890"))+1),10),".","/")),10)),2)&amp;"/"&amp;RIGHT((SUBSTITUTE(LEFT(RIGHT(C18,LEN(C18)-MIN(SEARCH({1,2,3,4,5,6,7,8,9,0},C18&amp;"1234567890"))+1),10),".","/")),4))))),(AO18-#REF!))</f>
        <v>#REF!</v>
      </c>
      <c r="B18" s="534" t="str">
        <f>IF(M18="MULTI","FGM","FGC")&amp;"-"&amp;G18&amp;"/"&amp;H18&amp;"-"&amp;TEXT(J18,"0.00")&amp;"X"&amp;IF(M18="MULTI",#REF!,M18)</f>
        <v>FGC-304/2B-001X58,6</v>
      </c>
      <c r="C18" s="535" t="s">
        <v>3517</v>
      </c>
      <c r="D18" s="534" t="s">
        <v>3026</v>
      </c>
      <c r="E18" s="534" t="s">
        <v>3529</v>
      </c>
      <c r="F18" s="536" t="s">
        <v>3530</v>
      </c>
      <c r="G18" s="534">
        <v>304</v>
      </c>
      <c r="H18" s="534" t="s">
        <v>116</v>
      </c>
      <c r="I18" s="537">
        <v>1.4</v>
      </c>
      <c r="J18" s="537">
        <v>0.8</v>
      </c>
      <c r="K18" s="537">
        <v>0.77</v>
      </c>
      <c r="L18" s="534">
        <v>0.78</v>
      </c>
      <c r="M18" s="538">
        <v>58.6</v>
      </c>
      <c r="N18" s="539">
        <f>3.705-3.415</f>
        <v>0.29000000000000004</v>
      </c>
      <c r="O18" s="540">
        <v>0.22500000000000001</v>
      </c>
      <c r="P18" s="540"/>
      <c r="Q18" s="539"/>
      <c r="R18" s="539"/>
      <c r="S18" s="541">
        <f t="shared" si="1"/>
        <v>0</v>
      </c>
      <c r="T18" s="539">
        <v>6.5000000000000002E-2</v>
      </c>
      <c r="U18" s="541">
        <f t="shared" si="2"/>
        <v>0.22413793103448273</v>
      </c>
      <c r="V18" s="541"/>
      <c r="W18" s="542" t="s">
        <v>3509</v>
      </c>
      <c r="X18" s="543" t="s">
        <v>116</v>
      </c>
      <c r="Y18" s="544" t="s">
        <v>3510</v>
      </c>
      <c r="Z18" s="545" t="s">
        <v>446</v>
      </c>
      <c r="AA18" s="545" t="s">
        <v>3511</v>
      </c>
      <c r="AB18" s="546"/>
      <c r="AC18" s="547" t="s">
        <v>3531</v>
      </c>
      <c r="AD18" s="547" t="s">
        <v>3531</v>
      </c>
      <c r="AE18" s="547" t="s">
        <v>3532</v>
      </c>
      <c r="AF18" s="547">
        <v>44021</v>
      </c>
      <c r="AG18" s="547"/>
      <c r="AH18" s="548"/>
      <c r="AI18" s="534" t="s">
        <v>64</v>
      </c>
      <c r="AJ18" s="534" t="s">
        <v>203</v>
      </c>
      <c r="AK18" s="549" t="s">
        <v>238</v>
      </c>
      <c r="AL18" s="549"/>
      <c r="AM18" s="549">
        <v>44000</v>
      </c>
      <c r="AN18" s="549"/>
      <c r="AO18" s="549">
        <f t="shared" ca="1" si="3"/>
        <v>44963</v>
      </c>
      <c r="AP18" s="534">
        <f t="shared" ca="1" si="4"/>
        <v>963</v>
      </c>
      <c r="AQ18" s="549" t="e">
        <f t="shared" ca="1" si="5"/>
        <v>#VALUE!</v>
      </c>
      <c r="AR18" s="539"/>
      <c r="AS18" s="539" t="s">
        <v>3533</v>
      </c>
      <c r="AT18" s="539">
        <v>10.17</v>
      </c>
      <c r="AU18" s="539">
        <v>10.18</v>
      </c>
      <c r="AV18" s="539">
        <v>10.194999999999999</v>
      </c>
      <c r="AW18" s="539">
        <v>10.199999999999999</v>
      </c>
      <c r="AX18" s="534">
        <f t="shared" ca="1" si="6"/>
        <v>790</v>
      </c>
      <c r="AY18" s="550"/>
      <c r="AZ18" s="550"/>
      <c r="BA18" s="550" t="s">
        <v>136</v>
      </c>
      <c r="BH18" s="99" t="s">
        <v>3514</v>
      </c>
      <c r="BI18" s="99" t="s">
        <v>3515</v>
      </c>
    </row>
    <row r="19" spans="1:61" s="99" customFormat="1" ht="21.75" customHeight="1" x14ac:dyDescent="0.35">
      <c r="A19" s="550" t="e">
        <f>IF(#REF!="",(IF(ISNUMBER(SUBSTITUTE(LEFT(RIGHT(C19,LEN(C19)-MIN(SEARCH({1,2,3,4,5,6,7,8,9,0},C19&amp;"1234567890"))+1),10),".","/"))=TRUE,AO19-(SUBSTITUTE(LEFT(RIGHT(C19,LEN(C19)-MIN(SEARCH({1,2,3,4,5,6,7,8,9,0},C19&amp;"1234567890"))+1),10),".","/")),IF((SUBSTITUTE(LEFT(RIGHT(C19,LEN(C19)-MIN(SEARCH({1,2,3,4,5,6,7,8,9,0},C19&amp;"1234567890"))+1),10),".","/"))="","",(AO19)-(MID(RIGHT((SUBSTITUTE(LEFT(RIGHT(C19,LEN(C19)-MIN(SEARCH({1,2,3,4,5,6,7,8,9,0},C19&amp;"1234567890"))+1),10),".","/")),10),4,2)&amp;"/"&amp;LEFT((RIGHT((SUBSTITUTE(LEFT(RIGHT(C19,LEN(C19)-MIN(SEARCH({1,2,3,4,5,6,7,8,9,0},C19&amp;"1234567890"))+1),10),".","/")),10)),2)&amp;"/"&amp;RIGHT((SUBSTITUTE(LEFT(RIGHT(C19,LEN(C19)-MIN(SEARCH({1,2,3,4,5,6,7,8,9,0},C19&amp;"1234567890"))+1),10),".","/")),4))))),(AO19-#REF!))</f>
        <v>#REF!</v>
      </c>
      <c r="B19" s="534" t="str">
        <f>IF(M19="MULTI","FGM","FGC")&amp;"-"&amp;G19&amp;"/"&amp;H19&amp;"-"&amp;TEXT(J19,"0.00")&amp;"X"&amp;IF(M19="MULTI",#REF!,M19)</f>
        <v>FGC-304/2B-001X58,6</v>
      </c>
      <c r="C19" s="535" t="s">
        <v>3517</v>
      </c>
      <c r="D19" s="534" t="s">
        <v>3026</v>
      </c>
      <c r="E19" s="534" t="s">
        <v>3529</v>
      </c>
      <c r="F19" s="536" t="s">
        <v>3534</v>
      </c>
      <c r="G19" s="534">
        <v>304</v>
      </c>
      <c r="H19" s="534" t="s">
        <v>116</v>
      </c>
      <c r="I19" s="537">
        <v>1.4</v>
      </c>
      <c r="J19" s="537">
        <v>0.8</v>
      </c>
      <c r="K19" s="537">
        <v>0.77</v>
      </c>
      <c r="L19" s="534">
        <v>0.78</v>
      </c>
      <c r="M19" s="538">
        <v>58.6</v>
      </c>
      <c r="N19" s="539">
        <f>3.915-3.61</f>
        <v>0.30500000000000016</v>
      </c>
      <c r="O19" s="540">
        <v>0.24</v>
      </c>
      <c r="P19" s="540"/>
      <c r="Q19" s="539"/>
      <c r="R19" s="539"/>
      <c r="S19" s="541">
        <f t="shared" si="1"/>
        <v>0</v>
      </c>
      <c r="T19" s="539">
        <v>6.5000000000000002E-2</v>
      </c>
      <c r="U19" s="541">
        <f t="shared" si="2"/>
        <v>0.21311475409836056</v>
      </c>
      <c r="V19" s="541"/>
      <c r="W19" s="542" t="s">
        <v>3509</v>
      </c>
      <c r="X19" s="543" t="s">
        <v>116</v>
      </c>
      <c r="Y19" s="544" t="s">
        <v>3510</v>
      </c>
      <c r="Z19" s="545" t="s">
        <v>446</v>
      </c>
      <c r="AA19" s="545" t="s">
        <v>3511</v>
      </c>
      <c r="AB19" s="546"/>
      <c r="AC19" s="547" t="s">
        <v>3531</v>
      </c>
      <c r="AD19" s="547" t="s">
        <v>3531</v>
      </c>
      <c r="AE19" s="547" t="s">
        <v>3532</v>
      </c>
      <c r="AF19" s="547">
        <v>44021</v>
      </c>
      <c r="AG19" s="547"/>
      <c r="AH19" s="548"/>
      <c r="AI19" s="534" t="s">
        <v>64</v>
      </c>
      <c r="AJ19" s="534" t="s">
        <v>203</v>
      </c>
      <c r="AK19" s="549" t="s">
        <v>238</v>
      </c>
      <c r="AL19" s="549"/>
      <c r="AM19" s="549">
        <v>44000</v>
      </c>
      <c r="AN19" s="549"/>
      <c r="AO19" s="549">
        <f t="shared" ca="1" si="3"/>
        <v>44963</v>
      </c>
      <c r="AP19" s="534">
        <f t="shared" ca="1" si="4"/>
        <v>963</v>
      </c>
      <c r="AQ19" s="549" t="e">
        <f t="shared" ca="1" si="5"/>
        <v>#VALUE!</v>
      </c>
      <c r="AR19" s="539"/>
      <c r="AS19" s="539" t="s">
        <v>3533</v>
      </c>
      <c r="AT19" s="539">
        <v>10.17</v>
      </c>
      <c r="AU19" s="539">
        <v>10.18</v>
      </c>
      <c r="AV19" s="539">
        <v>10.194999999999999</v>
      </c>
      <c r="AW19" s="539">
        <v>10.199999999999999</v>
      </c>
      <c r="AX19" s="534">
        <f t="shared" ca="1" si="6"/>
        <v>790</v>
      </c>
      <c r="AY19" s="550"/>
      <c r="AZ19" s="550"/>
      <c r="BA19" s="550" t="s">
        <v>136</v>
      </c>
      <c r="BH19" s="99" t="s">
        <v>3514</v>
      </c>
      <c r="BI19" s="99" t="s">
        <v>3515</v>
      </c>
    </row>
    <row r="20" spans="1:61" s="99" customFormat="1" ht="21.75" customHeight="1" x14ac:dyDescent="0.35">
      <c r="A20" s="99" t="e">
        <f>IF(#REF!="",(IF(ISNUMBER(SUBSTITUTE(LEFT(RIGHT(C20,LEN(C20)-MIN(SEARCH({1,2,3,4,5,6,7,8,9,0},C20&amp;"1234567890"))+1),10),".","/"))=TRUE,AO20-(SUBSTITUTE(LEFT(RIGHT(C20,LEN(C20)-MIN(SEARCH({1,2,3,4,5,6,7,8,9,0},C20&amp;"1234567890"))+1),10),".","/")),IF((SUBSTITUTE(LEFT(RIGHT(C20,LEN(C20)-MIN(SEARCH({1,2,3,4,5,6,7,8,9,0},C20&amp;"1234567890"))+1),10),".","/"))="","",(AO20)-(MID(RIGHT((SUBSTITUTE(LEFT(RIGHT(C20,LEN(C20)-MIN(SEARCH({1,2,3,4,5,6,7,8,9,0},C20&amp;"1234567890"))+1),10),".","/")),10),4,2)&amp;"/"&amp;LEFT((RIGHT((SUBSTITUTE(LEFT(RIGHT(C20,LEN(C20)-MIN(SEARCH({1,2,3,4,5,6,7,8,9,0},C20&amp;"1234567890"))+1),10),".","/")),10)),2)&amp;"/"&amp;RIGHT((SUBSTITUTE(LEFT(RIGHT(C20,LEN(C20)-MIN(SEARCH({1,2,3,4,5,6,7,8,9,0},C20&amp;"1234567890"))+1),10),".","/")),4))))),(AO20-#REF!))</f>
        <v>#REF!</v>
      </c>
      <c r="B20" s="126" t="str">
        <f>IF(M20="MULTI","FGM","FGC")&amp;"-"&amp;G20&amp;"/"&amp;H20&amp;"-"&amp;TEXT(J20,"0.00")&amp;"X"&amp;IF(M20="MULTI",#REF!,M20)</f>
        <v>FGC-304L/2B-001X58,6</v>
      </c>
      <c r="C20" s="294" t="s">
        <v>3517</v>
      </c>
      <c r="D20" s="126" t="s">
        <v>3026</v>
      </c>
      <c r="E20" s="126" t="s">
        <v>3535</v>
      </c>
      <c r="F20" s="143" t="s">
        <v>3536</v>
      </c>
      <c r="G20" s="126" t="s">
        <v>230</v>
      </c>
      <c r="H20" s="126" t="s">
        <v>116</v>
      </c>
      <c r="I20" s="127">
        <v>3.2</v>
      </c>
      <c r="J20" s="127">
        <v>0.78</v>
      </c>
      <c r="K20" s="127">
        <v>0.75</v>
      </c>
      <c r="L20" s="126">
        <v>0.77</v>
      </c>
      <c r="M20" s="295">
        <v>58.6</v>
      </c>
      <c r="N20" s="129">
        <f>4.025-3.71</f>
        <v>0.31500000000000039</v>
      </c>
      <c r="O20" s="296">
        <v>0.24</v>
      </c>
      <c r="P20" s="297"/>
      <c r="Q20" s="129"/>
      <c r="R20" s="129"/>
      <c r="S20" s="298">
        <f t="shared" si="1"/>
        <v>0</v>
      </c>
      <c r="T20" s="129">
        <v>7.4999999999999997E-2</v>
      </c>
      <c r="U20" s="298">
        <f t="shared" si="2"/>
        <v>0.2380952380952378</v>
      </c>
      <c r="V20" s="298"/>
      <c r="W20" s="128" t="s">
        <v>3509</v>
      </c>
      <c r="X20" s="299" t="s">
        <v>116</v>
      </c>
      <c r="Y20" s="284" t="s">
        <v>3510</v>
      </c>
      <c r="Z20" s="282" t="s">
        <v>446</v>
      </c>
      <c r="AA20" s="282" t="s">
        <v>3511</v>
      </c>
      <c r="AB20" s="300"/>
      <c r="AC20" s="132">
        <v>44055</v>
      </c>
      <c r="AD20" s="132">
        <v>44060</v>
      </c>
      <c r="AE20" s="132">
        <v>44064</v>
      </c>
      <c r="AF20" s="132"/>
      <c r="AG20" s="132"/>
      <c r="AH20" s="133"/>
      <c r="AI20" s="126" t="s">
        <v>64</v>
      </c>
      <c r="AJ20" s="126" t="s">
        <v>203</v>
      </c>
      <c r="AK20" s="134" t="s">
        <v>3525</v>
      </c>
      <c r="AL20" s="134"/>
      <c r="AM20" s="134">
        <v>44050</v>
      </c>
      <c r="AN20" s="134"/>
      <c r="AO20" s="134">
        <f t="shared" ca="1" si="3"/>
        <v>44963</v>
      </c>
      <c r="AP20" s="126">
        <f t="shared" ca="1" si="4"/>
        <v>913</v>
      </c>
      <c r="AQ20" s="134">
        <f t="shared" ca="1" si="5"/>
        <v>899</v>
      </c>
      <c r="AR20" s="129"/>
      <c r="AS20" s="129" t="s">
        <v>3537</v>
      </c>
      <c r="AT20" s="129">
        <v>10.565</v>
      </c>
      <c r="AU20" s="129">
        <v>10.574999999999999</v>
      </c>
      <c r="AV20" s="129">
        <v>10.599999999999998</v>
      </c>
      <c r="AW20" s="129">
        <v>10.604999999999999</v>
      </c>
      <c r="AX20" s="126">
        <f t="shared" ca="1" si="6"/>
        <v>903</v>
      </c>
      <c r="BA20" s="99" t="s">
        <v>136</v>
      </c>
      <c r="BH20" s="99" t="s">
        <v>3514</v>
      </c>
      <c r="BI20" s="99" t="s">
        <v>3515</v>
      </c>
    </row>
    <row r="21" spans="1:61" s="99" customFormat="1" ht="21.75" customHeight="1" x14ac:dyDescent="0.35">
      <c r="A21" s="551">
        <v>43720</v>
      </c>
      <c r="B21" s="552" t="str">
        <f>IF(M21="MULTI","FGM","FGC")&amp;"-"&amp;G21&amp;"/"&amp;H21&amp;"-"&amp;TEXT(J21,"0.00")&amp;"X"&amp;IF(M21="MULTI",#REF!,M21)</f>
        <v>FGC-304/2B-001X75</v>
      </c>
      <c r="C21" s="553" t="s">
        <v>3538</v>
      </c>
      <c r="D21" s="552" t="s">
        <v>3026</v>
      </c>
      <c r="E21" s="552" t="s">
        <v>3539</v>
      </c>
      <c r="F21" s="554" t="s">
        <v>3540</v>
      </c>
      <c r="G21" s="552">
        <v>304</v>
      </c>
      <c r="H21" s="552" t="s">
        <v>116</v>
      </c>
      <c r="I21" s="555">
        <v>2.8</v>
      </c>
      <c r="J21" s="555">
        <v>1.35</v>
      </c>
      <c r="K21" s="555">
        <v>1.34</v>
      </c>
      <c r="L21" s="552">
        <v>1.36</v>
      </c>
      <c r="M21" s="556">
        <v>75</v>
      </c>
      <c r="N21" s="557">
        <v>0.47299999999999998</v>
      </c>
      <c r="O21" s="558">
        <v>0.46</v>
      </c>
      <c r="P21" s="558"/>
      <c r="Q21" s="557"/>
      <c r="R21" s="557"/>
      <c r="S21" s="559">
        <f t="shared" si="1"/>
        <v>0</v>
      </c>
      <c r="T21" s="557"/>
      <c r="U21" s="559">
        <f t="shared" si="2"/>
        <v>0</v>
      </c>
      <c r="V21" s="559"/>
      <c r="W21" s="556">
        <v>56.8</v>
      </c>
      <c r="X21" s="560" t="s">
        <v>208</v>
      </c>
      <c r="Y21" s="561" t="s">
        <v>3510</v>
      </c>
      <c r="Z21" s="562" t="s">
        <v>446</v>
      </c>
      <c r="AA21" s="562" t="s">
        <v>3541</v>
      </c>
      <c r="AB21" s="563"/>
      <c r="AC21" s="564">
        <v>43168</v>
      </c>
      <c r="AD21" s="564">
        <v>43168</v>
      </c>
      <c r="AE21" s="564">
        <v>43189</v>
      </c>
      <c r="AF21" s="564"/>
      <c r="AG21" s="564"/>
      <c r="AH21" s="565"/>
      <c r="AI21" s="552" t="s">
        <v>64</v>
      </c>
      <c r="AJ21" s="552" t="s">
        <v>3542</v>
      </c>
      <c r="AK21" s="566" t="s">
        <v>3543</v>
      </c>
      <c r="AL21" s="566">
        <v>43113</v>
      </c>
      <c r="AM21" s="566">
        <v>43146</v>
      </c>
      <c r="AN21" s="566"/>
      <c r="AO21" s="566">
        <f t="shared" ca="1" si="3"/>
        <v>44963</v>
      </c>
      <c r="AP21" s="552">
        <f t="shared" ca="1" si="4"/>
        <v>1817</v>
      </c>
      <c r="AQ21" s="566"/>
      <c r="AR21" s="557" t="s">
        <v>3544</v>
      </c>
      <c r="AS21" s="557" t="s">
        <v>3539</v>
      </c>
      <c r="AT21" s="557">
        <v>9.1620000000000008</v>
      </c>
      <c r="AU21" s="557">
        <v>9.1920000000000002</v>
      </c>
      <c r="AV21" s="557">
        <v>9.19</v>
      </c>
      <c r="AW21" s="557">
        <v>9.1950000000000003</v>
      </c>
      <c r="AX21" s="552"/>
      <c r="AY21" s="551"/>
      <c r="AZ21" s="551"/>
      <c r="BA21" s="551"/>
      <c r="BB21" s="99" t="s">
        <v>136</v>
      </c>
      <c r="BC21" s="99" t="s">
        <v>3545</v>
      </c>
      <c r="BE21" s="99" t="s">
        <v>125</v>
      </c>
      <c r="BH21" s="99" t="s">
        <v>3514</v>
      </c>
      <c r="BI21" s="99" t="s">
        <v>3515</v>
      </c>
    </row>
    <row r="22" spans="1:61" s="99" customFormat="1" ht="21.75" customHeight="1" x14ac:dyDescent="0.35">
      <c r="A22" s="551">
        <v>43720</v>
      </c>
      <c r="B22" s="552" t="str">
        <f>IF(M22="MULTI","FGM","FGC")&amp;"-"&amp;G22&amp;"/"&amp;H22&amp;"-"&amp;TEXT(J22,"0.00")&amp;"X"&amp;IF(M22="MULTI",#REF!,M22)</f>
        <v>FGC-304/2B-001X75</v>
      </c>
      <c r="C22" s="553" t="s">
        <v>3538</v>
      </c>
      <c r="D22" s="552" t="s">
        <v>3026</v>
      </c>
      <c r="E22" s="552" t="s">
        <v>3539</v>
      </c>
      <c r="F22" s="554" t="s">
        <v>3546</v>
      </c>
      <c r="G22" s="552">
        <v>304</v>
      </c>
      <c r="H22" s="552" t="s">
        <v>116</v>
      </c>
      <c r="I22" s="555">
        <v>2.8</v>
      </c>
      <c r="J22" s="555">
        <v>1.35</v>
      </c>
      <c r="K22" s="555">
        <v>1.34</v>
      </c>
      <c r="L22" s="552">
        <v>1.36</v>
      </c>
      <c r="M22" s="556">
        <v>75</v>
      </c>
      <c r="N22" s="557">
        <v>0.48299999999999998</v>
      </c>
      <c r="O22" s="558">
        <v>0.375</v>
      </c>
      <c r="P22" s="558"/>
      <c r="Q22" s="557"/>
      <c r="R22" s="557"/>
      <c r="S22" s="559">
        <f t="shared" si="1"/>
        <v>0</v>
      </c>
      <c r="T22" s="557"/>
      <c r="U22" s="559">
        <f t="shared" si="2"/>
        <v>0</v>
      </c>
      <c r="V22" s="559"/>
      <c r="W22" s="556">
        <v>56.8</v>
      </c>
      <c r="X22" s="560" t="s">
        <v>208</v>
      </c>
      <c r="Y22" s="561" t="s">
        <v>3510</v>
      </c>
      <c r="Z22" s="562" t="s">
        <v>446</v>
      </c>
      <c r="AA22" s="562" t="s">
        <v>3541</v>
      </c>
      <c r="AB22" s="563"/>
      <c r="AC22" s="564">
        <v>43168</v>
      </c>
      <c r="AD22" s="564">
        <v>43168</v>
      </c>
      <c r="AE22" s="564">
        <v>43189</v>
      </c>
      <c r="AF22" s="564"/>
      <c r="AG22" s="564"/>
      <c r="AH22" s="565"/>
      <c r="AI22" s="552" t="s">
        <v>64</v>
      </c>
      <c r="AJ22" s="552" t="s">
        <v>3542</v>
      </c>
      <c r="AK22" s="566" t="s">
        <v>3543</v>
      </c>
      <c r="AL22" s="566">
        <v>43113</v>
      </c>
      <c r="AM22" s="566">
        <v>43146</v>
      </c>
      <c r="AN22" s="566"/>
      <c r="AO22" s="566">
        <f t="shared" ca="1" si="3"/>
        <v>44963</v>
      </c>
      <c r="AP22" s="552">
        <f t="shared" ca="1" si="4"/>
        <v>1817</v>
      </c>
      <c r="AQ22" s="566"/>
      <c r="AR22" s="557" t="s">
        <v>3544</v>
      </c>
      <c r="AS22" s="557" t="s">
        <v>3539</v>
      </c>
      <c r="AT22" s="557">
        <v>9.1620000000000008</v>
      </c>
      <c r="AU22" s="557">
        <v>9.1920000000000002</v>
      </c>
      <c r="AV22" s="557">
        <v>9.19</v>
      </c>
      <c r="AW22" s="557">
        <v>9.1950000000000003</v>
      </c>
      <c r="AX22" s="552"/>
      <c r="AY22" s="551"/>
      <c r="AZ22" s="551"/>
      <c r="BA22" s="551"/>
      <c r="BB22" s="99" t="s">
        <v>136</v>
      </c>
      <c r="BC22" s="99" t="s">
        <v>3545</v>
      </c>
      <c r="BE22" s="99" t="s">
        <v>125</v>
      </c>
      <c r="BH22" s="99" t="s">
        <v>3514</v>
      </c>
      <c r="BI22" s="99" t="s">
        <v>3515</v>
      </c>
    </row>
    <row r="23" spans="1:61" s="99" customFormat="1" ht="21.75" customHeight="1" x14ac:dyDescent="0.35">
      <c r="A23" s="99">
        <v>43720</v>
      </c>
      <c r="B23" s="126" t="str">
        <f>IF(M23="MULTI","FGM","FGC")&amp;"-"&amp;G23&amp;"/"&amp;H23&amp;"-"&amp;TEXT(J23,"0.00")&amp;"X"&amp;IF(M23="MULTI",#REF!,M23)</f>
        <v>FGC-304/2B-001X75</v>
      </c>
      <c r="C23" s="294" t="s">
        <v>3538</v>
      </c>
      <c r="D23" s="126" t="s">
        <v>3026</v>
      </c>
      <c r="E23" s="126" t="s">
        <v>3547</v>
      </c>
      <c r="F23" s="143" t="s">
        <v>3548</v>
      </c>
      <c r="G23" s="126">
        <v>304</v>
      </c>
      <c r="H23" s="126" t="s">
        <v>116</v>
      </c>
      <c r="I23" s="127">
        <v>2.8</v>
      </c>
      <c r="J23" s="127">
        <v>1.35</v>
      </c>
      <c r="K23" s="127">
        <v>1.32</v>
      </c>
      <c r="L23" s="126">
        <v>1.34</v>
      </c>
      <c r="M23" s="295">
        <v>75</v>
      </c>
      <c r="N23" s="129">
        <v>0.48599999999999999</v>
      </c>
      <c r="O23" s="296">
        <v>0.35</v>
      </c>
      <c r="P23" s="297"/>
      <c r="Q23" s="129"/>
      <c r="R23" s="129"/>
      <c r="S23" s="298">
        <f t="shared" si="1"/>
        <v>0</v>
      </c>
      <c r="T23" s="129">
        <v>0.13500000000000001</v>
      </c>
      <c r="U23" s="298">
        <f t="shared" si="2"/>
        <v>0.27777777777777779</v>
      </c>
      <c r="V23" s="298"/>
      <c r="W23" s="295">
        <v>56.8</v>
      </c>
      <c r="X23" s="299" t="s">
        <v>208</v>
      </c>
      <c r="Y23" s="284" t="s">
        <v>3510</v>
      </c>
      <c r="Z23" s="282" t="s">
        <v>446</v>
      </c>
      <c r="AA23" s="282" t="s">
        <v>3541</v>
      </c>
      <c r="AB23" s="300"/>
      <c r="AC23" s="132">
        <v>43168</v>
      </c>
      <c r="AD23" s="132">
        <v>43168</v>
      </c>
      <c r="AE23" s="132">
        <v>43169</v>
      </c>
      <c r="AF23" s="132"/>
      <c r="AG23" s="132"/>
      <c r="AH23" s="133"/>
      <c r="AI23" s="126" t="s">
        <v>64</v>
      </c>
      <c r="AJ23" s="126" t="s">
        <v>3542</v>
      </c>
      <c r="AK23" s="134" t="s">
        <v>3549</v>
      </c>
      <c r="AL23" s="134">
        <v>43120</v>
      </c>
      <c r="AM23" s="134">
        <v>43145</v>
      </c>
      <c r="AN23" s="134"/>
      <c r="AO23" s="134">
        <f t="shared" ca="1" si="3"/>
        <v>44963</v>
      </c>
      <c r="AP23" s="126">
        <f t="shared" ca="1" si="4"/>
        <v>1818</v>
      </c>
      <c r="AQ23" s="134"/>
      <c r="AR23" s="129" t="s">
        <v>3550</v>
      </c>
      <c r="AS23" s="129" t="s">
        <v>3547</v>
      </c>
      <c r="AT23" s="129">
        <v>9.1820000000000004</v>
      </c>
      <c r="AU23" s="129">
        <v>9.2119999999999997</v>
      </c>
      <c r="AV23" s="129">
        <v>9.2050000000000001</v>
      </c>
      <c r="AW23" s="129">
        <v>9.2100000000000009</v>
      </c>
      <c r="AX23" s="126"/>
      <c r="BB23" s="99" t="s">
        <v>136</v>
      </c>
      <c r="BC23" s="99" t="s">
        <v>3545</v>
      </c>
      <c r="BE23" s="99" t="s">
        <v>125</v>
      </c>
      <c r="BI23" s="99" t="s">
        <v>3515</v>
      </c>
    </row>
    <row r="24" spans="1:61" s="99" customFormat="1" ht="21.75" customHeight="1" x14ac:dyDescent="0.35">
      <c r="A24" s="567">
        <v>43212</v>
      </c>
      <c r="B24" s="568" t="str">
        <f>IF(M24="MULTI","FGM","FGC")&amp;"-"&amp;G24&amp;"/"&amp;H24&amp;"-"&amp;TEXT(J24,"0.00")&amp;"X"&amp;IF(M24="MULTI",#REF!,M24)</f>
        <v>FGC-304/2B-001X75</v>
      </c>
      <c r="C24" s="569" t="s">
        <v>3538</v>
      </c>
      <c r="D24" s="568" t="s">
        <v>3026</v>
      </c>
      <c r="E24" s="568" t="s">
        <v>3551</v>
      </c>
      <c r="F24" s="570" t="s">
        <v>3552</v>
      </c>
      <c r="G24" s="568">
        <v>304</v>
      </c>
      <c r="H24" s="568" t="s">
        <v>116</v>
      </c>
      <c r="I24" s="571">
        <v>2.8</v>
      </c>
      <c r="J24" s="571">
        <v>1.35</v>
      </c>
      <c r="K24" s="571">
        <v>1.35</v>
      </c>
      <c r="L24" s="568">
        <v>1.36</v>
      </c>
      <c r="M24" s="572">
        <v>75</v>
      </c>
      <c r="N24" s="573">
        <v>0.5</v>
      </c>
      <c r="O24" s="574">
        <v>0.34</v>
      </c>
      <c r="P24" s="574"/>
      <c r="Q24" s="573"/>
      <c r="R24" s="573"/>
      <c r="S24" s="575">
        <f t="shared" si="1"/>
        <v>0</v>
      </c>
      <c r="T24" s="573">
        <v>0.13500000000000001</v>
      </c>
      <c r="U24" s="575">
        <f t="shared" si="2"/>
        <v>0.27</v>
      </c>
      <c r="V24" s="575"/>
      <c r="W24" s="572">
        <v>56.8</v>
      </c>
      <c r="X24" s="576" t="s">
        <v>208</v>
      </c>
      <c r="Y24" s="577" t="s">
        <v>3510</v>
      </c>
      <c r="Z24" s="578" t="s">
        <v>446</v>
      </c>
      <c r="AA24" s="578" t="s">
        <v>3541</v>
      </c>
      <c r="AB24" s="579"/>
      <c r="AC24" s="580">
        <v>43168</v>
      </c>
      <c r="AD24" s="580">
        <v>43168</v>
      </c>
      <c r="AE24" s="580">
        <v>43188</v>
      </c>
      <c r="AF24" s="580"/>
      <c r="AG24" s="580"/>
      <c r="AH24" s="581"/>
      <c r="AI24" s="568" t="s">
        <v>64</v>
      </c>
      <c r="AJ24" s="568" t="s">
        <v>3542</v>
      </c>
      <c r="AK24" s="582" t="s">
        <v>3543</v>
      </c>
      <c r="AL24" s="582">
        <v>43113</v>
      </c>
      <c r="AM24" s="582">
        <v>43146</v>
      </c>
      <c r="AN24" s="582"/>
      <c r="AO24" s="582">
        <f t="shared" ca="1" si="3"/>
        <v>44963</v>
      </c>
      <c r="AP24" s="568">
        <f t="shared" ca="1" si="4"/>
        <v>1817</v>
      </c>
      <c r="AQ24" s="582"/>
      <c r="AR24" s="573" t="s">
        <v>3553</v>
      </c>
      <c r="AS24" s="573" t="s">
        <v>3551</v>
      </c>
      <c r="AT24" s="573">
        <v>8.9640000000000004</v>
      </c>
      <c r="AU24" s="573">
        <v>8.9939999999999998</v>
      </c>
      <c r="AV24" s="573">
        <v>9</v>
      </c>
      <c r="AW24" s="573">
        <v>9.0050000000000008</v>
      </c>
      <c r="AX24" s="568"/>
      <c r="AY24" s="567"/>
      <c r="AZ24" s="567"/>
      <c r="BA24" s="567"/>
      <c r="BB24" s="99" t="s">
        <v>136</v>
      </c>
      <c r="BC24" s="99" t="s">
        <v>3545</v>
      </c>
      <c r="BE24" s="99" t="s">
        <v>125</v>
      </c>
      <c r="BH24" s="99" t="s">
        <v>3514</v>
      </c>
      <c r="BI24" s="99" t="s">
        <v>3515</v>
      </c>
    </row>
    <row r="25" spans="1:61" s="99" customFormat="1" ht="21.75" customHeight="1" x14ac:dyDescent="0.35">
      <c r="A25" s="99">
        <v>43212</v>
      </c>
      <c r="B25" s="126" t="str">
        <f>IF(M25="MULTI","FGM","FGC")&amp;"-"&amp;G25&amp;"/"&amp;H25&amp;"-"&amp;TEXT(J25,"0.00")&amp;"X"&amp;IF(M25="MULTI",#REF!,M25)</f>
        <v>FGC-304/2B-001X75</v>
      </c>
      <c r="C25" s="294" t="s">
        <v>3538</v>
      </c>
      <c r="D25" s="126" t="s">
        <v>3026</v>
      </c>
      <c r="E25" s="126" t="s">
        <v>3554</v>
      </c>
      <c r="F25" s="143" t="s">
        <v>3555</v>
      </c>
      <c r="G25" s="126">
        <v>304</v>
      </c>
      <c r="H25" s="126" t="s">
        <v>116</v>
      </c>
      <c r="I25" s="127">
        <v>2.8</v>
      </c>
      <c r="J25" s="127">
        <v>1.35</v>
      </c>
      <c r="K25" s="127">
        <v>1.31</v>
      </c>
      <c r="L25" s="126">
        <v>1.35</v>
      </c>
      <c r="M25" s="295">
        <v>75</v>
      </c>
      <c r="N25" s="129">
        <f>0.49</f>
        <v>0.49</v>
      </c>
      <c r="O25" s="296">
        <v>0.33500000000000002</v>
      </c>
      <c r="P25" s="297"/>
      <c r="Q25" s="129"/>
      <c r="R25" s="129"/>
      <c r="S25" s="298">
        <f t="shared" si="1"/>
        <v>0</v>
      </c>
      <c r="T25" s="129">
        <v>0.155</v>
      </c>
      <c r="U25" s="298">
        <f t="shared" si="2"/>
        <v>0.31632653061224492</v>
      </c>
      <c r="V25" s="298"/>
      <c r="W25" s="295">
        <v>56.8</v>
      </c>
      <c r="X25" s="299" t="s">
        <v>208</v>
      </c>
      <c r="Y25" s="284" t="s">
        <v>3510</v>
      </c>
      <c r="Z25" s="282" t="s">
        <v>446</v>
      </c>
      <c r="AA25" s="282" t="s">
        <v>3541</v>
      </c>
      <c r="AB25" s="300"/>
      <c r="AC25" s="132">
        <v>43168</v>
      </c>
      <c r="AD25" s="132">
        <v>43168</v>
      </c>
      <c r="AE25" s="132">
        <v>43170</v>
      </c>
      <c r="AF25" s="132"/>
      <c r="AG25" s="132"/>
      <c r="AH25" s="133"/>
      <c r="AI25" s="126" t="s">
        <v>64</v>
      </c>
      <c r="AJ25" s="126" t="s">
        <v>3542</v>
      </c>
      <c r="AK25" s="134" t="s">
        <v>3543</v>
      </c>
      <c r="AL25" s="134">
        <v>43113</v>
      </c>
      <c r="AM25" s="134">
        <v>43146</v>
      </c>
      <c r="AN25" s="134"/>
      <c r="AO25" s="134">
        <f t="shared" ca="1" si="3"/>
        <v>44963</v>
      </c>
      <c r="AP25" s="126">
        <f t="shared" ca="1" si="4"/>
        <v>1817</v>
      </c>
      <c r="AQ25" s="134"/>
      <c r="AR25" s="129" t="s">
        <v>3556</v>
      </c>
      <c r="AS25" s="129" t="s">
        <v>3554</v>
      </c>
      <c r="AT25" s="129">
        <v>9.0519999999999996</v>
      </c>
      <c r="AU25" s="129">
        <v>9.081999999999999</v>
      </c>
      <c r="AV25" s="129">
        <v>9.0849999999999991</v>
      </c>
      <c r="AW25" s="129">
        <v>9.09</v>
      </c>
      <c r="AX25" s="126"/>
      <c r="BB25" s="99" t="s">
        <v>136</v>
      </c>
      <c r="BC25" s="99" t="s">
        <v>3545</v>
      </c>
      <c r="BE25" s="99" t="s">
        <v>125</v>
      </c>
      <c r="BH25" s="99" t="s">
        <v>3514</v>
      </c>
      <c r="BI25" s="99" t="s">
        <v>3515</v>
      </c>
    </row>
    <row r="26" spans="1:61" s="99" customFormat="1" ht="21.75" customHeight="1" x14ac:dyDescent="0.35">
      <c r="A26" s="567">
        <v>43212</v>
      </c>
      <c r="B26" s="568" t="str">
        <f>IF(M26="MULTI","FGM","FGC")&amp;"-"&amp;G26&amp;"/"&amp;H26&amp;"-"&amp;TEXT(J26,"0.00")&amp;"X"&amp;IF(M26="MULTI",#REF!,M26)</f>
        <v>FGC-304/2B-001X75</v>
      </c>
      <c r="C26" s="569" t="s">
        <v>3538</v>
      </c>
      <c r="D26" s="568" t="s">
        <v>3026</v>
      </c>
      <c r="E26" s="568" t="s">
        <v>3551</v>
      </c>
      <c r="F26" s="570" t="s">
        <v>3557</v>
      </c>
      <c r="G26" s="568">
        <v>304</v>
      </c>
      <c r="H26" s="568" t="s">
        <v>116</v>
      </c>
      <c r="I26" s="571">
        <v>2.8</v>
      </c>
      <c r="J26" s="571">
        <v>1.35</v>
      </c>
      <c r="K26" s="571">
        <v>1.35</v>
      </c>
      <c r="L26" s="568">
        <v>1.36</v>
      </c>
      <c r="M26" s="572">
        <v>75</v>
      </c>
      <c r="N26" s="573">
        <f>0.475</f>
        <v>0.47499999999999998</v>
      </c>
      <c r="O26" s="574">
        <v>0.33</v>
      </c>
      <c r="P26" s="574"/>
      <c r="Q26" s="573"/>
      <c r="R26" s="573"/>
      <c r="S26" s="575">
        <f t="shared" si="1"/>
        <v>0</v>
      </c>
      <c r="T26" s="573">
        <v>0.14499999999999999</v>
      </c>
      <c r="U26" s="575">
        <f t="shared" si="2"/>
        <v>0.30526315789473685</v>
      </c>
      <c r="V26" s="575"/>
      <c r="W26" s="572">
        <v>56.8</v>
      </c>
      <c r="X26" s="576" t="s">
        <v>208</v>
      </c>
      <c r="Y26" s="577" t="s">
        <v>3510</v>
      </c>
      <c r="Z26" s="578" t="s">
        <v>446</v>
      </c>
      <c r="AA26" s="578" t="s">
        <v>3541</v>
      </c>
      <c r="AB26" s="579"/>
      <c r="AC26" s="580">
        <v>43168</v>
      </c>
      <c r="AD26" s="580">
        <v>43168</v>
      </c>
      <c r="AE26" s="580">
        <v>43188</v>
      </c>
      <c r="AF26" s="580"/>
      <c r="AG26" s="580"/>
      <c r="AH26" s="581"/>
      <c r="AI26" s="568" t="s">
        <v>64</v>
      </c>
      <c r="AJ26" s="568" t="s">
        <v>3542</v>
      </c>
      <c r="AK26" s="582" t="s">
        <v>3543</v>
      </c>
      <c r="AL26" s="582">
        <v>43113</v>
      </c>
      <c r="AM26" s="582">
        <v>43146</v>
      </c>
      <c r="AN26" s="582"/>
      <c r="AO26" s="582">
        <f t="shared" ca="1" si="3"/>
        <v>44963</v>
      </c>
      <c r="AP26" s="568">
        <f t="shared" ca="1" si="4"/>
        <v>1817</v>
      </c>
      <c r="AQ26" s="582"/>
      <c r="AR26" s="573" t="s">
        <v>3553</v>
      </c>
      <c r="AS26" s="573" t="s">
        <v>3551</v>
      </c>
      <c r="AT26" s="573">
        <v>8.9640000000000004</v>
      </c>
      <c r="AU26" s="573">
        <v>8.9939999999999998</v>
      </c>
      <c r="AV26" s="573">
        <v>9</v>
      </c>
      <c r="AW26" s="573">
        <v>9.0050000000000008</v>
      </c>
      <c r="AX26" s="568"/>
      <c r="AY26" s="567"/>
      <c r="AZ26" s="567"/>
      <c r="BA26" s="567"/>
      <c r="BB26" s="99" t="s">
        <v>136</v>
      </c>
      <c r="BC26" s="99" t="s">
        <v>3545</v>
      </c>
      <c r="BE26" s="99" t="s">
        <v>125</v>
      </c>
      <c r="BH26" s="99" t="s">
        <v>3514</v>
      </c>
      <c r="BI26" s="99" t="s">
        <v>3515</v>
      </c>
    </row>
    <row r="27" spans="1:61" s="99" customFormat="1" ht="21.75" customHeight="1" x14ac:dyDescent="0.35">
      <c r="A27" s="99" t="e">
        <f>IF(#REF!="",(IF(ISNUMBER(SUBSTITUTE(LEFT(RIGHT(C27,LEN(C27)-MIN(SEARCH({1,2,3,4,5,6,7,8,9,0},C27&amp;"1234567890"))+1),10),".","/"))=TRUE,AO27-(SUBSTITUTE(LEFT(RIGHT(C27,LEN(C27)-MIN(SEARCH({1,2,3,4,5,6,7,8,9,0},C27&amp;"1234567890"))+1),10),".","/")),IF((SUBSTITUTE(LEFT(RIGHT(C27,LEN(C27)-MIN(SEARCH({1,2,3,4,5,6,7,8,9,0},C27&amp;"1234567890"))+1),10),".","/"))="","",(AO27)-(MID(RIGHT((SUBSTITUTE(LEFT(RIGHT(C27,LEN(C27)-MIN(SEARCH({1,2,3,4,5,6,7,8,9,0},C27&amp;"1234567890"))+1),10),".","/")),10),4,2)&amp;"/"&amp;LEFT((RIGHT((SUBSTITUTE(LEFT(RIGHT(C27,LEN(C27)-MIN(SEARCH({1,2,3,4,5,6,7,8,9,0},C27&amp;"1234567890"))+1),10),".","/")),10)),2)&amp;"/"&amp;RIGHT((SUBSTITUTE(LEFT(RIGHT(C27,LEN(C27)-MIN(SEARCH({1,2,3,4,5,6,7,8,9,0},C27&amp;"1234567890"))+1),10),".","/")),4))))),(AO27-#REF!))</f>
        <v>#REF!</v>
      </c>
      <c r="B27" s="126" t="str">
        <f>IF(M27="MULTI","FGM","FGC")&amp;"-"&amp;G27&amp;"/"&amp;H27&amp;"-"&amp;TEXT(J27,"0.00")&amp;"X"&amp;IF(M27="MULTI",#REF!,M27)</f>
        <v>FGC-304/2B-002X75,8</v>
      </c>
      <c r="C27" s="294" t="s">
        <v>3558</v>
      </c>
      <c r="D27" s="126" t="s">
        <v>3026</v>
      </c>
      <c r="E27" s="126" t="s">
        <v>3559</v>
      </c>
      <c r="F27" s="143" t="s">
        <v>3560</v>
      </c>
      <c r="G27" s="126">
        <v>304</v>
      </c>
      <c r="H27" s="126" t="s">
        <v>116</v>
      </c>
      <c r="I27" s="127">
        <v>3.77</v>
      </c>
      <c r="J27" s="127">
        <v>1.5</v>
      </c>
      <c r="K27" s="127">
        <v>1.51</v>
      </c>
      <c r="L27" s="126">
        <v>1.54</v>
      </c>
      <c r="M27" s="295">
        <v>75.8</v>
      </c>
      <c r="N27" s="129">
        <f>7.035-6.31</f>
        <v>0.72500000000000053</v>
      </c>
      <c r="O27" s="296">
        <v>0.53500000000000003</v>
      </c>
      <c r="P27" s="297"/>
      <c r="Q27" s="129"/>
      <c r="R27" s="129"/>
      <c r="S27" s="298">
        <f t="shared" si="1"/>
        <v>0</v>
      </c>
      <c r="T27" s="129"/>
      <c r="U27" s="298">
        <f t="shared" si="2"/>
        <v>0</v>
      </c>
      <c r="V27" s="298"/>
      <c r="W27" s="295">
        <v>56.8</v>
      </c>
      <c r="X27" s="299" t="s">
        <v>116</v>
      </c>
      <c r="Y27" s="284" t="s">
        <v>3510</v>
      </c>
      <c r="Z27" s="282" t="s">
        <v>446</v>
      </c>
      <c r="AA27" s="282"/>
      <c r="AB27" s="300"/>
      <c r="AC27" s="132">
        <v>43991</v>
      </c>
      <c r="AD27" s="132">
        <v>43991</v>
      </c>
      <c r="AE27" s="132">
        <v>44005</v>
      </c>
      <c r="AF27" s="132"/>
      <c r="AG27" s="132"/>
      <c r="AH27" s="133"/>
      <c r="AI27" s="126" t="s">
        <v>64</v>
      </c>
      <c r="AJ27" s="126" t="s">
        <v>203</v>
      </c>
      <c r="AK27" s="134" t="s">
        <v>225</v>
      </c>
      <c r="AL27" s="134"/>
      <c r="AM27" s="134">
        <v>43868</v>
      </c>
      <c r="AN27" s="134"/>
      <c r="AO27" s="134">
        <f t="shared" ca="1" si="3"/>
        <v>44963</v>
      </c>
      <c r="AP27" s="126">
        <f t="shared" ca="1" si="4"/>
        <v>1095</v>
      </c>
      <c r="AQ27" s="134">
        <f ca="1">IF(ISNUMBER(AE27)=TRUE,AO27-AE27,IF(AE27="","",(AO27)-(MID(RIGHT(AE27,10),4,2)&amp;"/"&amp;LEFT((RIGHT(AE27,10)),2)&amp;"/"&amp;RIGHT(AE27,4))))</f>
        <v>958</v>
      </c>
      <c r="AR27" s="129"/>
      <c r="AS27" s="129" t="s">
        <v>3561</v>
      </c>
      <c r="AT27" s="129">
        <v>7.48</v>
      </c>
      <c r="AU27" s="129">
        <v>7.49</v>
      </c>
      <c r="AV27" s="129">
        <v>7.51</v>
      </c>
      <c r="AW27" s="129">
        <v>7.5149999999999997</v>
      </c>
      <c r="AX27" s="126">
        <f ca="1">IF(ISNUMBER(AD27)=TRUE,AO27-AD27,IF(AD27="","",(AO27)-(MID(RIGHT(AD27,10),4,2)&amp;"/"&amp;LEFT((RIGHT(AD27,10)),2)&amp;"/"&amp;RIGHT(AD27,4))))</f>
        <v>972</v>
      </c>
      <c r="BA27" s="99" t="s">
        <v>136</v>
      </c>
      <c r="BE27" s="99" t="s">
        <v>227</v>
      </c>
      <c r="BH27" s="99" t="s">
        <v>3514</v>
      </c>
      <c r="BI27" s="99" t="s">
        <v>3515</v>
      </c>
    </row>
    <row r="28" spans="1:61" s="99" customFormat="1" ht="21.75" customHeight="1" x14ac:dyDescent="0.35">
      <c r="A28" s="99" t="e">
        <f>IF(#REF!="",(IF(ISNUMBER(SUBSTITUTE(LEFT(RIGHT(C28,LEN(C28)-MIN(SEARCH({1,2,3,4,5,6,7,8,9,0},C28&amp;"1234567890"))+1),10),".","/"))=TRUE,AO28-(SUBSTITUTE(LEFT(RIGHT(C28,LEN(C28)-MIN(SEARCH({1,2,3,4,5,6,7,8,9,0},C28&amp;"1234567890"))+1),10),".","/")),IF((SUBSTITUTE(LEFT(RIGHT(C28,LEN(C28)-MIN(SEARCH({1,2,3,4,5,6,7,8,9,0},C28&amp;"1234567890"))+1),10),".","/"))="","",(AO28)-(MID(RIGHT((SUBSTITUTE(LEFT(RIGHT(C28,LEN(C28)-MIN(SEARCH({1,2,3,4,5,6,7,8,9,0},C28&amp;"1234567890"))+1),10),".","/")),10),4,2)&amp;"/"&amp;LEFT((RIGHT((SUBSTITUTE(LEFT(RIGHT(C28,LEN(C28)-MIN(SEARCH({1,2,3,4,5,6,7,8,9,0},C28&amp;"1234567890"))+1),10),".","/")),10)),2)&amp;"/"&amp;RIGHT((SUBSTITUTE(LEFT(RIGHT(C28,LEN(C28)-MIN(SEARCH({1,2,3,4,5,6,7,8,9,0},C28&amp;"1234567890"))+1),10),".","/")),4))))),(AO28-#REF!))</f>
        <v>#REF!</v>
      </c>
      <c r="B28" s="126" t="str">
        <f>IF(M28="MULTI","FGM","FGC")&amp;"-"&amp;G28&amp;"/"&amp;H28&amp;"-"&amp;TEXT(J28,"0.00")&amp;"X"&amp;IF(M28="MULTI",#REF!,M28)</f>
        <v>FGC-304/2B-002X75,8</v>
      </c>
      <c r="C28" s="294" t="s">
        <v>3558</v>
      </c>
      <c r="D28" s="126" t="s">
        <v>3026</v>
      </c>
      <c r="E28" s="126" t="s">
        <v>3562</v>
      </c>
      <c r="F28" s="143" t="s">
        <v>3563</v>
      </c>
      <c r="G28" s="126">
        <v>304</v>
      </c>
      <c r="H28" s="126" t="s">
        <v>116</v>
      </c>
      <c r="I28" s="127">
        <v>3.79</v>
      </c>
      <c r="J28" s="127">
        <v>1.5</v>
      </c>
      <c r="K28" s="127">
        <v>1.53</v>
      </c>
      <c r="L28" s="126">
        <v>1.54</v>
      </c>
      <c r="M28" s="295">
        <v>75.8</v>
      </c>
      <c r="N28" s="129">
        <f>7.115-6.38</f>
        <v>0.73500000000000032</v>
      </c>
      <c r="O28" s="296">
        <v>0.54500000000000004</v>
      </c>
      <c r="P28" s="297"/>
      <c r="Q28" s="129"/>
      <c r="R28" s="129"/>
      <c r="S28" s="298">
        <f t="shared" si="1"/>
        <v>0</v>
      </c>
      <c r="T28" s="129"/>
      <c r="U28" s="298">
        <f t="shared" si="2"/>
        <v>0</v>
      </c>
      <c r="V28" s="298"/>
      <c r="W28" s="295">
        <v>56.8</v>
      </c>
      <c r="X28" s="299" t="s">
        <v>116</v>
      </c>
      <c r="Y28" s="284" t="s">
        <v>3510</v>
      </c>
      <c r="Z28" s="282" t="s">
        <v>446</v>
      </c>
      <c r="AA28" s="282"/>
      <c r="AB28" s="300"/>
      <c r="AC28" s="132">
        <v>43992</v>
      </c>
      <c r="AD28" s="132">
        <v>43994</v>
      </c>
      <c r="AE28" s="132">
        <v>44005</v>
      </c>
      <c r="AF28" s="132"/>
      <c r="AG28" s="132"/>
      <c r="AH28" s="133"/>
      <c r="AI28" s="126" t="s">
        <v>64</v>
      </c>
      <c r="AJ28" s="126" t="s">
        <v>203</v>
      </c>
      <c r="AK28" s="134" t="s">
        <v>225</v>
      </c>
      <c r="AL28" s="134"/>
      <c r="AM28" s="134">
        <v>43868</v>
      </c>
      <c r="AN28" s="134"/>
      <c r="AO28" s="134">
        <f t="shared" ca="1" si="3"/>
        <v>44963</v>
      </c>
      <c r="AP28" s="126">
        <f t="shared" ca="1" si="4"/>
        <v>1095</v>
      </c>
      <c r="AQ28" s="134">
        <f ca="1">IF(ISNUMBER(AE28)=TRUE,AO28-AE28,IF(AE28="","",(AO28)-(MID(RIGHT(AE28,10),4,2)&amp;"/"&amp;LEFT((RIGHT(AE28,10)),2)&amp;"/"&amp;RIGHT(AE28,4))))</f>
        <v>958</v>
      </c>
      <c r="AR28" s="129"/>
      <c r="AS28" s="129" t="s">
        <v>3564</v>
      </c>
      <c r="AT28" s="129">
        <v>7.5149999999999997</v>
      </c>
      <c r="AU28" s="129">
        <v>7.5250000000000004</v>
      </c>
      <c r="AV28" s="129">
        <v>7.54</v>
      </c>
      <c r="AW28" s="129">
        <v>7.5449999999999999</v>
      </c>
      <c r="AX28" s="126">
        <f ca="1">IF(ISNUMBER(AD28)=TRUE,AO28-AD28,IF(AD28="","",(AO28)-(MID(RIGHT(AD28,10),4,2)&amp;"/"&amp;LEFT((RIGHT(AD28,10)),2)&amp;"/"&amp;RIGHT(AD28,4))))</f>
        <v>969</v>
      </c>
      <c r="BA28" s="99" t="s">
        <v>136</v>
      </c>
      <c r="BE28" s="99" t="s">
        <v>227</v>
      </c>
      <c r="BH28" s="99" t="s">
        <v>3514</v>
      </c>
      <c r="BI28" s="99" t="s">
        <v>3515</v>
      </c>
    </row>
    <row r="29" spans="1:61" s="99" customFormat="1" ht="21.75" customHeight="1" x14ac:dyDescent="0.35">
      <c r="A29" s="99" t="e">
        <f>IF(#REF!="",(IF(ISNUMBER(SUBSTITUTE(LEFT(RIGHT(C29,LEN(C29)-MIN(SEARCH({1,2,3,4,5,6,7,8,9,0},C29&amp;"1234567890"))+1),10),".","/"))=TRUE,AO29-(SUBSTITUTE(LEFT(RIGHT(C29,LEN(C29)-MIN(SEARCH({1,2,3,4,5,6,7,8,9,0},C29&amp;"1234567890"))+1),10),".","/")),IF((SUBSTITUTE(LEFT(RIGHT(C29,LEN(C29)-MIN(SEARCH({1,2,3,4,5,6,7,8,9,0},C29&amp;"1234567890"))+1),10),".","/"))="","",(AO29)-(MID(RIGHT((SUBSTITUTE(LEFT(RIGHT(C29,LEN(C29)-MIN(SEARCH({1,2,3,4,5,6,7,8,9,0},C29&amp;"1234567890"))+1),10),".","/")),10),4,2)&amp;"/"&amp;LEFT((RIGHT((SUBSTITUTE(LEFT(RIGHT(C29,LEN(C29)-MIN(SEARCH({1,2,3,4,5,6,7,8,9,0},C29&amp;"1234567890"))+1),10),".","/")),10)),2)&amp;"/"&amp;RIGHT((SUBSTITUTE(LEFT(RIGHT(C29,LEN(C29)-MIN(SEARCH({1,2,3,4,5,6,7,8,9,0},C29&amp;"1234567890"))+1),10),".","/")),4))))),(AO29-#REF!))</f>
        <v>#REF!</v>
      </c>
      <c r="B29" s="126" t="str">
        <f>IF(M29="MULTI","FGM","FGC")&amp;"-"&amp;G29&amp;"/"&amp;H29&amp;"-"&amp;TEXT(J29,"0.00")&amp;"X"&amp;IF(M29="MULTI",#REF!,M29)</f>
        <v>FGC-304L/2B-002X75,8</v>
      </c>
      <c r="C29" s="294" t="s">
        <v>3558</v>
      </c>
      <c r="D29" s="126" t="s">
        <v>3026</v>
      </c>
      <c r="E29" s="126" t="s">
        <v>3565</v>
      </c>
      <c r="F29" s="143" t="s">
        <v>3566</v>
      </c>
      <c r="G29" s="126" t="s">
        <v>230</v>
      </c>
      <c r="H29" s="126" t="s">
        <v>116</v>
      </c>
      <c r="I29" s="127">
        <v>3.44</v>
      </c>
      <c r="J29" s="127">
        <v>1.5</v>
      </c>
      <c r="K29" s="127">
        <v>1.47</v>
      </c>
      <c r="L29" s="126">
        <v>1.48</v>
      </c>
      <c r="M29" s="295">
        <v>75.8</v>
      </c>
      <c r="N29" s="129">
        <f>5.825-5.225</f>
        <v>0.60000000000000053</v>
      </c>
      <c r="O29" s="296">
        <v>0.44500000000000001</v>
      </c>
      <c r="P29" s="297"/>
      <c r="Q29" s="129"/>
      <c r="R29" s="129"/>
      <c r="S29" s="298">
        <f t="shared" si="1"/>
        <v>0</v>
      </c>
      <c r="T29" s="129"/>
      <c r="U29" s="298">
        <f t="shared" si="2"/>
        <v>0</v>
      </c>
      <c r="V29" s="298"/>
      <c r="W29" s="295">
        <v>56.8</v>
      </c>
      <c r="X29" s="299" t="s">
        <v>116</v>
      </c>
      <c r="Y29" s="284" t="s">
        <v>3510</v>
      </c>
      <c r="Z29" s="282" t="s">
        <v>446</v>
      </c>
      <c r="AA29" s="282"/>
      <c r="AB29" s="300"/>
      <c r="AC29" s="132">
        <v>44007</v>
      </c>
      <c r="AD29" s="132">
        <v>44007</v>
      </c>
      <c r="AE29" s="132">
        <v>44010</v>
      </c>
      <c r="AF29" s="132"/>
      <c r="AG29" s="132"/>
      <c r="AH29" s="133"/>
      <c r="AI29" s="126" t="s">
        <v>64</v>
      </c>
      <c r="AJ29" s="126" t="s">
        <v>203</v>
      </c>
      <c r="AK29" s="134" t="s">
        <v>3567</v>
      </c>
      <c r="AL29" s="134"/>
      <c r="AM29" s="134">
        <v>44000</v>
      </c>
      <c r="AN29" s="134"/>
      <c r="AO29" s="134">
        <f t="shared" ca="1" si="3"/>
        <v>44963</v>
      </c>
      <c r="AP29" s="126">
        <f t="shared" ca="1" si="4"/>
        <v>963</v>
      </c>
      <c r="AQ29" s="134">
        <f ca="1">IF(ISNUMBER(AE29)=TRUE,AO29-AE29,IF(AE29="","",(AO29)-(MID(RIGHT(AE29,10),4,2)&amp;"/"&amp;LEFT((RIGHT(AE29,10)),2)&amp;"/"&amp;RIGHT(AE29,4))))</f>
        <v>953</v>
      </c>
      <c r="AR29" s="129"/>
      <c r="AS29" s="129" t="s">
        <v>3568</v>
      </c>
      <c r="AT29" s="129">
        <v>11.975</v>
      </c>
      <c r="AU29" s="129">
        <v>11.984999999999999</v>
      </c>
      <c r="AV29" s="129">
        <v>11.999999999999998</v>
      </c>
      <c r="AW29" s="129">
        <v>12.004999999999999</v>
      </c>
      <c r="AX29" s="126">
        <f ca="1">IF(ISNUMBER(AD29)=TRUE,AO29-AD29,IF(AD29="","",(AO29)-(MID(RIGHT(AD29,10),4,2)&amp;"/"&amp;LEFT((RIGHT(AD29,10)),2)&amp;"/"&amp;RIGHT(AD29,4))))</f>
        <v>956</v>
      </c>
      <c r="BA29" s="99" t="s">
        <v>136</v>
      </c>
      <c r="BH29" s="99" t="s">
        <v>3514</v>
      </c>
      <c r="BI29" s="99" t="s">
        <v>3515</v>
      </c>
    </row>
    <row r="30" spans="1:61" s="99" customFormat="1" ht="21.75" customHeight="1" x14ac:dyDescent="0.35">
      <c r="A30" s="99" t="e">
        <f>IF(#REF!="",(IF(ISNUMBER(SUBSTITUTE(LEFT(RIGHT(C30,LEN(C30)-MIN(SEARCH({1,2,3,4,5,6,7,8,9,0},C30&amp;"1234567890"))+1),10),".","/"))=TRUE,AO30-(SUBSTITUTE(LEFT(RIGHT(C30,LEN(C30)-MIN(SEARCH({1,2,3,4,5,6,7,8,9,0},C30&amp;"1234567890"))+1),10),".","/")),IF((SUBSTITUTE(LEFT(RIGHT(C30,LEN(C30)-MIN(SEARCH({1,2,3,4,5,6,7,8,9,0},C30&amp;"1234567890"))+1),10),".","/"))="","",(AO30)-(MID(RIGHT((SUBSTITUTE(LEFT(RIGHT(C30,LEN(C30)-MIN(SEARCH({1,2,3,4,5,6,7,8,9,0},C30&amp;"1234567890"))+1),10),".","/")),10),4,2)&amp;"/"&amp;LEFT((RIGHT((SUBSTITUTE(LEFT(RIGHT(C30,LEN(C30)-MIN(SEARCH({1,2,3,4,5,6,7,8,9,0},C30&amp;"1234567890"))+1),10),".","/")),10)),2)&amp;"/"&amp;RIGHT((SUBSTITUTE(LEFT(RIGHT(C30,LEN(C30)-MIN(SEARCH({1,2,3,4,5,6,7,8,9,0},C30&amp;"1234567890"))+1),10),".","/")),4))))),(AO30-#REF!))</f>
        <v>#REF!</v>
      </c>
      <c r="B30" s="126" t="str">
        <f>IF(M30="MULTI","FGM","FGC")&amp;"-"&amp;G30&amp;"/"&amp;H30&amp;"-"&amp;TEXT(J30,"0.00")&amp;"X"&amp;IF(M30="MULTI",#REF!,M30)</f>
        <v>FGC-304/2B-001X83</v>
      </c>
      <c r="C30" s="294" t="s">
        <v>3558</v>
      </c>
      <c r="D30" s="126" t="s">
        <v>3026</v>
      </c>
      <c r="E30" s="126" t="s">
        <v>3569</v>
      </c>
      <c r="F30" s="143" t="s">
        <v>3570</v>
      </c>
      <c r="G30" s="126">
        <v>304</v>
      </c>
      <c r="H30" s="126" t="s">
        <v>116</v>
      </c>
      <c r="I30" s="127">
        <v>2.8</v>
      </c>
      <c r="J30" s="127">
        <v>1.35</v>
      </c>
      <c r="K30" s="127">
        <v>1.36</v>
      </c>
      <c r="L30" s="126">
        <v>1.37</v>
      </c>
      <c r="M30" s="295">
        <v>83</v>
      </c>
      <c r="N30" s="129">
        <f>0.49</f>
        <v>0.49</v>
      </c>
      <c r="O30" s="296">
        <v>0.45</v>
      </c>
      <c r="P30" s="297"/>
      <c r="Q30" s="129"/>
      <c r="R30" s="129"/>
      <c r="S30" s="298">
        <f t="shared" si="1"/>
        <v>0</v>
      </c>
      <c r="T30" s="129">
        <v>0.04</v>
      </c>
      <c r="U30" s="298">
        <f t="shared" si="2"/>
        <v>8.1632653061224497E-2</v>
      </c>
      <c r="V30" s="298"/>
      <c r="W30" s="295">
        <v>76.5</v>
      </c>
      <c r="X30" s="299" t="s">
        <v>208</v>
      </c>
      <c r="Y30" s="284" t="s">
        <v>3510</v>
      </c>
      <c r="Z30" s="282" t="s">
        <v>446</v>
      </c>
      <c r="AA30" s="282" t="s">
        <v>3541</v>
      </c>
      <c r="AB30" s="300"/>
      <c r="AC30" s="132">
        <v>43166</v>
      </c>
      <c r="AD30" s="132">
        <v>43166</v>
      </c>
      <c r="AE30" s="132">
        <v>43188</v>
      </c>
      <c r="AF30" s="132"/>
      <c r="AG30" s="132"/>
      <c r="AH30" s="133"/>
      <c r="AI30" s="126" t="s">
        <v>64</v>
      </c>
      <c r="AJ30" s="126" t="s">
        <v>3542</v>
      </c>
      <c r="AK30" s="134" t="s">
        <v>3543</v>
      </c>
      <c r="AL30" s="134">
        <v>43113</v>
      </c>
      <c r="AM30" s="134">
        <v>43146</v>
      </c>
      <c r="AN30" s="134"/>
      <c r="AO30" s="134">
        <f t="shared" ca="1" si="3"/>
        <v>44963</v>
      </c>
      <c r="AP30" s="126">
        <f t="shared" ca="1" si="4"/>
        <v>1817</v>
      </c>
      <c r="AQ30" s="134"/>
      <c r="AR30" s="129" t="s">
        <v>3571</v>
      </c>
      <c r="AS30" s="129" t="s">
        <v>3569</v>
      </c>
      <c r="AT30" s="129">
        <v>9.0280000000000005</v>
      </c>
      <c r="AU30" s="129">
        <v>9.0579999999999998</v>
      </c>
      <c r="AV30" s="129">
        <v>9.0549999999999997</v>
      </c>
      <c r="AW30" s="129">
        <v>9.06</v>
      </c>
      <c r="AX30" s="126"/>
      <c r="BB30" s="99" t="s">
        <v>136</v>
      </c>
      <c r="BE30" s="99">
        <v>0</v>
      </c>
      <c r="BH30" s="99" t="s">
        <v>3514</v>
      </c>
      <c r="BI30" s="99" t="s">
        <v>3572</v>
      </c>
    </row>
    <row r="31" spans="1:61" s="99" customFormat="1" ht="21.75" customHeight="1" x14ac:dyDescent="0.35">
      <c r="A31" s="99" t="e">
        <f>IF(#REF!="",(IF(ISNUMBER(SUBSTITUTE(LEFT(RIGHT(C31,LEN(C31)-MIN(SEARCH({1,2,3,4,5,6,7,8,9,0},C31&amp;"1234567890"))+1),10),".","/"))=TRUE,AO31-(SUBSTITUTE(LEFT(RIGHT(C31,LEN(C31)-MIN(SEARCH({1,2,3,4,5,6,7,8,9,0},C31&amp;"1234567890"))+1),10),".","/")),IF((SUBSTITUTE(LEFT(RIGHT(C31,LEN(C31)-MIN(SEARCH({1,2,3,4,5,6,7,8,9,0},C31&amp;"1234567890"))+1),10),".","/"))="","",(AO31)-(MID(RIGHT((SUBSTITUTE(LEFT(RIGHT(C31,LEN(C31)-MIN(SEARCH({1,2,3,4,5,6,7,8,9,0},C31&amp;"1234567890"))+1),10),".","/")),10),4,2)&amp;"/"&amp;LEFT((RIGHT((SUBSTITUTE(LEFT(RIGHT(C31,LEN(C31)-MIN(SEARCH({1,2,3,4,5,6,7,8,9,0},C31&amp;"1234567890"))+1),10),".","/")),10)),2)&amp;"/"&amp;RIGHT((SUBSTITUTE(LEFT(RIGHT(C31,LEN(C31)-MIN(SEARCH({1,2,3,4,5,6,7,8,9,0},C31&amp;"1234567890"))+1),10),".","/")),4))))),(AO31-#REF!))</f>
        <v>#REF!</v>
      </c>
      <c r="B31" s="126" t="str">
        <f>IF(M31="MULTI","FGM","FGC")&amp;"-"&amp;G31&amp;"/"&amp;H31&amp;"-"&amp;TEXT(J31,"0.00")&amp;"X"&amp;IF(M31="MULTI",#REF!,M31)</f>
        <v>FGC-304/2B-001X75</v>
      </c>
      <c r="C31" s="294" t="s">
        <v>3558</v>
      </c>
      <c r="D31" s="126" t="s">
        <v>3026</v>
      </c>
      <c r="E31" s="126" t="s">
        <v>3573</v>
      </c>
      <c r="F31" s="143" t="s">
        <v>3574</v>
      </c>
      <c r="G31" s="126">
        <v>304</v>
      </c>
      <c r="H31" s="126" t="s">
        <v>116</v>
      </c>
      <c r="I31" s="127">
        <v>2.8</v>
      </c>
      <c r="J31" s="127">
        <v>1.35</v>
      </c>
      <c r="K31" s="127">
        <v>1.33</v>
      </c>
      <c r="L31" s="126">
        <v>1.36</v>
      </c>
      <c r="M31" s="295">
        <v>75</v>
      </c>
      <c r="N31" s="129">
        <v>0.50800000000000001</v>
      </c>
      <c r="O31" s="296">
        <v>0.35</v>
      </c>
      <c r="P31" s="297"/>
      <c r="Q31" s="129"/>
      <c r="R31" s="129"/>
      <c r="S31" s="298">
        <f t="shared" si="1"/>
        <v>0</v>
      </c>
      <c r="T31" s="129">
        <v>0.15</v>
      </c>
      <c r="U31" s="298">
        <f t="shared" si="2"/>
        <v>0.29527559055118108</v>
      </c>
      <c r="V31" s="298"/>
      <c r="W31" s="295">
        <v>56.8</v>
      </c>
      <c r="X31" s="299" t="s">
        <v>208</v>
      </c>
      <c r="Y31" s="284" t="s">
        <v>3510</v>
      </c>
      <c r="Z31" s="282" t="s">
        <v>446</v>
      </c>
      <c r="AA31" s="282" t="s">
        <v>3541</v>
      </c>
      <c r="AB31" s="300"/>
      <c r="AC31" s="132">
        <v>43166</v>
      </c>
      <c r="AD31" s="132">
        <v>43166</v>
      </c>
      <c r="AE31" s="132">
        <v>43170</v>
      </c>
      <c r="AF31" s="132"/>
      <c r="AG31" s="132"/>
      <c r="AH31" s="133"/>
      <c r="AI31" s="126" t="s">
        <v>64</v>
      </c>
      <c r="AJ31" s="126" t="s">
        <v>3542</v>
      </c>
      <c r="AK31" s="134" t="s">
        <v>3549</v>
      </c>
      <c r="AL31" s="134">
        <v>43120</v>
      </c>
      <c r="AM31" s="134">
        <v>43145</v>
      </c>
      <c r="AN31" s="134"/>
      <c r="AO31" s="134">
        <f t="shared" ca="1" si="3"/>
        <v>44963</v>
      </c>
      <c r="AP31" s="126">
        <f t="shared" ca="1" si="4"/>
        <v>1818</v>
      </c>
      <c r="AQ31" s="134"/>
      <c r="AR31" s="129" t="s">
        <v>3575</v>
      </c>
      <c r="AS31" s="129" t="s">
        <v>3573</v>
      </c>
      <c r="AT31" s="129">
        <v>9.17</v>
      </c>
      <c r="AU31" s="129">
        <v>9.1999999999999993</v>
      </c>
      <c r="AV31" s="129">
        <v>9.1949999999999985</v>
      </c>
      <c r="AW31" s="129">
        <v>9.1999999999999993</v>
      </c>
      <c r="AX31" s="126"/>
      <c r="BB31" s="99" t="s">
        <v>136</v>
      </c>
      <c r="BE31" s="99" t="s">
        <v>125</v>
      </c>
      <c r="BH31" s="99" t="s">
        <v>3514</v>
      </c>
      <c r="BI31" s="99" t="s">
        <v>3572</v>
      </c>
    </row>
    <row r="32" spans="1:61" s="99" customFormat="1" ht="21.75" customHeight="1" x14ac:dyDescent="0.35">
      <c r="A32" s="99">
        <v>44300</v>
      </c>
      <c r="B32" s="126" t="str">
        <f>IF(M32="MULTI","FGM","FGC")&amp;"-"&amp;G32&amp;"/"&amp;H32&amp;"-"&amp;TEXT(J32,"0.00")&amp;"X"&amp;IF(M32="MULTI",#REF!,M32)</f>
        <v>FGC-J1/2B-001X107</v>
      </c>
      <c r="C32" s="294" t="s">
        <v>3576</v>
      </c>
      <c r="D32" s="126" t="s">
        <v>3026</v>
      </c>
      <c r="E32" s="126" t="s">
        <v>3577</v>
      </c>
      <c r="F32" s="143" t="s">
        <v>3578</v>
      </c>
      <c r="G32" s="126" t="s">
        <v>27</v>
      </c>
      <c r="H32" s="126" t="s">
        <v>116</v>
      </c>
      <c r="I32" s="127">
        <v>0.92</v>
      </c>
      <c r="J32" s="127">
        <v>0.5</v>
      </c>
      <c r="K32" s="127">
        <v>0.48</v>
      </c>
      <c r="L32" s="126">
        <v>0.5</v>
      </c>
      <c r="M32" s="295">
        <v>107</v>
      </c>
      <c r="N32" s="129">
        <v>0.91</v>
      </c>
      <c r="O32" s="296">
        <v>0.81</v>
      </c>
      <c r="P32" s="297"/>
      <c r="Q32" s="129"/>
      <c r="R32" s="129"/>
      <c r="S32" s="298">
        <f t="shared" si="1"/>
        <v>0</v>
      </c>
      <c r="T32" s="129"/>
      <c r="U32" s="298">
        <f t="shared" si="2"/>
        <v>0</v>
      </c>
      <c r="V32" s="298"/>
      <c r="W32" s="295" t="s">
        <v>3579</v>
      </c>
      <c r="X32" s="299" t="s">
        <v>116</v>
      </c>
      <c r="Y32" s="284" t="s">
        <v>3510</v>
      </c>
      <c r="Z32" s="282" t="s">
        <v>446</v>
      </c>
      <c r="AA32" s="282" t="s">
        <v>3580</v>
      </c>
      <c r="AB32" s="300"/>
      <c r="AC32" s="132">
        <v>44099</v>
      </c>
      <c r="AD32" s="132">
        <v>44104</v>
      </c>
      <c r="AE32" s="132">
        <v>44107</v>
      </c>
      <c r="AF32" s="132" t="s">
        <v>3581</v>
      </c>
      <c r="AG32" s="132"/>
      <c r="AH32" s="133"/>
      <c r="AI32" s="126" t="s">
        <v>116</v>
      </c>
      <c r="AJ32" s="126" t="s">
        <v>261</v>
      </c>
      <c r="AK32" s="134" t="s">
        <v>262</v>
      </c>
      <c r="AL32" s="134">
        <v>44042</v>
      </c>
      <c r="AM32" s="134">
        <v>44068</v>
      </c>
      <c r="AN32" s="134"/>
      <c r="AO32" s="134">
        <f t="shared" ca="1" si="3"/>
        <v>44963</v>
      </c>
      <c r="AP32" s="126">
        <f t="shared" ca="1" si="4"/>
        <v>895</v>
      </c>
      <c r="AQ32" s="134">
        <f ca="1">IF(ISNUMBER(AE32)=TRUE,AO32-AE32,IF(AE32="","",(AO32)-(MID(RIGHT(AE32,10),4,2)&amp;"/"&amp;LEFT((RIGHT(AE32,10)),2)&amp;"/"&amp;RIGHT(AE32,4))))</f>
        <v>856</v>
      </c>
      <c r="AR32" s="129" t="s">
        <v>3582</v>
      </c>
      <c r="AS32" s="129" t="s">
        <v>3583</v>
      </c>
      <c r="AT32" s="129">
        <v>11.635</v>
      </c>
      <c r="AU32" s="129">
        <v>11.664999999999999</v>
      </c>
      <c r="AV32" s="129">
        <v>11.689999999999998</v>
      </c>
      <c r="AW32" s="129">
        <v>11.694999999999999</v>
      </c>
      <c r="AX32" s="126">
        <f t="shared" ref="AX32:AX95" ca="1" si="7">IF(ISNUMBER(AD32)=TRUE,AO32-AD32,IF(AD32="","",(AO32)-(MID(RIGHT(AD32,10),4,2)&amp;"/"&amp;LEFT((RIGHT(AD32,10)),2)&amp;"/"&amp;RIGHT(AD32,4))))</f>
        <v>859</v>
      </c>
      <c r="BA32" s="99" t="s">
        <v>136</v>
      </c>
      <c r="BI32" s="99" t="s">
        <v>3584</v>
      </c>
    </row>
    <row r="33" spans="1:61" s="99" customFormat="1" ht="21.75" customHeight="1" x14ac:dyDescent="0.35">
      <c r="A33" s="99">
        <v>44350</v>
      </c>
      <c r="B33" s="126" t="str">
        <f>IF(M33="MULTI","FGM","FGC")&amp;"-"&amp;G33&amp;"/"&amp;H33&amp;"-"&amp;TEXT(J33,"0.00")&amp;"X"&amp;IF(M33="MULTI",#REF!,M33)</f>
        <v>FGC-304/304L/2B-001X95</v>
      </c>
      <c r="C33" s="294" t="s">
        <v>3576</v>
      </c>
      <c r="D33" s="126" t="s">
        <v>3026</v>
      </c>
      <c r="E33" s="126" t="s">
        <v>3585</v>
      </c>
      <c r="F33" s="143" t="s">
        <v>3586</v>
      </c>
      <c r="G33" s="126" t="s">
        <v>377</v>
      </c>
      <c r="H33" s="126" t="s">
        <v>116</v>
      </c>
      <c r="I33" s="127">
        <v>3.79</v>
      </c>
      <c r="J33" s="127">
        <v>1.17</v>
      </c>
      <c r="K33" s="127">
        <v>1.1599999999999999</v>
      </c>
      <c r="L33" s="126">
        <v>1.17</v>
      </c>
      <c r="M33" s="295">
        <v>95</v>
      </c>
      <c r="N33" s="129">
        <f>5.895-5.175</f>
        <v>0.71999999999999975</v>
      </c>
      <c r="O33" s="296">
        <v>0.66500000000000004</v>
      </c>
      <c r="P33" s="297"/>
      <c r="Q33" s="129"/>
      <c r="R33" s="129"/>
      <c r="S33" s="298">
        <f t="shared" si="1"/>
        <v>0</v>
      </c>
      <c r="T33" s="129">
        <v>5.5E-2</v>
      </c>
      <c r="U33" s="298">
        <f t="shared" si="2"/>
        <v>7.6388888888888909E-2</v>
      </c>
      <c r="V33" s="298"/>
      <c r="W33" s="295">
        <v>87.4</v>
      </c>
      <c r="X33" s="299" t="s">
        <v>116</v>
      </c>
      <c r="Y33" s="284" t="s">
        <v>3510</v>
      </c>
      <c r="Z33" s="282" t="s">
        <v>446</v>
      </c>
      <c r="AA33" s="282" t="s">
        <v>3587</v>
      </c>
      <c r="AB33" s="300"/>
      <c r="AC33" s="132">
        <v>44263</v>
      </c>
      <c r="AD33" s="132">
        <v>44263</v>
      </c>
      <c r="AE33" s="132">
        <v>44265</v>
      </c>
      <c r="AF33" s="132"/>
      <c r="AG33" s="132"/>
      <c r="AH33" s="133"/>
      <c r="AI33" s="126" t="s">
        <v>64</v>
      </c>
      <c r="AJ33" s="126" t="s">
        <v>154</v>
      </c>
      <c r="AK33" s="134" t="s">
        <v>380</v>
      </c>
      <c r="AL33" s="134"/>
      <c r="AM33" s="134">
        <v>44257</v>
      </c>
      <c r="AN33" s="134"/>
      <c r="AO33" s="134">
        <f t="shared" ca="1" si="3"/>
        <v>44963</v>
      </c>
      <c r="AP33" s="126">
        <f t="shared" ca="1" si="4"/>
        <v>706</v>
      </c>
      <c r="AQ33" s="134"/>
      <c r="AR33" s="129"/>
      <c r="AS33" s="129" t="s">
        <v>3588</v>
      </c>
      <c r="AT33" s="129">
        <v>12.115</v>
      </c>
      <c r="AU33" s="129">
        <v>12.125</v>
      </c>
      <c r="AV33" s="129">
        <v>12.149999999999999</v>
      </c>
      <c r="AW33" s="129">
        <v>12.154999999999999</v>
      </c>
      <c r="AX33" s="126">
        <f t="shared" ca="1" si="7"/>
        <v>700</v>
      </c>
      <c r="BA33" s="99" t="s">
        <v>136</v>
      </c>
      <c r="BC33" s="99" t="s">
        <v>382</v>
      </c>
      <c r="BI33" s="99" t="s">
        <v>3572</v>
      </c>
    </row>
    <row r="34" spans="1:61" s="99" customFormat="1" ht="21.75" customHeight="1" x14ac:dyDescent="0.35">
      <c r="A34" s="484">
        <v>422</v>
      </c>
      <c r="B34" s="485" t="str">
        <f t="shared" ref="B34:B97" si="8">IF(C34="HOLD RM","HOLD RM",IF(C34="BAL","WIP",IF(C34="HOLD SLT","HOLD SLT",IF(C34="MILL","RM",IF(C34="RE SLT","WIP",IF(C34="RM","RM",IF(C34="RM BAL","RM",IF(C34="RM SLT","RM",IF(C34="RR","WIP",IF(C34="SKP","WIP",IF(C34="SLT","WIP",IF(C34="CTL","WIP",IF(C34="RM SLT RUST","RM SLT RUST",0)))))))))))))&amp;"-"&amp;G34&amp;"/"&amp;IF(H34="2B","2B",IF(H34="NO.1","1D",IF(H34="FH","FH",0)))&amp;"-"&amp;IF(J34="",(TEXT(I34,"0.00")),TEXT(J34,"0.00"))&amp;"X"&amp;M34</f>
        <v>0-304L/2B-002X768</v>
      </c>
      <c r="C34" s="486" t="s">
        <v>3589</v>
      </c>
      <c r="D34" s="485" t="s">
        <v>63</v>
      </c>
      <c r="E34" s="485" t="s">
        <v>3237</v>
      </c>
      <c r="F34" s="487" t="s">
        <v>3590</v>
      </c>
      <c r="G34" s="485" t="s">
        <v>230</v>
      </c>
      <c r="H34" s="485" t="s">
        <v>116</v>
      </c>
      <c r="I34" s="488">
        <v>3.8</v>
      </c>
      <c r="J34" s="488">
        <v>1.5</v>
      </c>
      <c r="K34" s="488">
        <v>1.5</v>
      </c>
      <c r="L34" s="485">
        <v>1.53</v>
      </c>
      <c r="M34" s="489">
        <v>768</v>
      </c>
      <c r="N34" s="830">
        <v>10.48</v>
      </c>
      <c r="O34" s="490">
        <v>5.05</v>
      </c>
      <c r="P34" s="490"/>
      <c r="Q34" s="491">
        <v>5.5E-2</v>
      </c>
      <c r="R34" s="491"/>
      <c r="S34" s="492">
        <f t="shared" si="1"/>
        <v>0</v>
      </c>
      <c r="T34" s="491"/>
      <c r="U34" s="492">
        <f t="shared" si="2"/>
        <v>0</v>
      </c>
      <c r="V34" s="492"/>
      <c r="W34" s="489">
        <v>762</v>
      </c>
      <c r="X34" s="493" t="s">
        <v>116</v>
      </c>
      <c r="Y34" s="494"/>
      <c r="Z34" s="495" t="s">
        <v>1143</v>
      </c>
      <c r="AA34" s="495"/>
      <c r="AB34" s="496" t="s">
        <v>3591</v>
      </c>
      <c r="AC34" s="497">
        <v>44535</v>
      </c>
      <c r="AD34" s="497">
        <v>44535</v>
      </c>
      <c r="AE34" s="497">
        <v>44602</v>
      </c>
      <c r="AF34" s="497">
        <v>44606</v>
      </c>
      <c r="AG34" s="497"/>
      <c r="AH34" s="498"/>
      <c r="AI34" s="485" t="s">
        <v>64</v>
      </c>
      <c r="AJ34" s="485" t="s">
        <v>154</v>
      </c>
      <c r="AK34" s="499" t="s">
        <v>1296</v>
      </c>
      <c r="AL34" s="499"/>
      <c r="AM34" s="499">
        <v>44516</v>
      </c>
      <c r="AN34" s="499"/>
      <c r="AO34" s="499">
        <f t="shared" ca="1" si="3"/>
        <v>44963</v>
      </c>
      <c r="AP34" s="485">
        <f t="shared" ca="1" si="4"/>
        <v>447</v>
      </c>
      <c r="AQ34" s="499">
        <f t="shared" ref="AQ34:AQ97" ca="1" si="9">IF(ISNUMBER(AE34)=TRUE,AO34-AE34,IF(AE34="","",(AO34)-(MID(RIGHT(AE34,10),4,2)&amp;"/"&amp;LEFT((RIGHT(AE34,10)),2)&amp;"/"&amp;RIGHT(AE34,4))))</f>
        <v>361</v>
      </c>
      <c r="AR34" s="491"/>
      <c r="AS34" s="491" t="s">
        <v>3239</v>
      </c>
      <c r="AT34" s="491">
        <v>10.49</v>
      </c>
      <c r="AU34" s="491">
        <v>10.5</v>
      </c>
      <c r="AV34" s="491">
        <v>10.524999999999999</v>
      </c>
      <c r="AW34" s="491">
        <v>10.53</v>
      </c>
      <c r="AX34" s="485">
        <f t="shared" ca="1" si="7"/>
        <v>428</v>
      </c>
      <c r="AY34" s="484"/>
      <c r="AZ34" s="484"/>
      <c r="BA34" s="484" t="s">
        <v>136</v>
      </c>
    </row>
    <row r="35" spans="1:61" s="99" customFormat="1" ht="21.75" customHeight="1" x14ac:dyDescent="0.35">
      <c r="A35" s="484">
        <v>422</v>
      </c>
      <c r="B35" s="485" t="str">
        <f t="shared" si="8"/>
        <v>0-304L/2B-002X768</v>
      </c>
      <c r="C35" s="486" t="s">
        <v>3592</v>
      </c>
      <c r="D35" s="485" t="s">
        <v>3026</v>
      </c>
      <c r="E35" s="485" t="s">
        <v>3237</v>
      </c>
      <c r="F35" s="487" t="s">
        <v>3593</v>
      </c>
      <c r="G35" s="485" t="s">
        <v>230</v>
      </c>
      <c r="H35" s="485" t="s">
        <v>116</v>
      </c>
      <c r="I35" s="488">
        <v>3.8</v>
      </c>
      <c r="J35" s="488">
        <v>1.5</v>
      </c>
      <c r="K35" s="488">
        <v>1.5</v>
      </c>
      <c r="L35" s="485">
        <v>1.53</v>
      </c>
      <c r="M35" s="489">
        <v>768</v>
      </c>
      <c r="N35" s="831"/>
      <c r="O35" s="490">
        <v>5.2750000000000004</v>
      </c>
      <c r="P35" s="490"/>
      <c r="Q35" s="491"/>
      <c r="R35" s="491"/>
      <c r="S35" s="492" t="e">
        <f t="shared" si="1"/>
        <v>#DIV/0!</v>
      </c>
      <c r="T35" s="491"/>
      <c r="U35" s="492" t="e">
        <f t="shared" si="2"/>
        <v>#DIV/0!</v>
      </c>
      <c r="V35" s="492"/>
      <c r="W35" s="489">
        <v>759</v>
      </c>
      <c r="X35" s="493" t="s">
        <v>116</v>
      </c>
      <c r="Y35" s="494" t="s">
        <v>3594</v>
      </c>
      <c r="Z35" s="495" t="s">
        <v>1143</v>
      </c>
      <c r="AA35" s="495"/>
      <c r="AB35" s="496"/>
      <c r="AC35" s="497">
        <v>44535</v>
      </c>
      <c r="AD35" s="497">
        <v>44535</v>
      </c>
      <c r="AE35" s="497">
        <v>44602</v>
      </c>
      <c r="AF35" s="497"/>
      <c r="AG35" s="497"/>
      <c r="AH35" s="498"/>
      <c r="AI35" s="485" t="s">
        <v>64</v>
      </c>
      <c r="AJ35" s="485" t="s">
        <v>154</v>
      </c>
      <c r="AK35" s="499" t="s">
        <v>1296</v>
      </c>
      <c r="AL35" s="499"/>
      <c r="AM35" s="499">
        <v>44516</v>
      </c>
      <c r="AN35" s="499"/>
      <c r="AO35" s="499">
        <f t="shared" ca="1" si="3"/>
        <v>44963</v>
      </c>
      <c r="AP35" s="485">
        <f t="shared" ca="1" si="4"/>
        <v>447</v>
      </c>
      <c r="AQ35" s="499">
        <f t="shared" ca="1" si="9"/>
        <v>361</v>
      </c>
      <c r="AR35" s="491"/>
      <c r="AS35" s="491" t="s">
        <v>3239</v>
      </c>
      <c r="AT35" s="491">
        <v>10.49</v>
      </c>
      <c r="AU35" s="491">
        <v>10.5</v>
      </c>
      <c r="AV35" s="491">
        <v>10.524999999999999</v>
      </c>
      <c r="AW35" s="491">
        <v>10.53</v>
      </c>
      <c r="AX35" s="485">
        <f t="shared" ca="1" si="7"/>
        <v>428</v>
      </c>
      <c r="AY35" s="484"/>
      <c r="AZ35" s="484"/>
      <c r="BA35" s="484" t="s">
        <v>136</v>
      </c>
    </row>
    <row r="36" spans="1:61" s="99" customFormat="1" ht="21.75" customHeight="1" x14ac:dyDescent="0.35">
      <c r="A36" s="99">
        <v>422</v>
      </c>
      <c r="B36" s="126" t="str">
        <f t="shared" si="8"/>
        <v>0-304L/2B-002X769</v>
      </c>
      <c r="C36" s="294" t="s">
        <v>3592</v>
      </c>
      <c r="D36" s="126" t="s">
        <v>3026</v>
      </c>
      <c r="E36" s="126" t="s">
        <v>3234</v>
      </c>
      <c r="F36" s="143" t="s">
        <v>3595</v>
      </c>
      <c r="G36" s="126" t="s">
        <v>230</v>
      </c>
      <c r="H36" s="126" t="s">
        <v>116</v>
      </c>
      <c r="I36" s="127">
        <v>3.79</v>
      </c>
      <c r="J36" s="127">
        <v>1.5</v>
      </c>
      <c r="K36" s="127">
        <v>1.5</v>
      </c>
      <c r="L36" s="126">
        <v>1.54</v>
      </c>
      <c r="M36" s="295">
        <v>769</v>
      </c>
      <c r="N36" s="129">
        <v>12.17</v>
      </c>
      <c r="O36" s="296">
        <f>5.04+6.9</f>
        <v>11.940000000000001</v>
      </c>
      <c r="P36" s="297"/>
      <c r="Q36" s="129">
        <v>7.4999999999999997E-2</v>
      </c>
      <c r="R36" s="129"/>
      <c r="S36" s="298">
        <f t="shared" si="1"/>
        <v>0</v>
      </c>
      <c r="T36" s="129"/>
      <c r="U36" s="298">
        <f t="shared" si="2"/>
        <v>0</v>
      </c>
      <c r="V36" s="298"/>
      <c r="W36" s="295">
        <v>759</v>
      </c>
      <c r="X36" s="299" t="s">
        <v>116</v>
      </c>
      <c r="Y36" s="284" t="s">
        <v>3594</v>
      </c>
      <c r="Z36" s="282" t="s">
        <v>1143</v>
      </c>
      <c r="AA36" s="282"/>
      <c r="AB36" s="300"/>
      <c r="AC36" s="132">
        <v>44535</v>
      </c>
      <c r="AD36" s="132">
        <v>44536</v>
      </c>
      <c r="AE36" s="132">
        <v>44602</v>
      </c>
      <c r="AF36" s="132"/>
      <c r="AG36" s="132"/>
      <c r="AH36" s="133"/>
      <c r="AI36" s="126" t="s">
        <v>64</v>
      </c>
      <c r="AJ36" s="126" t="s">
        <v>154</v>
      </c>
      <c r="AK36" s="134" t="s">
        <v>1296</v>
      </c>
      <c r="AL36" s="134"/>
      <c r="AM36" s="134">
        <v>44516</v>
      </c>
      <c r="AN36" s="134"/>
      <c r="AO36" s="134">
        <f t="shared" ca="1" si="3"/>
        <v>44963</v>
      </c>
      <c r="AP36" s="126">
        <f t="shared" ca="1" si="4"/>
        <v>447</v>
      </c>
      <c r="AQ36" s="134">
        <f t="shared" ca="1" si="9"/>
        <v>361</v>
      </c>
      <c r="AR36" s="129"/>
      <c r="AS36" s="129" t="s">
        <v>3236</v>
      </c>
      <c r="AT36" s="129">
        <v>12.185</v>
      </c>
      <c r="AU36" s="129">
        <v>12.195</v>
      </c>
      <c r="AV36" s="129">
        <v>12.219999999999999</v>
      </c>
      <c r="AW36" s="129">
        <v>12.225</v>
      </c>
      <c r="AX36" s="126">
        <f t="shared" ca="1" si="7"/>
        <v>427</v>
      </c>
      <c r="BA36" s="99" t="s">
        <v>136</v>
      </c>
    </row>
    <row r="37" spans="1:61" s="99" customFormat="1" ht="21.75" customHeight="1" x14ac:dyDescent="0.35">
      <c r="A37" s="99">
        <v>422</v>
      </c>
      <c r="B37" s="126" t="str">
        <f t="shared" si="8"/>
        <v>0-304L/2B-002X768</v>
      </c>
      <c r="C37" s="294" t="s">
        <v>3592</v>
      </c>
      <c r="D37" s="126" t="s">
        <v>3026</v>
      </c>
      <c r="E37" s="126" t="s">
        <v>3219</v>
      </c>
      <c r="F37" s="143" t="s">
        <v>3596</v>
      </c>
      <c r="G37" s="126" t="s">
        <v>230</v>
      </c>
      <c r="H37" s="126" t="s">
        <v>116</v>
      </c>
      <c r="I37" s="127">
        <v>3.78</v>
      </c>
      <c r="J37" s="127">
        <v>1.5</v>
      </c>
      <c r="K37" s="127">
        <v>1.48</v>
      </c>
      <c r="L37" s="126">
        <v>1.5</v>
      </c>
      <c r="M37" s="295">
        <v>768</v>
      </c>
      <c r="N37" s="129">
        <v>12.015000000000001</v>
      </c>
      <c r="O37" s="296">
        <f>5.05+6.805</f>
        <v>11.855</v>
      </c>
      <c r="P37" s="297"/>
      <c r="Q37" s="129"/>
      <c r="R37" s="129">
        <v>0.04</v>
      </c>
      <c r="S37" s="298">
        <f t="shared" si="1"/>
        <v>3.3291718684977109E-3</v>
      </c>
      <c r="T37" s="129">
        <v>0.12</v>
      </c>
      <c r="U37" s="298">
        <f t="shared" si="2"/>
        <v>9.987515605493132E-3</v>
      </c>
      <c r="V37" s="298"/>
      <c r="W37" s="295">
        <v>759</v>
      </c>
      <c r="X37" s="299" t="s">
        <v>116</v>
      </c>
      <c r="Y37" s="284" t="s">
        <v>3594</v>
      </c>
      <c r="Z37" s="282" t="s">
        <v>1143</v>
      </c>
      <c r="AA37" s="282"/>
      <c r="AB37" s="300"/>
      <c r="AC37" s="132">
        <v>44535</v>
      </c>
      <c r="AD37" s="132">
        <v>44535</v>
      </c>
      <c r="AE37" s="132">
        <v>44601</v>
      </c>
      <c r="AF37" s="132"/>
      <c r="AG37" s="132"/>
      <c r="AH37" s="133"/>
      <c r="AI37" s="126" t="s">
        <v>64</v>
      </c>
      <c r="AJ37" s="126" t="s">
        <v>154</v>
      </c>
      <c r="AK37" s="134" t="s">
        <v>1330</v>
      </c>
      <c r="AL37" s="134"/>
      <c r="AM37" s="134">
        <v>44516</v>
      </c>
      <c r="AN37" s="134"/>
      <c r="AO37" s="134">
        <f t="shared" ca="1" si="3"/>
        <v>44963</v>
      </c>
      <c r="AP37" s="126">
        <f t="shared" ca="1" si="4"/>
        <v>447</v>
      </c>
      <c r="AQ37" s="134">
        <f t="shared" ca="1" si="9"/>
        <v>362</v>
      </c>
      <c r="AR37" s="129"/>
      <c r="AS37" s="129" t="s">
        <v>3080</v>
      </c>
      <c r="AT37" s="129">
        <v>12.03</v>
      </c>
      <c r="AU37" s="129">
        <v>12.04</v>
      </c>
      <c r="AV37" s="129">
        <v>12.064999999999998</v>
      </c>
      <c r="AW37" s="129">
        <v>12.069999999999999</v>
      </c>
      <c r="AX37" s="126">
        <f t="shared" ca="1" si="7"/>
        <v>428</v>
      </c>
      <c r="BA37" s="99" t="s">
        <v>136</v>
      </c>
    </row>
    <row r="38" spans="1:61" s="99" customFormat="1" ht="21.75" customHeight="1" x14ac:dyDescent="0.35">
      <c r="A38" s="99">
        <v>422</v>
      </c>
      <c r="B38" s="126" t="str">
        <f t="shared" si="8"/>
        <v>0-304/2B-001X768</v>
      </c>
      <c r="C38" s="294" t="s">
        <v>3592</v>
      </c>
      <c r="D38" s="126" t="s">
        <v>3026</v>
      </c>
      <c r="E38" s="126" t="s">
        <v>3188</v>
      </c>
      <c r="F38" s="143" t="s">
        <v>3597</v>
      </c>
      <c r="G38" s="126">
        <v>304</v>
      </c>
      <c r="H38" s="126" t="s">
        <v>116</v>
      </c>
      <c r="I38" s="127">
        <v>3</v>
      </c>
      <c r="J38" s="127">
        <v>0.95</v>
      </c>
      <c r="K38" s="127">
        <v>0.95</v>
      </c>
      <c r="L38" s="126">
        <v>0.97</v>
      </c>
      <c r="M38" s="295">
        <v>768</v>
      </c>
      <c r="N38" s="129">
        <v>10.47</v>
      </c>
      <c r="O38" s="296">
        <f>5.13+5.105</f>
        <v>10.234999999999999</v>
      </c>
      <c r="P38" s="297"/>
      <c r="Q38" s="129">
        <v>0.04</v>
      </c>
      <c r="R38" s="129">
        <v>5.0000000000000001E-3</v>
      </c>
      <c r="S38" s="298">
        <f t="shared" si="1"/>
        <v>4.7755491881566379E-4</v>
      </c>
      <c r="T38" s="129">
        <v>0.19</v>
      </c>
      <c r="U38" s="298">
        <f t="shared" si="2"/>
        <v>1.8147086914995225E-2</v>
      </c>
      <c r="V38" s="298"/>
      <c r="W38" s="295" t="s">
        <v>3598</v>
      </c>
      <c r="X38" s="299" t="s">
        <v>116</v>
      </c>
      <c r="Y38" s="284" t="s">
        <v>3599</v>
      </c>
      <c r="Z38" s="282" t="s">
        <v>412</v>
      </c>
      <c r="AA38" s="282"/>
      <c r="AB38" s="300"/>
      <c r="AC38" s="132">
        <v>44565</v>
      </c>
      <c r="AD38" s="132">
        <v>44565</v>
      </c>
      <c r="AE38" s="132">
        <v>44600</v>
      </c>
      <c r="AF38" s="132"/>
      <c r="AG38" s="132"/>
      <c r="AH38" s="133"/>
      <c r="AI38" s="126" t="s">
        <v>64</v>
      </c>
      <c r="AJ38" s="126" t="s">
        <v>154</v>
      </c>
      <c r="AK38" s="134" t="s">
        <v>1296</v>
      </c>
      <c r="AL38" s="134"/>
      <c r="AM38" s="134">
        <v>44516</v>
      </c>
      <c r="AN38" s="134"/>
      <c r="AO38" s="134">
        <f t="shared" ca="1" si="3"/>
        <v>44963</v>
      </c>
      <c r="AP38" s="126">
        <f t="shared" ca="1" si="4"/>
        <v>447</v>
      </c>
      <c r="AQ38" s="134">
        <f t="shared" ca="1" si="9"/>
        <v>363</v>
      </c>
      <c r="AR38" s="129"/>
      <c r="AS38" s="129" t="s">
        <v>2881</v>
      </c>
      <c r="AT38" s="129">
        <v>10.484999999999999</v>
      </c>
      <c r="AU38" s="129">
        <v>10.494999999999999</v>
      </c>
      <c r="AV38" s="129">
        <v>10.519999999999998</v>
      </c>
      <c r="AW38" s="129">
        <v>10.524999999999999</v>
      </c>
      <c r="AX38" s="126">
        <f t="shared" ca="1" si="7"/>
        <v>398</v>
      </c>
      <c r="BA38" s="99" t="s">
        <v>136</v>
      </c>
    </row>
    <row r="39" spans="1:61" s="99" customFormat="1" ht="21.75" customHeight="1" x14ac:dyDescent="0.35">
      <c r="A39" s="99">
        <v>400</v>
      </c>
      <c r="B39" s="126" t="str">
        <f t="shared" si="8"/>
        <v>0-J3/2B-001X560</v>
      </c>
      <c r="C39" s="294" t="s">
        <v>3592</v>
      </c>
      <c r="D39" s="126" t="s">
        <v>3026</v>
      </c>
      <c r="E39" s="126" t="s">
        <v>3085</v>
      </c>
      <c r="F39" s="143" t="s">
        <v>3600</v>
      </c>
      <c r="G39" s="126" t="s">
        <v>29</v>
      </c>
      <c r="H39" s="126" t="s">
        <v>116</v>
      </c>
      <c r="I39" s="127">
        <v>2.4</v>
      </c>
      <c r="J39" s="127">
        <v>1.1000000000000001</v>
      </c>
      <c r="K39" s="127">
        <v>1.1000000000000001</v>
      </c>
      <c r="L39" s="126">
        <v>1.1200000000000001</v>
      </c>
      <c r="M39" s="295">
        <v>560</v>
      </c>
      <c r="N39" s="129">
        <v>9.0050000000000008</v>
      </c>
      <c r="O39" s="296">
        <f>4.435+4.31</f>
        <v>8.7449999999999992</v>
      </c>
      <c r="P39" s="297"/>
      <c r="Q39" s="129"/>
      <c r="R39" s="129">
        <v>0.06</v>
      </c>
      <c r="S39" s="298">
        <f t="shared" si="1"/>
        <v>6.6629650194336473E-3</v>
      </c>
      <c r="T39" s="129">
        <v>0.2</v>
      </c>
      <c r="U39" s="298">
        <f t="shared" si="2"/>
        <v>2.2209883398112158E-2</v>
      </c>
      <c r="V39" s="298"/>
      <c r="W39" s="295" t="s">
        <v>3598</v>
      </c>
      <c r="X39" s="299" t="s">
        <v>116</v>
      </c>
      <c r="Y39" s="284" t="s">
        <v>3599</v>
      </c>
      <c r="Z39" s="282" t="s">
        <v>412</v>
      </c>
      <c r="AA39" s="282"/>
      <c r="AB39" s="300"/>
      <c r="AC39" s="132">
        <v>44572</v>
      </c>
      <c r="AD39" s="132">
        <v>44572</v>
      </c>
      <c r="AE39" s="132">
        <v>44595</v>
      </c>
      <c r="AF39" s="132"/>
      <c r="AG39" s="132"/>
      <c r="AH39" s="133"/>
      <c r="AI39" s="126" t="s">
        <v>64</v>
      </c>
      <c r="AJ39" s="126" t="s">
        <v>322</v>
      </c>
      <c r="AK39" s="134"/>
      <c r="AL39" s="134"/>
      <c r="AM39" s="134">
        <v>44384</v>
      </c>
      <c r="AN39" s="134"/>
      <c r="AO39" s="134">
        <f t="shared" ca="1" si="3"/>
        <v>44963</v>
      </c>
      <c r="AP39" s="126">
        <f t="shared" ca="1" si="4"/>
        <v>579</v>
      </c>
      <c r="AQ39" s="134">
        <f t="shared" ca="1" si="9"/>
        <v>368</v>
      </c>
      <c r="AR39" s="129" t="s">
        <v>817</v>
      </c>
      <c r="AS39" s="129" t="s">
        <v>826</v>
      </c>
      <c r="AT39" s="129">
        <v>9.0449999999999999</v>
      </c>
      <c r="AU39" s="129">
        <v>9.0849999999999991</v>
      </c>
      <c r="AV39" s="129">
        <v>9.1099999999999977</v>
      </c>
      <c r="AW39" s="129">
        <v>9.1149999999999984</v>
      </c>
      <c r="AX39" s="126">
        <f t="shared" ca="1" si="7"/>
        <v>391</v>
      </c>
      <c r="BA39" s="99" t="s">
        <v>136</v>
      </c>
    </row>
    <row r="40" spans="1:61" s="99" customFormat="1" ht="21.75" customHeight="1" x14ac:dyDescent="0.35">
      <c r="A40" s="99">
        <v>406</v>
      </c>
      <c r="B40" s="126" t="str">
        <f t="shared" si="8"/>
        <v>0-J3/2B-001X640</v>
      </c>
      <c r="C40" s="294" t="s">
        <v>3601</v>
      </c>
      <c r="D40" s="126" t="s">
        <v>3026</v>
      </c>
      <c r="E40" s="126" t="s">
        <v>3093</v>
      </c>
      <c r="F40" s="143" t="s">
        <v>3602</v>
      </c>
      <c r="G40" s="126" t="s">
        <v>29</v>
      </c>
      <c r="H40" s="126" t="s">
        <v>116</v>
      </c>
      <c r="I40" s="127">
        <v>2.4</v>
      </c>
      <c r="J40" s="127">
        <v>1.1000000000000001</v>
      </c>
      <c r="K40" s="127">
        <v>1.07</v>
      </c>
      <c r="L40" s="126">
        <v>1.0900000000000001</v>
      </c>
      <c r="M40" s="295">
        <v>640</v>
      </c>
      <c r="N40" s="129">
        <v>10.210000000000001</v>
      </c>
      <c r="O40" s="296">
        <f>5.09+4.945</f>
        <v>10.035</v>
      </c>
      <c r="P40" s="297"/>
      <c r="Q40" s="129"/>
      <c r="R40" s="129">
        <v>0.03</v>
      </c>
      <c r="S40" s="298">
        <f t="shared" si="1"/>
        <v>2.9382957884427027E-3</v>
      </c>
      <c r="T40" s="129">
        <v>0.14499999999999999</v>
      </c>
      <c r="U40" s="298">
        <f t="shared" si="2"/>
        <v>1.4201762977473064E-2</v>
      </c>
      <c r="V40" s="298"/>
      <c r="W40" s="295" t="s">
        <v>3598</v>
      </c>
      <c r="X40" s="299" t="s">
        <v>116</v>
      </c>
      <c r="Y40" s="284" t="s">
        <v>3603</v>
      </c>
      <c r="Z40" s="282" t="s">
        <v>412</v>
      </c>
      <c r="AA40" s="282"/>
      <c r="AB40" s="300"/>
      <c r="AC40" s="132">
        <v>44571</v>
      </c>
      <c r="AD40" s="132">
        <v>44572</v>
      </c>
      <c r="AE40" s="132">
        <v>44595</v>
      </c>
      <c r="AF40" s="132"/>
      <c r="AG40" s="132"/>
      <c r="AH40" s="133"/>
      <c r="AI40" s="126" t="s">
        <v>64</v>
      </c>
      <c r="AJ40" s="126" t="s">
        <v>322</v>
      </c>
      <c r="AK40" s="134"/>
      <c r="AL40" s="134"/>
      <c r="AM40" s="134">
        <v>44396</v>
      </c>
      <c r="AN40" s="134"/>
      <c r="AO40" s="134">
        <f t="shared" ca="1" si="3"/>
        <v>44963</v>
      </c>
      <c r="AP40" s="126">
        <f t="shared" ca="1" si="4"/>
        <v>567</v>
      </c>
      <c r="AQ40" s="134">
        <f t="shared" ca="1" si="9"/>
        <v>368</v>
      </c>
      <c r="AR40" s="129" t="s">
        <v>881</v>
      </c>
      <c r="AS40" s="129" t="s">
        <v>3095</v>
      </c>
      <c r="AT40" s="129">
        <v>10.25</v>
      </c>
      <c r="AU40" s="129">
        <v>10.29</v>
      </c>
      <c r="AV40" s="129">
        <v>10.314999999999998</v>
      </c>
      <c r="AW40" s="129">
        <v>10.319999999999999</v>
      </c>
      <c r="AX40" s="126">
        <f t="shared" ca="1" si="7"/>
        <v>391</v>
      </c>
      <c r="BA40" s="99" t="s">
        <v>136</v>
      </c>
    </row>
    <row r="41" spans="1:61" s="99" customFormat="1" ht="21.75" customHeight="1" x14ac:dyDescent="0.35">
      <c r="A41" s="99">
        <v>381</v>
      </c>
      <c r="B41" s="126" t="str">
        <f t="shared" si="8"/>
        <v>0-J3/2B-001X595</v>
      </c>
      <c r="C41" s="294" t="s">
        <v>3601</v>
      </c>
      <c r="D41" s="126" t="s">
        <v>3026</v>
      </c>
      <c r="E41" s="126" t="s">
        <v>3087</v>
      </c>
      <c r="F41" s="143" t="s">
        <v>3604</v>
      </c>
      <c r="G41" s="126" t="s">
        <v>29</v>
      </c>
      <c r="H41" s="126" t="s">
        <v>116</v>
      </c>
      <c r="I41" s="127">
        <v>2.4</v>
      </c>
      <c r="J41" s="127">
        <v>1.4</v>
      </c>
      <c r="K41" s="127">
        <v>1.37</v>
      </c>
      <c r="L41" s="126">
        <v>1.41</v>
      </c>
      <c r="M41" s="295">
        <v>595</v>
      </c>
      <c r="N41" s="129">
        <v>7.3849999999999998</v>
      </c>
      <c r="O41" s="296">
        <f>3.63+3.595</f>
        <v>7.2249999999999996</v>
      </c>
      <c r="P41" s="297"/>
      <c r="Q41" s="129"/>
      <c r="R41" s="129">
        <v>3.5000000000000003E-2</v>
      </c>
      <c r="S41" s="298">
        <f t="shared" si="1"/>
        <v>4.7393364928909956E-3</v>
      </c>
      <c r="T41" s="129">
        <v>0.125</v>
      </c>
      <c r="U41" s="298">
        <f t="shared" si="2"/>
        <v>1.6926201760324982E-2</v>
      </c>
      <c r="V41" s="298"/>
      <c r="W41" s="295" t="s">
        <v>3598</v>
      </c>
      <c r="X41" s="299" t="s">
        <v>116</v>
      </c>
      <c r="Y41" s="284" t="s">
        <v>3599</v>
      </c>
      <c r="Z41" s="282" t="s">
        <v>412</v>
      </c>
      <c r="AA41" s="282"/>
      <c r="AB41" s="300"/>
      <c r="AC41" s="132">
        <v>44571</v>
      </c>
      <c r="AD41" s="132">
        <v>44571</v>
      </c>
      <c r="AE41" s="132">
        <v>44595</v>
      </c>
      <c r="AF41" s="132"/>
      <c r="AG41" s="132"/>
      <c r="AH41" s="133"/>
      <c r="AI41" s="126" t="s">
        <v>64</v>
      </c>
      <c r="AJ41" s="126" t="s">
        <v>322</v>
      </c>
      <c r="AK41" s="134"/>
      <c r="AL41" s="134"/>
      <c r="AM41" s="134">
        <v>44309</v>
      </c>
      <c r="AN41" s="134"/>
      <c r="AO41" s="134">
        <f t="shared" ca="1" si="3"/>
        <v>44963</v>
      </c>
      <c r="AP41" s="126">
        <f t="shared" ca="1" si="4"/>
        <v>654</v>
      </c>
      <c r="AQ41" s="134">
        <f t="shared" ca="1" si="9"/>
        <v>368</v>
      </c>
      <c r="AR41" s="129" t="s">
        <v>3089</v>
      </c>
      <c r="AS41" s="129" t="s">
        <v>3090</v>
      </c>
      <c r="AT41" s="129">
        <v>7.4180000000000001</v>
      </c>
      <c r="AU41" s="129">
        <v>7.4580000000000002</v>
      </c>
      <c r="AV41" s="129">
        <v>7.4830000000000005</v>
      </c>
      <c r="AW41" s="129">
        <v>7.4880000000000004</v>
      </c>
      <c r="AX41" s="126">
        <f t="shared" ca="1" si="7"/>
        <v>392</v>
      </c>
      <c r="BA41" s="99" t="s">
        <v>136</v>
      </c>
    </row>
    <row r="42" spans="1:61" s="99" customFormat="1" ht="21.75" customHeight="1" x14ac:dyDescent="0.35">
      <c r="A42" s="99">
        <v>422</v>
      </c>
      <c r="B42" s="126" t="str">
        <f t="shared" si="8"/>
        <v>0-304/2B-001X777</v>
      </c>
      <c r="C42" s="294" t="s">
        <v>3601</v>
      </c>
      <c r="D42" s="126" t="s">
        <v>3026</v>
      </c>
      <c r="E42" s="126" t="s">
        <v>3306</v>
      </c>
      <c r="F42" s="143" t="s">
        <v>3605</v>
      </c>
      <c r="G42" s="126">
        <v>304</v>
      </c>
      <c r="H42" s="126" t="s">
        <v>116</v>
      </c>
      <c r="I42" s="127">
        <v>3.67</v>
      </c>
      <c r="J42" s="127">
        <v>1.4</v>
      </c>
      <c r="K42" s="127">
        <v>1.39</v>
      </c>
      <c r="L42" s="126">
        <v>1.41</v>
      </c>
      <c r="M42" s="295">
        <v>777</v>
      </c>
      <c r="N42" s="129">
        <v>10.615</v>
      </c>
      <c r="O42" s="296">
        <f>5.17+5.265</f>
        <v>10.434999999999999</v>
      </c>
      <c r="P42" s="297"/>
      <c r="Q42" s="129"/>
      <c r="R42" s="129"/>
      <c r="S42" s="298">
        <f t="shared" si="1"/>
        <v>0</v>
      </c>
      <c r="T42" s="129"/>
      <c r="U42" s="298">
        <f t="shared" si="2"/>
        <v>0</v>
      </c>
      <c r="V42" s="298"/>
      <c r="W42" s="295" t="s">
        <v>3598</v>
      </c>
      <c r="X42" s="299" t="s">
        <v>116</v>
      </c>
      <c r="Y42" s="284" t="s">
        <v>3599</v>
      </c>
      <c r="Z42" s="282" t="s">
        <v>412</v>
      </c>
      <c r="AA42" s="282"/>
      <c r="AB42" s="300"/>
      <c r="AC42" s="132">
        <v>44565</v>
      </c>
      <c r="AD42" s="132">
        <v>44652</v>
      </c>
      <c r="AE42" s="132">
        <v>44606</v>
      </c>
      <c r="AF42" s="132"/>
      <c r="AG42" s="132"/>
      <c r="AH42" s="133"/>
      <c r="AI42" s="126" t="s">
        <v>64</v>
      </c>
      <c r="AJ42" s="126" t="s">
        <v>154</v>
      </c>
      <c r="AK42" s="134" t="s">
        <v>1296</v>
      </c>
      <c r="AL42" s="134"/>
      <c r="AM42" s="134">
        <v>44516</v>
      </c>
      <c r="AN42" s="134"/>
      <c r="AO42" s="134">
        <f t="shared" ca="1" si="3"/>
        <v>44963</v>
      </c>
      <c r="AP42" s="126">
        <f t="shared" ca="1" si="4"/>
        <v>447</v>
      </c>
      <c r="AQ42" s="134">
        <f t="shared" ca="1" si="9"/>
        <v>357</v>
      </c>
      <c r="AR42" s="129"/>
      <c r="AS42" s="129" t="s">
        <v>1317</v>
      </c>
      <c r="AT42" s="129">
        <v>10.654999999999999</v>
      </c>
      <c r="AU42" s="129">
        <v>10.664999999999999</v>
      </c>
      <c r="AV42" s="129">
        <v>10.689999999999998</v>
      </c>
      <c r="AW42" s="129">
        <v>10.694999999999999</v>
      </c>
      <c r="AX42" s="126">
        <f t="shared" ca="1" si="7"/>
        <v>311</v>
      </c>
      <c r="BA42" s="99" t="s">
        <v>136</v>
      </c>
    </row>
    <row r="43" spans="1:61" s="682" customFormat="1" ht="21.75" customHeight="1" x14ac:dyDescent="0.35">
      <c r="A43" s="682">
        <v>424</v>
      </c>
      <c r="B43" s="683" t="str">
        <f t="shared" si="8"/>
        <v>0-304L/2B-001X770</v>
      </c>
      <c r="C43" s="684" t="s">
        <v>3606</v>
      </c>
      <c r="D43" s="683" t="s">
        <v>3495</v>
      </c>
      <c r="E43" s="683" t="s">
        <v>2671</v>
      </c>
      <c r="F43" s="685" t="s">
        <v>3607</v>
      </c>
      <c r="G43" s="683" t="s">
        <v>230</v>
      </c>
      <c r="H43" s="683" t="s">
        <v>116</v>
      </c>
      <c r="I43" s="686">
        <v>3.78</v>
      </c>
      <c r="J43" s="686">
        <v>1.45</v>
      </c>
      <c r="K43" s="686">
        <v>1.4</v>
      </c>
      <c r="L43" s="683">
        <v>1.39</v>
      </c>
      <c r="M43" s="687">
        <v>770</v>
      </c>
      <c r="N43" s="822">
        <v>5.3150000000000004</v>
      </c>
      <c r="O43" s="688">
        <v>0.44500000000000001</v>
      </c>
      <c r="P43" s="688"/>
      <c r="Q43" s="689">
        <v>7.0000000000000007E-2</v>
      </c>
      <c r="R43" s="689"/>
      <c r="S43" s="690">
        <f t="shared" si="1"/>
        <v>0</v>
      </c>
      <c r="T43" s="689"/>
      <c r="U43" s="690">
        <f t="shared" si="2"/>
        <v>0</v>
      </c>
      <c r="V43" s="690"/>
      <c r="W43" s="687">
        <v>760</v>
      </c>
      <c r="X43" s="691" t="s">
        <v>116</v>
      </c>
      <c r="Y43" s="692"/>
      <c r="Z43" s="693" t="s">
        <v>3497</v>
      </c>
      <c r="AA43" s="693"/>
      <c r="AB43" s="694" t="s">
        <v>3294</v>
      </c>
      <c r="AC43" s="695">
        <v>44602</v>
      </c>
      <c r="AD43" s="695">
        <v>44602</v>
      </c>
      <c r="AE43" s="695"/>
      <c r="AF43" s="695"/>
      <c r="AG43" s="695"/>
      <c r="AH43" s="696" t="s">
        <v>1395</v>
      </c>
      <c r="AI43" s="683" t="s">
        <v>64</v>
      </c>
      <c r="AJ43" s="683" t="s">
        <v>154</v>
      </c>
      <c r="AK43" s="697" t="s">
        <v>1330</v>
      </c>
      <c r="AL43" s="697"/>
      <c r="AM43" s="697">
        <v>44554</v>
      </c>
      <c r="AN43" s="697"/>
      <c r="AO43" s="697">
        <f t="shared" ca="1" si="3"/>
        <v>44963</v>
      </c>
      <c r="AP43" s="683">
        <f t="shared" ca="1" si="4"/>
        <v>409</v>
      </c>
      <c r="AQ43" s="697" t="str">
        <f t="shared" si="9"/>
        <v/>
      </c>
      <c r="AR43" s="689"/>
      <c r="AS43" s="689" t="s">
        <v>2673</v>
      </c>
      <c r="AT43" s="689">
        <v>10.265000000000001</v>
      </c>
      <c r="AU43" s="689">
        <v>10.275</v>
      </c>
      <c r="AV43" s="689">
        <v>10.299999999999999</v>
      </c>
      <c r="AW43" s="689">
        <v>10.305</v>
      </c>
      <c r="AX43" s="683">
        <f t="shared" ca="1" si="7"/>
        <v>361</v>
      </c>
      <c r="BA43" s="682" t="s">
        <v>136</v>
      </c>
    </row>
    <row r="44" spans="1:61" s="682" customFormat="1" ht="21.75" customHeight="1" x14ac:dyDescent="0.35">
      <c r="A44" s="682">
        <v>424</v>
      </c>
      <c r="B44" s="683" t="str">
        <f t="shared" si="8"/>
        <v>0-304L/2B-001X770</v>
      </c>
      <c r="C44" s="684" t="s">
        <v>3608</v>
      </c>
      <c r="D44" s="683" t="s">
        <v>3026</v>
      </c>
      <c r="E44" s="683" t="s">
        <v>2671</v>
      </c>
      <c r="F44" s="685" t="s">
        <v>3609</v>
      </c>
      <c r="G44" s="683" t="s">
        <v>230</v>
      </c>
      <c r="H44" s="683" t="s">
        <v>116</v>
      </c>
      <c r="I44" s="686">
        <v>3.78</v>
      </c>
      <c r="J44" s="686">
        <v>1.45</v>
      </c>
      <c r="K44" s="686">
        <v>1.4</v>
      </c>
      <c r="L44" s="683">
        <v>1.39</v>
      </c>
      <c r="M44" s="687">
        <v>770</v>
      </c>
      <c r="N44" s="823"/>
      <c r="O44" s="688">
        <v>4.7949999999999999</v>
      </c>
      <c r="P44" s="688"/>
      <c r="Q44" s="689"/>
      <c r="R44" s="689"/>
      <c r="S44" s="690" t="e">
        <f t="shared" si="1"/>
        <v>#DIV/0!</v>
      </c>
      <c r="T44" s="689"/>
      <c r="U44" s="690" t="e">
        <f t="shared" si="2"/>
        <v>#DIV/0!</v>
      </c>
      <c r="V44" s="690"/>
      <c r="W44" s="687">
        <v>760</v>
      </c>
      <c r="X44" s="691" t="s">
        <v>116</v>
      </c>
      <c r="Y44" s="692" t="s">
        <v>3291</v>
      </c>
      <c r="Z44" s="693" t="s">
        <v>462</v>
      </c>
      <c r="AA44" s="693"/>
      <c r="AB44" s="694" t="s">
        <v>3294</v>
      </c>
      <c r="AC44" s="695">
        <v>44602</v>
      </c>
      <c r="AD44" s="695">
        <v>44602</v>
      </c>
      <c r="AE44" s="695"/>
      <c r="AF44" s="695"/>
      <c r="AG44" s="695"/>
      <c r="AH44" s="696" t="s">
        <v>1395</v>
      </c>
      <c r="AI44" s="683" t="s">
        <v>64</v>
      </c>
      <c r="AJ44" s="683" t="s">
        <v>154</v>
      </c>
      <c r="AK44" s="697" t="s">
        <v>1330</v>
      </c>
      <c r="AL44" s="697"/>
      <c r="AM44" s="697">
        <v>44554</v>
      </c>
      <c r="AN44" s="697"/>
      <c r="AO44" s="697">
        <f t="shared" ca="1" si="3"/>
        <v>44963</v>
      </c>
      <c r="AP44" s="683">
        <f t="shared" ca="1" si="4"/>
        <v>409</v>
      </c>
      <c r="AQ44" s="697" t="str">
        <f t="shared" si="9"/>
        <v/>
      </c>
      <c r="AR44" s="689"/>
      <c r="AS44" s="689" t="s">
        <v>2673</v>
      </c>
      <c r="AT44" s="689">
        <v>10.265000000000001</v>
      </c>
      <c r="AU44" s="689">
        <v>10.275</v>
      </c>
      <c r="AV44" s="689">
        <v>10.299999999999999</v>
      </c>
      <c r="AW44" s="689">
        <v>10.305</v>
      </c>
      <c r="AX44" s="683">
        <f t="shared" ca="1" si="7"/>
        <v>361</v>
      </c>
      <c r="BA44" s="682" t="s">
        <v>136</v>
      </c>
    </row>
    <row r="45" spans="1:61" s="99" customFormat="1" ht="21.75" customHeight="1" x14ac:dyDescent="0.35">
      <c r="A45" s="99">
        <v>422</v>
      </c>
      <c r="B45" s="126" t="str">
        <f t="shared" si="8"/>
        <v>0-304L/2B-001X768</v>
      </c>
      <c r="C45" s="294" t="s">
        <v>3601</v>
      </c>
      <c r="D45" s="126" t="s">
        <v>3026</v>
      </c>
      <c r="E45" s="126" t="s">
        <v>3184</v>
      </c>
      <c r="F45" s="143" t="s">
        <v>3610</v>
      </c>
      <c r="G45" s="126" t="s">
        <v>230</v>
      </c>
      <c r="H45" s="126" t="s">
        <v>116</v>
      </c>
      <c r="I45" s="127">
        <v>2.98</v>
      </c>
      <c r="J45" s="127">
        <v>0.95</v>
      </c>
      <c r="K45" s="127">
        <v>0.9</v>
      </c>
      <c r="L45" s="126">
        <v>0.93</v>
      </c>
      <c r="M45" s="295">
        <v>768</v>
      </c>
      <c r="N45" s="129">
        <v>10.135</v>
      </c>
      <c r="O45" s="296">
        <f>5.08+4.99</f>
        <v>10.07</v>
      </c>
      <c r="P45" s="297"/>
      <c r="Q45" s="129">
        <v>4.4999999999999998E-2</v>
      </c>
      <c r="R45" s="129"/>
      <c r="S45" s="298">
        <f t="shared" si="1"/>
        <v>0</v>
      </c>
      <c r="T45" s="129"/>
      <c r="U45" s="298">
        <f t="shared" si="2"/>
        <v>0</v>
      </c>
      <c r="V45" s="298"/>
      <c r="W45" s="295" t="s">
        <v>3598</v>
      </c>
      <c r="X45" s="299" t="s">
        <v>116</v>
      </c>
      <c r="Y45" s="284" t="s">
        <v>3599</v>
      </c>
      <c r="Z45" s="282" t="s">
        <v>412</v>
      </c>
      <c r="AA45" s="282"/>
      <c r="AB45" s="300"/>
      <c r="AC45" s="132">
        <v>44565</v>
      </c>
      <c r="AD45" s="132">
        <v>44566</v>
      </c>
      <c r="AE45" s="132">
        <v>44599</v>
      </c>
      <c r="AF45" s="132"/>
      <c r="AG45" s="132"/>
      <c r="AH45" s="133"/>
      <c r="AI45" s="126" t="s">
        <v>64</v>
      </c>
      <c r="AJ45" s="126" t="s">
        <v>154</v>
      </c>
      <c r="AK45" s="134" t="s">
        <v>1330</v>
      </c>
      <c r="AL45" s="134"/>
      <c r="AM45" s="134">
        <v>44516</v>
      </c>
      <c r="AN45" s="134"/>
      <c r="AO45" s="134">
        <f t="shared" ca="1" si="3"/>
        <v>44963</v>
      </c>
      <c r="AP45" s="126">
        <f t="shared" ca="1" si="4"/>
        <v>447</v>
      </c>
      <c r="AQ45" s="134">
        <f t="shared" ca="1" si="9"/>
        <v>364</v>
      </c>
      <c r="AR45" s="129"/>
      <c r="AS45" s="129" t="s">
        <v>3186</v>
      </c>
      <c r="AT45" s="129">
        <v>10.164999999999999</v>
      </c>
      <c r="AU45" s="129">
        <v>10.175000000000001</v>
      </c>
      <c r="AV45" s="129">
        <v>10.199999999999999</v>
      </c>
      <c r="AW45" s="129">
        <v>10.205</v>
      </c>
      <c r="AX45" s="126">
        <f t="shared" ca="1" si="7"/>
        <v>397</v>
      </c>
      <c r="BA45" s="99" t="s">
        <v>136</v>
      </c>
    </row>
    <row r="46" spans="1:61" s="99" customFormat="1" ht="21.75" customHeight="1" x14ac:dyDescent="0.35">
      <c r="A46" s="99">
        <v>421</v>
      </c>
      <c r="B46" s="126" t="str">
        <f t="shared" si="8"/>
        <v>0-304L/2B-002X770</v>
      </c>
      <c r="C46" s="294" t="s">
        <v>3601</v>
      </c>
      <c r="D46" s="126" t="s">
        <v>3026</v>
      </c>
      <c r="E46" s="126" t="s">
        <v>3216</v>
      </c>
      <c r="F46" s="143" t="s">
        <v>3611</v>
      </c>
      <c r="G46" s="126" t="s">
        <v>230</v>
      </c>
      <c r="H46" s="126" t="s">
        <v>116</v>
      </c>
      <c r="I46" s="127">
        <v>3.69</v>
      </c>
      <c r="J46" s="127">
        <v>1.5</v>
      </c>
      <c r="K46" s="127">
        <v>1.49</v>
      </c>
      <c r="L46" s="126">
        <v>1.51</v>
      </c>
      <c r="M46" s="295">
        <v>770</v>
      </c>
      <c r="N46" s="129">
        <v>12.125</v>
      </c>
      <c r="O46" s="296">
        <f>6.07+5.685</f>
        <v>11.754999999999999</v>
      </c>
      <c r="P46" s="297"/>
      <c r="Q46" s="129"/>
      <c r="R46" s="129"/>
      <c r="S46" s="298">
        <f t="shared" si="1"/>
        <v>0</v>
      </c>
      <c r="T46" s="129"/>
      <c r="U46" s="298">
        <f t="shared" si="2"/>
        <v>0</v>
      </c>
      <c r="V46" s="298"/>
      <c r="W46" s="295">
        <v>759</v>
      </c>
      <c r="X46" s="299" t="s">
        <v>116</v>
      </c>
      <c r="Y46" s="284" t="s">
        <v>3594</v>
      </c>
      <c r="Z46" s="282" t="s">
        <v>1143</v>
      </c>
      <c r="AA46" s="282"/>
      <c r="AB46" s="300"/>
      <c r="AC46" s="132">
        <v>44535</v>
      </c>
      <c r="AD46" s="132">
        <v>44535</v>
      </c>
      <c r="AE46" s="132">
        <v>44601</v>
      </c>
      <c r="AF46" s="132"/>
      <c r="AG46" s="132"/>
      <c r="AH46" s="133"/>
      <c r="AI46" s="126" t="s">
        <v>64</v>
      </c>
      <c r="AJ46" s="126" t="s">
        <v>154</v>
      </c>
      <c r="AK46" s="134" t="s">
        <v>1256</v>
      </c>
      <c r="AL46" s="134"/>
      <c r="AM46" s="134">
        <v>44496</v>
      </c>
      <c r="AN46" s="134"/>
      <c r="AO46" s="134">
        <f t="shared" ca="1" si="3"/>
        <v>44963</v>
      </c>
      <c r="AP46" s="126">
        <f t="shared" ca="1" si="4"/>
        <v>467</v>
      </c>
      <c r="AQ46" s="134">
        <f t="shared" ca="1" si="9"/>
        <v>362</v>
      </c>
      <c r="AR46" s="129"/>
      <c r="AS46" s="129" t="s">
        <v>3218</v>
      </c>
      <c r="AT46" s="129">
        <v>12.13</v>
      </c>
      <c r="AU46" s="129">
        <v>12.14</v>
      </c>
      <c r="AV46" s="129">
        <v>12.164999999999999</v>
      </c>
      <c r="AW46" s="129">
        <v>12.17</v>
      </c>
      <c r="AX46" s="126">
        <f t="shared" ca="1" si="7"/>
        <v>428</v>
      </c>
      <c r="BA46" s="99" t="s">
        <v>136</v>
      </c>
    </row>
    <row r="47" spans="1:61" s="99" customFormat="1" ht="21.75" customHeight="1" x14ac:dyDescent="0.35">
      <c r="A47" s="99">
        <v>422</v>
      </c>
      <c r="B47" s="126" t="str">
        <f t="shared" si="8"/>
        <v>0-304L/2B-001X776</v>
      </c>
      <c r="C47" s="294" t="s">
        <v>3612</v>
      </c>
      <c r="D47" s="126" t="s">
        <v>3026</v>
      </c>
      <c r="E47" s="126" t="s">
        <v>3248</v>
      </c>
      <c r="F47" s="143" t="s">
        <v>3613</v>
      </c>
      <c r="G47" s="126" t="s">
        <v>230</v>
      </c>
      <c r="H47" s="126" t="s">
        <v>116</v>
      </c>
      <c r="I47" s="127">
        <v>3.49</v>
      </c>
      <c r="J47" s="127">
        <v>1.22</v>
      </c>
      <c r="K47" s="127">
        <v>1.2</v>
      </c>
      <c r="L47" s="126">
        <v>1.24</v>
      </c>
      <c r="M47" s="295">
        <v>776</v>
      </c>
      <c r="N47" s="129">
        <v>10.29</v>
      </c>
      <c r="O47" s="296">
        <f>5.055+4.96</f>
        <v>10.015000000000001</v>
      </c>
      <c r="P47" s="297"/>
      <c r="Q47" s="129">
        <v>0.06</v>
      </c>
      <c r="R47" s="129"/>
      <c r="S47" s="298">
        <f t="shared" si="1"/>
        <v>0</v>
      </c>
      <c r="T47" s="129"/>
      <c r="U47" s="298">
        <f t="shared" si="2"/>
        <v>0</v>
      </c>
      <c r="V47" s="298"/>
      <c r="W47" s="295">
        <v>759</v>
      </c>
      <c r="X47" s="299" t="s">
        <v>116</v>
      </c>
      <c r="Y47" s="284" t="s">
        <v>3614</v>
      </c>
      <c r="Z47" s="282" t="s">
        <v>1143</v>
      </c>
      <c r="AA47" s="282"/>
      <c r="AB47" s="300"/>
      <c r="AC47" s="132">
        <v>44536</v>
      </c>
      <c r="AD47" s="132">
        <v>44537</v>
      </c>
      <c r="AE47" s="132">
        <v>44602</v>
      </c>
      <c r="AF47" s="132"/>
      <c r="AG47" s="132"/>
      <c r="AH47" s="133"/>
      <c r="AI47" s="126" t="s">
        <v>64</v>
      </c>
      <c r="AJ47" s="126" t="s">
        <v>154</v>
      </c>
      <c r="AK47" s="134" t="s">
        <v>1330</v>
      </c>
      <c r="AL47" s="134"/>
      <c r="AM47" s="134">
        <v>44516</v>
      </c>
      <c r="AN47" s="134"/>
      <c r="AO47" s="134">
        <f t="shared" ca="1" si="3"/>
        <v>44963</v>
      </c>
      <c r="AP47" s="126">
        <f t="shared" ca="1" si="4"/>
        <v>447</v>
      </c>
      <c r="AQ47" s="134">
        <f t="shared" ca="1" si="9"/>
        <v>361</v>
      </c>
      <c r="AR47" s="129"/>
      <c r="AS47" s="129" t="s">
        <v>3250</v>
      </c>
      <c r="AT47" s="129">
        <v>10.32</v>
      </c>
      <c r="AU47" s="129">
        <v>10.33</v>
      </c>
      <c r="AV47" s="129">
        <v>10.354999999999999</v>
      </c>
      <c r="AW47" s="129">
        <v>10.36</v>
      </c>
      <c r="AX47" s="126">
        <f t="shared" ca="1" si="7"/>
        <v>426</v>
      </c>
      <c r="BA47" s="99" t="s">
        <v>136</v>
      </c>
    </row>
    <row r="48" spans="1:61" s="99" customFormat="1" ht="21.75" customHeight="1" x14ac:dyDescent="0.35">
      <c r="A48" s="99">
        <v>422</v>
      </c>
      <c r="B48" s="126" t="str">
        <f t="shared" si="8"/>
        <v>0-304L/2B-001X774</v>
      </c>
      <c r="C48" s="294" t="s">
        <v>3612</v>
      </c>
      <c r="D48" s="126" t="s">
        <v>3026</v>
      </c>
      <c r="E48" s="126" t="s">
        <v>3254</v>
      </c>
      <c r="F48" s="143" t="s">
        <v>3615</v>
      </c>
      <c r="G48" s="126" t="s">
        <v>230</v>
      </c>
      <c r="H48" s="126" t="s">
        <v>116</v>
      </c>
      <c r="I48" s="127">
        <v>3.78</v>
      </c>
      <c r="J48" s="127">
        <v>1.22</v>
      </c>
      <c r="K48" s="127">
        <v>1.21</v>
      </c>
      <c r="L48" s="126">
        <v>1.23</v>
      </c>
      <c r="M48" s="295">
        <v>774</v>
      </c>
      <c r="N48" s="129">
        <v>11.91</v>
      </c>
      <c r="O48" s="296">
        <f>5.055+6.555</f>
        <v>11.61</v>
      </c>
      <c r="P48" s="297"/>
      <c r="Q48" s="129">
        <v>9.5000000000000001E-2</v>
      </c>
      <c r="R48" s="129"/>
      <c r="S48" s="298">
        <f t="shared" si="1"/>
        <v>0</v>
      </c>
      <c r="T48" s="129"/>
      <c r="U48" s="298">
        <f t="shared" si="2"/>
        <v>0</v>
      </c>
      <c r="V48" s="298"/>
      <c r="W48" s="295">
        <v>759</v>
      </c>
      <c r="X48" s="299" t="s">
        <v>116</v>
      </c>
      <c r="Y48" s="284" t="s">
        <v>3614</v>
      </c>
      <c r="Z48" s="282" t="s">
        <v>1143</v>
      </c>
      <c r="AA48" s="282"/>
      <c r="AB48" s="300"/>
      <c r="AC48" s="132">
        <v>44537</v>
      </c>
      <c r="AD48" s="132">
        <v>44538</v>
      </c>
      <c r="AE48" s="132">
        <v>44603</v>
      </c>
      <c r="AF48" s="132"/>
      <c r="AG48" s="132"/>
      <c r="AH48" s="133"/>
      <c r="AI48" s="126" t="s">
        <v>64</v>
      </c>
      <c r="AJ48" s="126" t="s">
        <v>154</v>
      </c>
      <c r="AK48" s="134" t="s">
        <v>1330</v>
      </c>
      <c r="AL48" s="134"/>
      <c r="AM48" s="134">
        <v>44516</v>
      </c>
      <c r="AN48" s="134"/>
      <c r="AO48" s="134">
        <f t="shared" ca="1" si="3"/>
        <v>44963</v>
      </c>
      <c r="AP48" s="126">
        <f t="shared" ca="1" si="4"/>
        <v>447</v>
      </c>
      <c r="AQ48" s="134">
        <f t="shared" ca="1" si="9"/>
        <v>360</v>
      </c>
      <c r="AR48" s="129"/>
      <c r="AS48" s="129" t="s">
        <v>3256</v>
      </c>
      <c r="AT48" s="129">
        <v>11.93</v>
      </c>
      <c r="AU48" s="129">
        <v>11.94</v>
      </c>
      <c r="AV48" s="129">
        <v>11.964999999999998</v>
      </c>
      <c r="AW48" s="129">
        <v>11.969999999999999</v>
      </c>
      <c r="AX48" s="126">
        <f t="shared" ca="1" si="7"/>
        <v>425</v>
      </c>
      <c r="BA48" s="99" t="s">
        <v>136</v>
      </c>
    </row>
    <row r="49" spans="1:53" s="99" customFormat="1" ht="21.75" customHeight="1" x14ac:dyDescent="0.35">
      <c r="A49" s="99">
        <v>389</v>
      </c>
      <c r="B49" s="126" t="str">
        <f t="shared" si="8"/>
        <v>0-J3/2B-001X595</v>
      </c>
      <c r="C49" s="294" t="s">
        <v>3612</v>
      </c>
      <c r="D49" s="126" t="s">
        <v>3026</v>
      </c>
      <c r="E49" s="126" t="s">
        <v>3155</v>
      </c>
      <c r="F49" s="143" t="s">
        <v>3616</v>
      </c>
      <c r="G49" s="126" t="s">
        <v>29</v>
      </c>
      <c r="H49" s="126" t="s">
        <v>116</v>
      </c>
      <c r="I49" s="127">
        <v>2.4</v>
      </c>
      <c r="J49" s="127">
        <v>0.92</v>
      </c>
      <c r="K49" s="127">
        <v>0.9</v>
      </c>
      <c r="L49" s="126">
        <v>0.93</v>
      </c>
      <c r="M49" s="295">
        <v>595</v>
      </c>
      <c r="N49" s="129">
        <v>8.2200000000000006</v>
      </c>
      <c r="O49" s="296">
        <f>3.41+4.64</f>
        <v>8.0500000000000007</v>
      </c>
      <c r="P49" s="297"/>
      <c r="Q49" s="129"/>
      <c r="R49" s="129">
        <v>0.05</v>
      </c>
      <c r="S49" s="298">
        <f t="shared" si="1"/>
        <v>6.0827250608272501E-3</v>
      </c>
      <c r="T49" s="129">
        <v>0.12</v>
      </c>
      <c r="U49" s="298">
        <f t="shared" si="2"/>
        <v>1.4598540145985399E-2</v>
      </c>
      <c r="V49" s="298"/>
      <c r="W49" s="295" t="s">
        <v>3598</v>
      </c>
      <c r="X49" s="299" t="s">
        <v>116</v>
      </c>
      <c r="Y49" s="284" t="s">
        <v>3617</v>
      </c>
      <c r="Z49" s="282" t="s">
        <v>446</v>
      </c>
      <c r="AA49" s="282"/>
      <c r="AB49" s="300"/>
      <c r="AC49" s="132">
        <v>44572</v>
      </c>
      <c r="AD49" s="132">
        <v>44572</v>
      </c>
      <c r="AE49" s="132">
        <v>44598</v>
      </c>
      <c r="AF49" s="132"/>
      <c r="AG49" s="132"/>
      <c r="AH49" s="133"/>
      <c r="AI49" s="126" t="s">
        <v>64</v>
      </c>
      <c r="AJ49" s="126" t="s">
        <v>132</v>
      </c>
      <c r="AK49" s="134" t="s">
        <v>580</v>
      </c>
      <c r="AL49" s="134">
        <v>44303</v>
      </c>
      <c r="AM49" s="134">
        <v>44327</v>
      </c>
      <c r="AN49" s="134"/>
      <c r="AO49" s="134">
        <f t="shared" ca="1" si="3"/>
        <v>44963</v>
      </c>
      <c r="AP49" s="126">
        <f t="shared" ca="1" si="4"/>
        <v>636</v>
      </c>
      <c r="AQ49" s="134">
        <f t="shared" ca="1" si="9"/>
        <v>365</v>
      </c>
      <c r="AR49" s="129" t="s">
        <v>3157</v>
      </c>
      <c r="AS49" s="129" t="s">
        <v>3158</v>
      </c>
      <c r="AT49" s="129">
        <v>8.2550000000000008</v>
      </c>
      <c r="AU49" s="129">
        <v>8.2700000000000014</v>
      </c>
      <c r="AV49" s="129">
        <v>8.2949999999999999</v>
      </c>
      <c r="AW49" s="129">
        <v>8.3000000000000007</v>
      </c>
      <c r="AX49" s="126">
        <f t="shared" ca="1" si="7"/>
        <v>391</v>
      </c>
      <c r="BA49" s="99" t="s">
        <v>136</v>
      </c>
    </row>
    <row r="50" spans="1:53" s="99" customFormat="1" ht="21.75" customHeight="1" x14ac:dyDescent="0.35">
      <c r="A50" s="99">
        <v>395</v>
      </c>
      <c r="B50" s="126" t="str">
        <f t="shared" si="8"/>
        <v>0-J3/2B-001X600</v>
      </c>
      <c r="C50" s="294" t="s">
        <v>3612</v>
      </c>
      <c r="D50" s="126" t="s">
        <v>3026</v>
      </c>
      <c r="E50" s="126" t="s">
        <v>3144</v>
      </c>
      <c r="F50" s="143" t="s">
        <v>3618</v>
      </c>
      <c r="G50" s="126" t="s">
        <v>29</v>
      </c>
      <c r="H50" s="126" t="s">
        <v>116</v>
      </c>
      <c r="I50" s="127">
        <v>2.2000000000000002</v>
      </c>
      <c r="J50" s="127">
        <v>0.73</v>
      </c>
      <c r="K50" s="127">
        <v>0.71</v>
      </c>
      <c r="L50" s="126">
        <v>0.74</v>
      </c>
      <c r="M50" s="295">
        <v>600</v>
      </c>
      <c r="N50" s="129">
        <v>9.6150000000000002</v>
      </c>
      <c r="O50" s="296">
        <f>4.8+4.675</f>
        <v>9.4749999999999996</v>
      </c>
      <c r="P50" s="297"/>
      <c r="Q50" s="129">
        <v>5.5E-2</v>
      </c>
      <c r="R50" s="129"/>
      <c r="S50" s="298">
        <f t="shared" si="1"/>
        <v>0</v>
      </c>
      <c r="T50" s="129">
        <v>8.5000000000000006E-2</v>
      </c>
      <c r="U50" s="298">
        <f t="shared" si="2"/>
        <v>8.8403536141445655E-3</v>
      </c>
      <c r="V50" s="298"/>
      <c r="W50" s="295" t="s">
        <v>3598</v>
      </c>
      <c r="X50" s="299" t="s">
        <v>116</v>
      </c>
      <c r="Y50" s="284" t="s">
        <v>3617</v>
      </c>
      <c r="Z50" s="282" t="s">
        <v>446</v>
      </c>
      <c r="AA50" s="282"/>
      <c r="AB50" s="300"/>
      <c r="AC50" s="132">
        <v>44572</v>
      </c>
      <c r="AD50" s="132">
        <v>44573</v>
      </c>
      <c r="AE50" s="132">
        <v>44598</v>
      </c>
      <c r="AF50" s="132"/>
      <c r="AG50" s="132"/>
      <c r="AH50" s="133"/>
      <c r="AI50" s="126" t="s">
        <v>64</v>
      </c>
      <c r="AJ50" s="126" t="s">
        <v>468</v>
      </c>
      <c r="AK50" s="134"/>
      <c r="AL50" s="134"/>
      <c r="AM50" s="134">
        <v>44370</v>
      </c>
      <c r="AN50" s="134"/>
      <c r="AO50" s="134">
        <f t="shared" ca="1" si="3"/>
        <v>44963</v>
      </c>
      <c r="AP50" s="126">
        <f t="shared" ca="1" si="4"/>
        <v>593</v>
      </c>
      <c r="AQ50" s="134">
        <f t="shared" ca="1" si="9"/>
        <v>365</v>
      </c>
      <c r="AR50" s="129" t="s">
        <v>3146</v>
      </c>
      <c r="AS50" s="129" t="s">
        <v>3147</v>
      </c>
      <c r="AT50" s="129">
        <v>9.6419999999999995</v>
      </c>
      <c r="AU50" s="129">
        <v>9.6819999999999986</v>
      </c>
      <c r="AV50" s="129">
        <v>9.7069999999999972</v>
      </c>
      <c r="AW50" s="129">
        <v>9.711999999999998</v>
      </c>
      <c r="AX50" s="126">
        <f t="shared" ca="1" si="7"/>
        <v>390</v>
      </c>
      <c r="BA50" s="99" t="s">
        <v>136</v>
      </c>
    </row>
    <row r="51" spans="1:53" s="99" customFormat="1" ht="21.75" customHeight="1" x14ac:dyDescent="0.35">
      <c r="A51" s="99">
        <v>397</v>
      </c>
      <c r="B51" s="126" t="str">
        <f t="shared" si="8"/>
        <v>0-J3/2B-001X595</v>
      </c>
      <c r="C51" s="294" t="s">
        <v>3612</v>
      </c>
      <c r="D51" s="126" t="s">
        <v>3026</v>
      </c>
      <c r="E51" s="126" t="s">
        <v>3170</v>
      </c>
      <c r="F51" s="143" t="s">
        <v>3619</v>
      </c>
      <c r="G51" s="126" t="s">
        <v>29</v>
      </c>
      <c r="H51" s="126" t="s">
        <v>116</v>
      </c>
      <c r="I51" s="127">
        <v>2.2000000000000002</v>
      </c>
      <c r="J51" s="127">
        <v>0.73</v>
      </c>
      <c r="K51" s="127">
        <v>0.72</v>
      </c>
      <c r="L51" s="126">
        <v>0.74</v>
      </c>
      <c r="M51" s="295">
        <v>595</v>
      </c>
      <c r="N51" s="129">
        <v>8.1950000000000003</v>
      </c>
      <c r="O51" s="296">
        <f>4.04+3.895</f>
        <v>7.9350000000000005</v>
      </c>
      <c r="P51" s="297"/>
      <c r="Q51" s="129"/>
      <c r="R51" s="129">
        <v>0.05</v>
      </c>
      <c r="S51" s="298">
        <f t="shared" si="1"/>
        <v>6.1012812690665044E-3</v>
      </c>
      <c r="T51" s="129">
        <v>0.21</v>
      </c>
      <c r="U51" s="298">
        <f t="shared" si="2"/>
        <v>2.5625381330079314E-2</v>
      </c>
      <c r="V51" s="298"/>
      <c r="W51" s="295" t="s">
        <v>3598</v>
      </c>
      <c r="X51" s="299" t="s">
        <v>116</v>
      </c>
      <c r="Y51" s="284" t="s">
        <v>3617</v>
      </c>
      <c r="Z51" s="282" t="s">
        <v>446</v>
      </c>
      <c r="AA51" s="282" t="s">
        <v>291</v>
      </c>
      <c r="AB51" s="300"/>
      <c r="AC51" s="132">
        <v>44431</v>
      </c>
      <c r="AD51" s="132">
        <v>44431</v>
      </c>
      <c r="AE51" s="132">
        <v>44599</v>
      </c>
      <c r="AF51" s="132"/>
      <c r="AG51" s="132"/>
      <c r="AH51" s="133"/>
      <c r="AI51" s="126" t="s">
        <v>64</v>
      </c>
      <c r="AJ51" s="126" t="s">
        <v>468</v>
      </c>
      <c r="AK51" s="134"/>
      <c r="AL51" s="134"/>
      <c r="AM51" s="134">
        <v>44373</v>
      </c>
      <c r="AN51" s="134"/>
      <c r="AO51" s="134">
        <f t="shared" ca="1" si="3"/>
        <v>44963</v>
      </c>
      <c r="AP51" s="126">
        <f t="shared" ca="1" si="4"/>
        <v>590</v>
      </c>
      <c r="AQ51" s="134">
        <f t="shared" ca="1" si="9"/>
        <v>364</v>
      </c>
      <c r="AR51" s="129" t="s">
        <v>3172</v>
      </c>
      <c r="AS51" s="129" t="s">
        <v>722</v>
      </c>
      <c r="AT51" s="129">
        <v>8.2390000000000008</v>
      </c>
      <c r="AU51" s="129">
        <v>8.2789999999999999</v>
      </c>
      <c r="AV51" s="129">
        <v>8.3039999999999985</v>
      </c>
      <c r="AW51" s="129">
        <v>8.3089999999999993</v>
      </c>
      <c r="AX51" s="126">
        <f t="shared" ca="1" si="7"/>
        <v>532</v>
      </c>
      <c r="BA51" s="99" t="s">
        <v>136</v>
      </c>
    </row>
    <row r="52" spans="1:53" s="99" customFormat="1" ht="21.75" customHeight="1" x14ac:dyDescent="0.35">
      <c r="A52" s="99">
        <v>389</v>
      </c>
      <c r="B52" s="126" t="str">
        <f t="shared" si="8"/>
        <v>0-J3/2B-001X595</v>
      </c>
      <c r="C52" s="294" t="s">
        <v>3620</v>
      </c>
      <c r="D52" s="126" t="s">
        <v>3026</v>
      </c>
      <c r="E52" s="126" t="s">
        <v>3148</v>
      </c>
      <c r="F52" s="143" t="s">
        <v>3621</v>
      </c>
      <c r="G52" s="126" t="s">
        <v>29</v>
      </c>
      <c r="H52" s="126" t="s">
        <v>116</v>
      </c>
      <c r="I52" s="127">
        <v>2.2000000000000002</v>
      </c>
      <c r="J52" s="127">
        <v>0.73</v>
      </c>
      <c r="K52" s="127">
        <v>0.71</v>
      </c>
      <c r="L52" s="126">
        <v>0.73</v>
      </c>
      <c r="M52" s="295">
        <v>595</v>
      </c>
      <c r="N52" s="129">
        <v>8.2249999999999996</v>
      </c>
      <c r="O52" s="296">
        <f>4.04+3.925</f>
        <v>7.9649999999999999</v>
      </c>
      <c r="P52" s="297"/>
      <c r="Q52" s="129">
        <v>3.5000000000000003E-2</v>
      </c>
      <c r="R52" s="129"/>
      <c r="S52" s="298">
        <f t="shared" si="1"/>
        <v>0</v>
      </c>
      <c r="T52" s="129"/>
      <c r="U52" s="298">
        <f t="shared" si="2"/>
        <v>0</v>
      </c>
      <c r="V52" s="298"/>
      <c r="W52" s="295" t="s">
        <v>3598</v>
      </c>
      <c r="X52" s="299" t="s">
        <v>116</v>
      </c>
      <c r="Y52" s="284" t="s">
        <v>3617</v>
      </c>
      <c r="Z52" s="282" t="s">
        <v>446</v>
      </c>
      <c r="AA52" s="282" t="s">
        <v>291</v>
      </c>
      <c r="AB52" s="300"/>
      <c r="AC52" s="132">
        <v>44431</v>
      </c>
      <c r="AD52" s="132">
        <v>44431</v>
      </c>
      <c r="AE52" s="132">
        <v>44598</v>
      </c>
      <c r="AF52" s="132"/>
      <c r="AG52" s="132"/>
      <c r="AH52" s="133"/>
      <c r="AI52" s="126" t="s">
        <v>64</v>
      </c>
      <c r="AJ52" s="126" t="s">
        <v>132</v>
      </c>
      <c r="AK52" s="134" t="s">
        <v>580</v>
      </c>
      <c r="AL52" s="134">
        <v>44303</v>
      </c>
      <c r="AM52" s="134">
        <v>44327</v>
      </c>
      <c r="AN52" s="134"/>
      <c r="AO52" s="134">
        <f t="shared" ca="1" si="3"/>
        <v>44963</v>
      </c>
      <c r="AP52" s="126">
        <f t="shared" ca="1" si="4"/>
        <v>636</v>
      </c>
      <c r="AQ52" s="134">
        <f t="shared" ca="1" si="9"/>
        <v>365</v>
      </c>
      <c r="AR52" s="129" t="s">
        <v>3150</v>
      </c>
      <c r="AS52" s="129" t="s">
        <v>3151</v>
      </c>
      <c r="AT52" s="129">
        <v>8.2530000000000001</v>
      </c>
      <c r="AU52" s="129">
        <v>8.2680000000000007</v>
      </c>
      <c r="AV52" s="129">
        <v>8.2929999999999993</v>
      </c>
      <c r="AW52" s="129">
        <v>8.298</v>
      </c>
      <c r="AX52" s="126">
        <f t="shared" ca="1" si="7"/>
        <v>532</v>
      </c>
      <c r="BA52" s="99" t="s">
        <v>136</v>
      </c>
    </row>
    <row r="53" spans="1:53" s="99" customFormat="1" ht="21.75" customHeight="1" x14ac:dyDescent="0.35">
      <c r="A53" s="99">
        <v>422</v>
      </c>
      <c r="B53" s="126" t="str">
        <f t="shared" si="8"/>
        <v>0-304L/2B-002X773</v>
      </c>
      <c r="C53" s="294" t="s">
        <v>3620</v>
      </c>
      <c r="D53" s="126" t="s">
        <v>3026</v>
      </c>
      <c r="E53" s="126" t="s">
        <v>3231</v>
      </c>
      <c r="F53" s="143" t="s">
        <v>3622</v>
      </c>
      <c r="G53" s="126" t="s">
        <v>230</v>
      </c>
      <c r="H53" s="126" t="s">
        <v>116</v>
      </c>
      <c r="I53" s="127">
        <v>3.78</v>
      </c>
      <c r="J53" s="127">
        <v>1.5</v>
      </c>
      <c r="K53" s="127">
        <v>1.51</v>
      </c>
      <c r="L53" s="126">
        <v>1.53</v>
      </c>
      <c r="M53" s="295">
        <v>773</v>
      </c>
      <c r="N53" s="129">
        <v>10.515000000000001</v>
      </c>
      <c r="O53" s="296">
        <f>5.015+5.285</f>
        <v>10.3</v>
      </c>
      <c r="P53" s="297"/>
      <c r="Q53" s="129"/>
      <c r="R53" s="129"/>
      <c r="S53" s="298">
        <f t="shared" si="1"/>
        <v>0</v>
      </c>
      <c r="T53" s="129"/>
      <c r="U53" s="298">
        <f t="shared" si="2"/>
        <v>0</v>
      </c>
      <c r="V53" s="298"/>
      <c r="W53" s="295">
        <v>759</v>
      </c>
      <c r="X53" s="299" t="s">
        <v>116</v>
      </c>
      <c r="Y53" s="284" t="s">
        <v>3594</v>
      </c>
      <c r="Z53" s="282" t="s">
        <v>1143</v>
      </c>
      <c r="AA53" s="282"/>
      <c r="AB53" s="300"/>
      <c r="AC53" s="132">
        <v>44536</v>
      </c>
      <c r="AD53" s="132">
        <v>44536</v>
      </c>
      <c r="AE53" s="132">
        <v>44602</v>
      </c>
      <c r="AF53" s="132"/>
      <c r="AG53" s="132"/>
      <c r="AH53" s="133"/>
      <c r="AI53" s="126" t="s">
        <v>64</v>
      </c>
      <c r="AJ53" s="126" t="s">
        <v>154</v>
      </c>
      <c r="AK53" s="134" t="s">
        <v>1296</v>
      </c>
      <c r="AL53" s="134"/>
      <c r="AM53" s="134">
        <v>44516</v>
      </c>
      <c r="AN53" s="134"/>
      <c r="AO53" s="134">
        <f t="shared" ca="1" si="3"/>
        <v>44963</v>
      </c>
      <c r="AP53" s="126">
        <f t="shared" ca="1" si="4"/>
        <v>447</v>
      </c>
      <c r="AQ53" s="134">
        <f t="shared" ca="1" si="9"/>
        <v>361</v>
      </c>
      <c r="AR53" s="129"/>
      <c r="AS53" s="129" t="s">
        <v>3233</v>
      </c>
      <c r="AT53" s="129">
        <v>10.525</v>
      </c>
      <c r="AU53" s="129">
        <v>10.535</v>
      </c>
      <c r="AV53" s="129">
        <v>10.559999999999999</v>
      </c>
      <c r="AW53" s="129">
        <v>10.565</v>
      </c>
      <c r="AX53" s="126">
        <f t="shared" ca="1" si="7"/>
        <v>427</v>
      </c>
      <c r="BA53" s="99" t="s">
        <v>136</v>
      </c>
    </row>
    <row r="54" spans="1:53" s="99" customFormat="1" ht="21.75" customHeight="1" x14ac:dyDescent="0.35">
      <c r="A54" s="99">
        <v>422</v>
      </c>
      <c r="B54" s="126" t="str">
        <f t="shared" si="8"/>
        <v>0-304L/2B-002X776</v>
      </c>
      <c r="C54" s="294" t="s">
        <v>3620</v>
      </c>
      <c r="D54" s="126" t="s">
        <v>3026</v>
      </c>
      <c r="E54" s="126" t="s">
        <v>3228</v>
      </c>
      <c r="F54" s="143" t="s">
        <v>3623</v>
      </c>
      <c r="G54" s="126" t="s">
        <v>230</v>
      </c>
      <c r="H54" s="126" t="s">
        <v>116</v>
      </c>
      <c r="I54" s="127">
        <v>3.8</v>
      </c>
      <c r="J54" s="127">
        <v>1.5</v>
      </c>
      <c r="K54" s="127">
        <v>1.48</v>
      </c>
      <c r="L54" s="126">
        <v>1.5</v>
      </c>
      <c r="M54" s="295">
        <v>776</v>
      </c>
      <c r="N54" s="129">
        <v>10.515000000000001</v>
      </c>
      <c r="O54" s="296">
        <f>5.005+5.245</f>
        <v>10.25</v>
      </c>
      <c r="P54" s="297"/>
      <c r="Q54" s="129"/>
      <c r="R54" s="129">
        <v>0.06</v>
      </c>
      <c r="S54" s="298">
        <f t="shared" si="1"/>
        <v>5.7061340941512119E-3</v>
      </c>
      <c r="T54" s="129">
        <v>0.2</v>
      </c>
      <c r="U54" s="298">
        <f t="shared" si="2"/>
        <v>1.9020446980504042E-2</v>
      </c>
      <c r="V54" s="298"/>
      <c r="W54" s="295">
        <v>759</v>
      </c>
      <c r="X54" s="299" t="s">
        <v>116</v>
      </c>
      <c r="Y54" s="284" t="s">
        <v>3594</v>
      </c>
      <c r="Z54" s="282" t="s">
        <v>1143</v>
      </c>
      <c r="AA54" s="282"/>
      <c r="AB54" s="300"/>
      <c r="AC54" s="132">
        <v>44536</v>
      </c>
      <c r="AD54" s="132">
        <v>44536</v>
      </c>
      <c r="AE54" s="132">
        <v>44602</v>
      </c>
      <c r="AF54" s="132"/>
      <c r="AG54" s="132"/>
      <c r="AH54" s="133"/>
      <c r="AI54" s="126" t="s">
        <v>64</v>
      </c>
      <c r="AJ54" s="126" t="s">
        <v>154</v>
      </c>
      <c r="AK54" s="134" t="s">
        <v>1330</v>
      </c>
      <c r="AL54" s="134"/>
      <c r="AM54" s="134">
        <v>44516</v>
      </c>
      <c r="AN54" s="134"/>
      <c r="AO54" s="134">
        <f t="shared" ca="1" si="3"/>
        <v>44963</v>
      </c>
      <c r="AP54" s="126">
        <f t="shared" ca="1" si="4"/>
        <v>447</v>
      </c>
      <c r="AQ54" s="134">
        <f t="shared" ca="1" si="9"/>
        <v>361</v>
      </c>
      <c r="AR54" s="129"/>
      <c r="AS54" s="129" t="s">
        <v>3230</v>
      </c>
      <c r="AT54" s="129">
        <v>10.525</v>
      </c>
      <c r="AU54" s="129">
        <v>10.535</v>
      </c>
      <c r="AV54" s="129">
        <v>10.559999999999999</v>
      </c>
      <c r="AW54" s="129">
        <v>10.565</v>
      </c>
      <c r="AX54" s="126">
        <f t="shared" ca="1" si="7"/>
        <v>427</v>
      </c>
      <c r="BA54" s="99" t="s">
        <v>136</v>
      </c>
    </row>
    <row r="55" spans="1:53" s="99" customFormat="1" ht="21.75" customHeight="1" x14ac:dyDescent="0.35">
      <c r="A55" s="99">
        <v>422</v>
      </c>
      <c r="B55" s="126" t="str">
        <f t="shared" si="8"/>
        <v>0-304L/2B-002X773</v>
      </c>
      <c r="C55" s="294" t="s">
        <v>3620</v>
      </c>
      <c r="D55" s="126" t="s">
        <v>3026</v>
      </c>
      <c r="E55" s="126" t="s">
        <v>3225</v>
      </c>
      <c r="F55" s="143" t="s">
        <v>3624</v>
      </c>
      <c r="G55" s="126" t="s">
        <v>230</v>
      </c>
      <c r="H55" s="126" t="s">
        <v>116</v>
      </c>
      <c r="I55" s="127">
        <v>3.98</v>
      </c>
      <c r="J55" s="127">
        <v>1.5</v>
      </c>
      <c r="K55" s="127">
        <v>1.49</v>
      </c>
      <c r="L55" s="126">
        <v>1.51</v>
      </c>
      <c r="M55" s="295">
        <v>773</v>
      </c>
      <c r="N55" s="129">
        <v>11.984999999999999</v>
      </c>
      <c r="O55" s="296">
        <f>5.135+6.565</f>
        <v>11.7</v>
      </c>
      <c r="P55" s="297"/>
      <c r="Q55" s="129"/>
      <c r="R55" s="129">
        <v>0.05</v>
      </c>
      <c r="S55" s="298">
        <f t="shared" si="1"/>
        <v>4.171881518564873E-3</v>
      </c>
      <c r="T55" s="129">
        <v>0.23</v>
      </c>
      <c r="U55" s="298">
        <f t="shared" si="2"/>
        <v>1.9190654985398417E-2</v>
      </c>
      <c r="V55" s="298"/>
      <c r="W55" s="295">
        <v>759</v>
      </c>
      <c r="X55" s="299" t="s">
        <v>116</v>
      </c>
      <c r="Y55" s="284" t="s">
        <v>3594</v>
      </c>
      <c r="Z55" s="282" t="s">
        <v>1143</v>
      </c>
      <c r="AA55" s="282"/>
      <c r="AB55" s="300"/>
      <c r="AC55" s="132">
        <v>44535</v>
      </c>
      <c r="AD55" s="132">
        <v>44535</v>
      </c>
      <c r="AE55" s="132">
        <v>44602</v>
      </c>
      <c r="AF55" s="132"/>
      <c r="AG55" s="132"/>
      <c r="AH55" s="133"/>
      <c r="AI55" s="126" t="s">
        <v>64</v>
      </c>
      <c r="AJ55" s="126" t="s">
        <v>154</v>
      </c>
      <c r="AK55" s="134" t="s">
        <v>1330</v>
      </c>
      <c r="AL55" s="134"/>
      <c r="AM55" s="134">
        <v>44516</v>
      </c>
      <c r="AN55" s="134"/>
      <c r="AO55" s="134">
        <f t="shared" ca="1" si="3"/>
        <v>44963</v>
      </c>
      <c r="AP55" s="126">
        <f t="shared" ca="1" si="4"/>
        <v>447</v>
      </c>
      <c r="AQ55" s="134">
        <f t="shared" ca="1" si="9"/>
        <v>361</v>
      </c>
      <c r="AR55" s="129"/>
      <c r="AS55" s="129" t="s">
        <v>3227</v>
      </c>
      <c r="AT55" s="129">
        <v>12.005000000000001</v>
      </c>
      <c r="AU55" s="129">
        <v>12.015000000000001</v>
      </c>
      <c r="AV55" s="129">
        <v>12.04</v>
      </c>
      <c r="AW55" s="129">
        <v>12.045</v>
      </c>
      <c r="AX55" s="126">
        <f t="shared" ca="1" si="7"/>
        <v>428</v>
      </c>
      <c r="BA55" s="99" t="s">
        <v>136</v>
      </c>
    </row>
    <row r="56" spans="1:53" s="99" customFormat="1" ht="21.75" customHeight="1" x14ac:dyDescent="0.35">
      <c r="A56" s="99">
        <v>422</v>
      </c>
      <c r="B56" s="126" t="str">
        <f t="shared" si="8"/>
        <v>0-304L/2B-002X777</v>
      </c>
      <c r="C56" s="294" t="s">
        <v>3620</v>
      </c>
      <c r="D56" s="126" t="s">
        <v>3026</v>
      </c>
      <c r="E56" s="126" t="s">
        <v>3209</v>
      </c>
      <c r="F56" s="143" t="s">
        <v>3625</v>
      </c>
      <c r="G56" s="126" t="s">
        <v>230</v>
      </c>
      <c r="H56" s="126" t="s">
        <v>116</v>
      </c>
      <c r="I56" s="127">
        <v>3.99</v>
      </c>
      <c r="J56" s="127">
        <v>1.5</v>
      </c>
      <c r="K56" s="127">
        <v>1.45</v>
      </c>
      <c r="L56" s="126">
        <v>1.48</v>
      </c>
      <c r="M56" s="295">
        <v>777</v>
      </c>
      <c r="N56" s="129">
        <v>12.04</v>
      </c>
      <c r="O56" s="296">
        <f>4.965+6.755</f>
        <v>11.719999999999999</v>
      </c>
      <c r="P56" s="297"/>
      <c r="Q56" s="129">
        <v>6.5000000000000002E-2</v>
      </c>
      <c r="R56" s="129">
        <v>0.01</v>
      </c>
      <c r="S56" s="298">
        <f t="shared" si="1"/>
        <v>8.3056478405315627E-4</v>
      </c>
      <c r="T56" s="129">
        <v>0.28999999999999998</v>
      </c>
      <c r="U56" s="298">
        <f t="shared" si="2"/>
        <v>2.408637873754153E-2</v>
      </c>
      <c r="V56" s="298"/>
      <c r="W56" s="295">
        <v>759</v>
      </c>
      <c r="X56" s="299" t="s">
        <v>116</v>
      </c>
      <c r="Y56" s="284" t="s">
        <v>3594</v>
      </c>
      <c r="Z56" s="282" t="s">
        <v>1143</v>
      </c>
      <c r="AA56" s="282"/>
      <c r="AB56" s="300"/>
      <c r="AC56" s="132">
        <v>44536</v>
      </c>
      <c r="AD56" s="132">
        <v>44536</v>
      </c>
      <c r="AE56" s="132">
        <v>44601</v>
      </c>
      <c r="AF56" s="132"/>
      <c r="AG56" s="132"/>
      <c r="AH56" s="133"/>
      <c r="AI56" s="126" t="s">
        <v>64</v>
      </c>
      <c r="AJ56" s="126" t="s">
        <v>154</v>
      </c>
      <c r="AK56" s="134" t="s">
        <v>1330</v>
      </c>
      <c r="AL56" s="134"/>
      <c r="AM56" s="134">
        <v>44516</v>
      </c>
      <c r="AN56" s="134"/>
      <c r="AO56" s="134">
        <f t="shared" ca="1" si="3"/>
        <v>44963</v>
      </c>
      <c r="AP56" s="126">
        <f t="shared" ca="1" si="4"/>
        <v>447</v>
      </c>
      <c r="AQ56" s="134">
        <f t="shared" ca="1" si="9"/>
        <v>362</v>
      </c>
      <c r="AR56" s="129"/>
      <c r="AS56" s="129" t="s">
        <v>3211</v>
      </c>
      <c r="AT56" s="129">
        <v>12.05</v>
      </c>
      <c r="AU56" s="129">
        <v>12.06</v>
      </c>
      <c r="AV56" s="129">
        <v>12.084999999999999</v>
      </c>
      <c r="AW56" s="129">
        <v>12.09</v>
      </c>
      <c r="AX56" s="126">
        <f t="shared" ca="1" si="7"/>
        <v>427</v>
      </c>
      <c r="BA56" s="99" t="s">
        <v>136</v>
      </c>
    </row>
    <row r="57" spans="1:53" s="99" customFormat="1" ht="21.75" customHeight="1" x14ac:dyDescent="0.35">
      <c r="A57" s="99">
        <v>422</v>
      </c>
      <c r="B57" s="126" t="str">
        <f t="shared" si="8"/>
        <v>0-304L/2B-002X773</v>
      </c>
      <c r="C57" s="294" t="s">
        <v>3626</v>
      </c>
      <c r="D57" s="126" t="s">
        <v>3026</v>
      </c>
      <c r="E57" s="126" t="s">
        <v>3221</v>
      </c>
      <c r="F57" s="143" t="s">
        <v>3627</v>
      </c>
      <c r="G57" s="126" t="s">
        <v>230</v>
      </c>
      <c r="H57" s="126" t="s">
        <v>116</v>
      </c>
      <c r="I57" s="127">
        <v>3.79</v>
      </c>
      <c r="J57" s="127">
        <v>1.5</v>
      </c>
      <c r="K57" s="127">
        <v>1.49</v>
      </c>
      <c r="L57" s="126">
        <v>1.51</v>
      </c>
      <c r="M57" s="295">
        <v>773</v>
      </c>
      <c r="N57" s="129">
        <v>10.385</v>
      </c>
      <c r="O57" s="296">
        <f>5.015+5</f>
        <v>10.015000000000001</v>
      </c>
      <c r="P57" s="297"/>
      <c r="Q57" s="129">
        <v>0.18</v>
      </c>
      <c r="R57" s="129"/>
      <c r="S57" s="298">
        <f t="shared" si="1"/>
        <v>0</v>
      </c>
      <c r="T57" s="129">
        <v>0.19</v>
      </c>
      <c r="U57" s="298">
        <f t="shared" si="2"/>
        <v>1.8295618680789601E-2</v>
      </c>
      <c r="V57" s="298"/>
      <c r="W57" s="295">
        <v>759</v>
      </c>
      <c r="X57" s="299" t="s">
        <v>116</v>
      </c>
      <c r="Y57" s="284" t="s">
        <v>3594</v>
      </c>
      <c r="Z57" s="282" t="s">
        <v>1143</v>
      </c>
      <c r="AA57" s="282"/>
      <c r="AB57" s="300"/>
      <c r="AC57" s="132">
        <v>44536</v>
      </c>
      <c r="AD57" s="132">
        <v>44536</v>
      </c>
      <c r="AE57" s="132">
        <v>44601</v>
      </c>
      <c r="AF57" s="132"/>
      <c r="AG57" s="132"/>
      <c r="AH57" s="133"/>
      <c r="AI57" s="126" t="s">
        <v>64</v>
      </c>
      <c r="AJ57" s="126" t="s">
        <v>154</v>
      </c>
      <c r="AK57" s="134" t="s">
        <v>1330</v>
      </c>
      <c r="AL57" s="134"/>
      <c r="AM57" s="134">
        <v>44516</v>
      </c>
      <c r="AN57" s="134"/>
      <c r="AO57" s="134">
        <f t="shared" ca="1" si="3"/>
        <v>44963</v>
      </c>
      <c r="AP57" s="126">
        <f t="shared" ca="1" si="4"/>
        <v>447</v>
      </c>
      <c r="AQ57" s="134">
        <f t="shared" ca="1" si="9"/>
        <v>362</v>
      </c>
      <c r="AR57" s="129"/>
      <c r="AS57" s="129" t="s">
        <v>3223</v>
      </c>
      <c r="AT57" s="129">
        <v>10.41</v>
      </c>
      <c r="AU57" s="129">
        <v>10.42</v>
      </c>
      <c r="AV57" s="129">
        <v>10.444999999999999</v>
      </c>
      <c r="AW57" s="129">
        <v>10.45</v>
      </c>
      <c r="AX57" s="126">
        <f t="shared" ca="1" si="7"/>
        <v>427</v>
      </c>
      <c r="BA57" s="99" t="s">
        <v>136</v>
      </c>
    </row>
    <row r="58" spans="1:53" s="583" customFormat="1" ht="21.75" customHeight="1" x14ac:dyDescent="0.35">
      <c r="A58" s="583">
        <v>422</v>
      </c>
      <c r="B58" s="584" t="str">
        <f t="shared" si="8"/>
        <v>0-304L/2B-002X776</v>
      </c>
      <c r="C58" s="585" t="s">
        <v>3628</v>
      </c>
      <c r="D58" s="584" t="s">
        <v>358</v>
      </c>
      <c r="E58" s="584" t="s">
        <v>3242</v>
      </c>
      <c r="F58" s="586" t="s">
        <v>3243</v>
      </c>
      <c r="G58" s="584" t="s">
        <v>230</v>
      </c>
      <c r="H58" s="584" t="s">
        <v>116</v>
      </c>
      <c r="I58" s="587">
        <v>3.8</v>
      </c>
      <c r="J58" s="587">
        <v>1.5</v>
      </c>
      <c r="K58" s="587">
        <v>1.48</v>
      </c>
      <c r="L58" s="584">
        <v>1.5</v>
      </c>
      <c r="M58" s="588">
        <v>776</v>
      </c>
      <c r="N58" s="589">
        <v>10.435</v>
      </c>
      <c r="O58" s="590">
        <v>10.244999999999999</v>
      </c>
      <c r="P58" s="590"/>
      <c r="Q58" s="589">
        <v>0.19</v>
      </c>
      <c r="R58" s="589"/>
      <c r="S58" s="591">
        <f t="shared" si="1"/>
        <v>0</v>
      </c>
      <c r="T58" s="589"/>
      <c r="U58" s="591">
        <f t="shared" si="2"/>
        <v>0</v>
      </c>
      <c r="V58" s="591"/>
      <c r="W58" s="588">
        <v>776</v>
      </c>
      <c r="X58" s="592" t="s">
        <v>116</v>
      </c>
      <c r="Y58" s="593"/>
      <c r="Z58" s="594" t="s">
        <v>1143</v>
      </c>
      <c r="AA58" s="594"/>
      <c r="AB58" s="595"/>
      <c r="AC58" s="596">
        <v>44535</v>
      </c>
      <c r="AD58" s="596">
        <v>44536</v>
      </c>
      <c r="AE58" s="596">
        <v>44602</v>
      </c>
      <c r="AF58" s="596">
        <v>44610</v>
      </c>
      <c r="AG58" s="596"/>
      <c r="AH58" s="597"/>
      <c r="AI58" s="584" t="s">
        <v>64</v>
      </c>
      <c r="AJ58" s="584" t="s">
        <v>154</v>
      </c>
      <c r="AK58" s="598" t="s">
        <v>1330</v>
      </c>
      <c r="AL58" s="598"/>
      <c r="AM58" s="598">
        <v>44516</v>
      </c>
      <c r="AN58" s="598"/>
      <c r="AO58" s="598">
        <f t="shared" ca="1" si="3"/>
        <v>44963</v>
      </c>
      <c r="AP58" s="584">
        <f t="shared" ca="1" si="4"/>
        <v>447</v>
      </c>
      <c r="AQ58" s="598">
        <f t="shared" ca="1" si="9"/>
        <v>361</v>
      </c>
      <c r="AR58" s="589"/>
      <c r="AS58" s="589" t="s">
        <v>3244</v>
      </c>
      <c r="AT58" s="589">
        <v>10.445</v>
      </c>
      <c r="AU58" s="589">
        <v>10.455</v>
      </c>
      <c r="AV58" s="589">
        <v>10.479999999999999</v>
      </c>
      <c r="AW58" s="589">
        <v>10.484999999999999</v>
      </c>
      <c r="AX58" s="584">
        <f t="shared" ca="1" si="7"/>
        <v>427</v>
      </c>
      <c r="BA58" s="583" t="s">
        <v>136</v>
      </c>
    </row>
    <row r="59" spans="1:53" s="99" customFormat="1" ht="21.75" customHeight="1" x14ac:dyDescent="0.35">
      <c r="A59" s="99">
        <v>422</v>
      </c>
      <c r="B59" s="126" t="str">
        <f t="shared" si="8"/>
        <v>0-304L/2B-002X776</v>
      </c>
      <c r="C59" s="294" t="s">
        <v>3629</v>
      </c>
      <c r="D59" s="126" t="s">
        <v>3026</v>
      </c>
      <c r="E59" s="126" t="s">
        <v>3242</v>
      </c>
      <c r="F59" s="143" t="s">
        <v>3630</v>
      </c>
      <c r="G59" s="126" t="s">
        <v>230</v>
      </c>
      <c r="H59" s="126" t="s">
        <v>116</v>
      </c>
      <c r="I59" s="127">
        <v>3.8</v>
      </c>
      <c r="J59" s="127">
        <v>1.5</v>
      </c>
      <c r="K59" s="127">
        <v>1.48</v>
      </c>
      <c r="L59" s="126">
        <v>1.5</v>
      </c>
      <c r="M59" s="295">
        <v>776</v>
      </c>
      <c r="N59" s="129">
        <v>10.244999999999999</v>
      </c>
      <c r="O59" s="296">
        <f>5.02+4.865</f>
        <v>9.8849999999999998</v>
      </c>
      <c r="P59" s="297"/>
      <c r="Q59" s="129">
        <v>0.15</v>
      </c>
      <c r="R59" s="129"/>
      <c r="S59" s="298">
        <f t="shared" si="1"/>
        <v>0</v>
      </c>
      <c r="T59" s="129">
        <v>0.21</v>
      </c>
      <c r="U59" s="298">
        <f t="shared" si="2"/>
        <v>2.0497803806734993E-2</v>
      </c>
      <c r="V59" s="298"/>
      <c r="W59" s="295">
        <v>759</v>
      </c>
      <c r="X59" s="299" t="s">
        <v>116</v>
      </c>
      <c r="Y59" s="284" t="s">
        <v>3594</v>
      </c>
      <c r="Z59" s="282" t="s">
        <v>1143</v>
      </c>
      <c r="AA59" s="282"/>
      <c r="AB59" s="300"/>
      <c r="AC59" s="132">
        <v>44535</v>
      </c>
      <c r="AD59" s="132">
        <v>44536</v>
      </c>
      <c r="AE59" s="132">
        <v>44602</v>
      </c>
      <c r="AF59" s="132">
        <v>44610</v>
      </c>
      <c r="AG59" s="132"/>
      <c r="AH59" s="133"/>
      <c r="AI59" s="126" t="s">
        <v>64</v>
      </c>
      <c r="AJ59" s="126" t="s">
        <v>154</v>
      </c>
      <c r="AK59" s="134" t="s">
        <v>1330</v>
      </c>
      <c r="AL59" s="134"/>
      <c r="AM59" s="134">
        <v>44516</v>
      </c>
      <c r="AN59" s="134"/>
      <c r="AO59" s="134">
        <f t="shared" ca="1" si="3"/>
        <v>44963</v>
      </c>
      <c r="AP59" s="126">
        <f t="shared" ca="1" si="4"/>
        <v>447</v>
      </c>
      <c r="AQ59" s="134">
        <f t="shared" ca="1" si="9"/>
        <v>361</v>
      </c>
      <c r="AR59" s="129"/>
      <c r="AS59" s="129" t="s">
        <v>3244</v>
      </c>
      <c r="AT59" s="129">
        <v>10.445</v>
      </c>
      <c r="AU59" s="129">
        <v>10.455</v>
      </c>
      <c r="AV59" s="129">
        <v>10.479999999999999</v>
      </c>
      <c r="AW59" s="129">
        <v>10.484999999999999</v>
      </c>
      <c r="AX59" s="126">
        <f t="shared" ca="1" si="7"/>
        <v>427</v>
      </c>
      <c r="BA59" s="99" t="s">
        <v>136</v>
      </c>
    </row>
    <row r="60" spans="1:53" s="99" customFormat="1" ht="21.75" customHeight="1" x14ac:dyDescent="0.35">
      <c r="A60" s="451">
        <v>422</v>
      </c>
      <c r="B60" s="452" t="str">
        <f t="shared" si="8"/>
        <v>0-304L/2B-002X767</v>
      </c>
      <c r="C60" s="453" t="s">
        <v>3631</v>
      </c>
      <c r="D60" s="452" t="s">
        <v>3495</v>
      </c>
      <c r="E60" s="452" t="s">
        <v>3213</v>
      </c>
      <c r="F60" s="454" t="s">
        <v>3632</v>
      </c>
      <c r="G60" s="452" t="s">
        <v>230</v>
      </c>
      <c r="H60" s="452" t="s">
        <v>116</v>
      </c>
      <c r="I60" s="455">
        <v>3.79</v>
      </c>
      <c r="J60" s="455">
        <v>1.5</v>
      </c>
      <c r="K60" s="455">
        <v>1.48</v>
      </c>
      <c r="L60" s="452">
        <v>1.5</v>
      </c>
      <c r="M60" s="456">
        <v>767</v>
      </c>
      <c r="N60" s="828">
        <v>12.09</v>
      </c>
      <c r="O60" s="457">
        <v>0.435</v>
      </c>
      <c r="P60" s="457"/>
      <c r="Q60" s="458">
        <v>0.11</v>
      </c>
      <c r="R60" s="458"/>
      <c r="S60" s="459">
        <f t="shared" si="1"/>
        <v>0</v>
      </c>
      <c r="T60" s="458"/>
      <c r="U60" s="459">
        <f t="shared" si="2"/>
        <v>0</v>
      </c>
      <c r="V60" s="459"/>
      <c r="W60" s="456">
        <v>759</v>
      </c>
      <c r="X60" s="461" t="s">
        <v>116</v>
      </c>
      <c r="Y60" s="462"/>
      <c r="Z60" s="463" t="s">
        <v>3497</v>
      </c>
      <c r="AA60" s="463"/>
      <c r="AB60" s="464"/>
      <c r="AC60" s="465">
        <v>44535</v>
      </c>
      <c r="AD60" s="465">
        <v>44536</v>
      </c>
      <c r="AE60" s="465">
        <v>44601</v>
      </c>
      <c r="AF60" s="465"/>
      <c r="AG60" s="465"/>
      <c r="AH60" s="466"/>
      <c r="AI60" s="452" t="s">
        <v>64</v>
      </c>
      <c r="AJ60" s="452" t="s">
        <v>154</v>
      </c>
      <c r="AK60" s="467" t="s">
        <v>1330</v>
      </c>
      <c r="AL60" s="467"/>
      <c r="AM60" s="467">
        <v>44516</v>
      </c>
      <c r="AN60" s="467"/>
      <c r="AO60" s="467">
        <f t="shared" ca="1" si="3"/>
        <v>44963</v>
      </c>
      <c r="AP60" s="452">
        <f t="shared" ca="1" si="4"/>
        <v>447</v>
      </c>
      <c r="AQ60" s="467">
        <f t="shared" ca="1" si="9"/>
        <v>362</v>
      </c>
      <c r="AR60" s="458"/>
      <c r="AS60" s="458" t="s">
        <v>3215</v>
      </c>
      <c r="AT60" s="458">
        <v>12.095000000000001</v>
      </c>
      <c r="AU60" s="458">
        <v>12.105</v>
      </c>
      <c r="AV60" s="458">
        <v>12.129999999999999</v>
      </c>
      <c r="AW60" s="458">
        <v>12.135</v>
      </c>
      <c r="AX60" s="452">
        <f t="shared" ca="1" si="7"/>
        <v>427</v>
      </c>
      <c r="AY60" s="451"/>
      <c r="AZ60" s="451"/>
      <c r="BA60" s="451" t="s">
        <v>136</v>
      </c>
    </row>
    <row r="61" spans="1:53" s="99" customFormat="1" ht="21.75" customHeight="1" x14ac:dyDescent="0.35">
      <c r="A61" s="451">
        <v>422</v>
      </c>
      <c r="B61" s="452" t="str">
        <f t="shared" si="8"/>
        <v>0-304L/2B-002X767</v>
      </c>
      <c r="C61" s="453" t="s">
        <v>3626</v>
      </c>
      <c r="D61" s="452" t="s">
        <v>3026</v>
      </c>
      <c r="E61" s="452" t="s">
        <v>3213</v>
      </c>
      <c r="F61" s="454" t="s">
        <v>3633</v>
      </c>
      <c r="G61" s="452" t="s">
        <v>230</v>
      </c>
      <c r="H61" s="452" t="s">
        <v>116</v>
      </c>
      <c r="I61" s="455">
        <v>3.79</v>
      </c>
      <c r="J61" s="455">
        <v>1.5</v>
      </c>
      <c r="K61" s="455">
        <v>1.48</v>
      </c>
      <c r="L61" s="452">
        <v>1.5</v>
      </c>
      <c r="M61" s="456">
        <v>767</v>
      </c>
      <c r="N61" s="829"/>
      <c r="O61" s="457">
        <f>4.97+6.415</f>
        <v>11.385</v>
      </c>
      <c r="P61" s="457"/>
      <c r="Q61" s="458"/>
      <c r="R61" s="458"/>
      <c r="S61" s="459" t="e">
        <f t="shared" si="1"/>
        <v>#DIV/0!</v>
      </c>
      <c r="T61" s="458"/>
      <c r="U61" s="459" t="e">
        <f t="shared" si="2"/>
        <v>#DIV/0!</v>
      </c>
      <c r="V61" s="459"/>
      <c r="W61" s="456">
        <v>759</v>
      </c>
      <c r="X61" s="461" t="s">
        <v>116</v>
      </c>
      <c r="Y61" s="462" t="s">
        <v>3594</v>
      </c>
      <c r="Z61" s="463" t="s">
        <v>1143</v>
      </c>
      <c r="AA61" s="463"/>
      <c r="AB61" s="464"/>
      <c r="AC61" s="465">
        <v>44535</v>
      </c>
      <c r="AD61" s="465">
        <v>44536</v>
      </c>
      <c r="AE61" s="465">
        <v>44601</v>
      </c>
      <c r="AF61" s="465"/>
      <c r="AG61" s="465"/>
      <c r="AH61" s="466"/>
      <c r="AI61" s="452" t="s">
        <v>64</v>
      </c>
      <c r="AJ61" s="452" t="s">
        <v>154</v>
      </c>
      <c r="AK61" s="467" t="s">
        <v>1330</v>
      </c>
      <c r="AL61" s="467"/>
      <c r="AM61" s="467">
        <v>44516</v>
      </c>
      <c r="AN61" s="467"/>
      <c r="AO61" s="467">
        <f t="shared" ca="1" si="3"/>
        <v>44963</v>
      </c>
      <c r="AP61" s="452">
        <f t="shared" ca="1" si="4"/>
        <v>447</v>
      </c>
      <c r="AQ61" s="467">
        <f t="shared" ca="1" si="9"/>
        <v>362</v>
      </c>
      <c r="AR61" s="458"/>
      <c r="AS61" s="458" t="s">
        <v>3215</v>
      </c>
      <c r="AT61" s="458">
        <v>12.095000000000001</v>
      </c>
      <c r="AU61" s="458">
        <v>12.105</v>
      </c>
      <c r="AV61" s="458">
        <v>12.129999999999999</v>
      </c>
      <c r="AW61" s="458">
        <v>12.135</v>
      </c>
      <c r="AX61" s="452">
        <f t="shared" ca="1" si="7"/>
        <v>427</v>
      </c>
      <c r="AY61" s="451"/>
      <c r="AZ61" s="451"/>
      <c r="BA61" s="451" t="s">
        <v>136</v>
      </c>
    </row>
    <row r="62" spans="1:53" s="666" customFormat="1" ht="21.75" customHeight="1" x14ac:dyDescent="0.35">
      <c r="A62" s="666">
        <v>424</v>
      </c>
      <c r="B62" s="667" t="str">
        <f t="shared" si="8"/>
        <v>0-304L/2B-002X774</v>
      </c>
      <c r="C62" s="668" t="s">
        <v>3626</v>
      </c>
      <c r="D62" s="667" t="s">
        <v>3026</v>
      </c>
      <c r="E62" s="667" t="s">
        <v>2808</v>
      </c>
      <c r="F62" s="669" t="s">
        <v>3634</v>
      </c>
      <c r="G62" s="667" t="s">
        <v>230</v>
      </c>
      <c r="H62" s="667" t="s">
        <v>116</v>
      </c>
      <c r="I62" s="670">
        <v>3.78</v>
      </c>
      <c r="J62" s="670">
        <v>1.5</v>
      </c>
      <c r="K62" s="670">
        <v>1.48</v>
      </c>
      <c r="L62" s="667">
        <v>1.51</v>
      </c>
      <c r="M62" s="671">
        <v>774</v>
      </c>
      <c r="N62" s="672">
        <f>10.37-5.09</f>
        <v>5.2799999999999994</v>
      </c>
      <c r="O62" s="673">
        <v>5.1849999999999996</v>
      </c>
      <c r="P62" s="673"/>
      <c r="Q62" s="672"/>
      <c r="R62" s="672">
        <v>5.0000000000000001E-3</v>
      </c>
      <c r="S62" s="674">
        <f t="shared" si="1"/>
        <v>9.469696969696971E-4</v>
      </c>
      <c r="T62" s="672">
        <v>0.09</v>
      </c>
      <c r="U62" s="674">
        <f t="shared" si="2"/>
        <v>1.7045454545454548E-2</v>
      </c>
      <c r="V62" s="674"/>
      <c r="W62" s="671">
        <v>759</v>
      </c>
      <c r="X62" s="675" t="s">
        <v>116</v>
      </c>
      <c r="Y62" s="676" t="s">
        <v>3594</v>
      </c>
      <c r="Z62" s="677" t="s">
        <v>1143</v>
      </c>
      <c r="AA62" s="677"/>
      <c r="AB62" s="678"/>
      <c r="AC62" s="679">
        <v>44607</v>
      </c>
      <c r="AD62" s="679">
        <v>44607</v>
      </c>
      <c r="AE62" s="679">
        <v>44608</v>
      </c>
      <c r="AF62" s="679"/>
      <c r="AG62" s="679"/>
      <c r="AH62" s="680" t="s">
        <v>1395</v>
      </c>
      <c r="AI62" s="667" t="s">
        <v>64</v>
      </c>
      <c r="AJ62" s="667" t="s">
        <v>154</v>
      </c>
      <c r="AK62" s="681" t="s">
        <v>1330</v>
      </c>
      <c r="AL62" s="681"/>
      <c r="AM62" s="681">
        <v>44554</v>
      </c>
      <c r="AN62" s="681"/>
      <c r="AO62" s="681">
        <f t="shared" ca="1" si="3"/>
        <v>44963</v>
      </c>
      <c r="AP62" s="667">
        <f t="shared" ca="1" si="4"/>
        <v>409</v>
      </c>
      <c r="AQ62" s="681">
        <f t="shared" ca="1" si="9"/>
        <v>355</v>
      </c>
      <c r="AR62" s="672"/>
      <c r="AS62" s="672" t="s">
        <v>2670</v>
      </c>
      <c r="AT62" s="672">
        <v>10.4</v>
      </c>
      <c r="AU62" s="672">
        <v>10.41</v>
      </c>
      <c r="AV62" s="672">
        <v>10.434999999999999</v>
      </c>
      <c r="AW62" s="672">
        <v>10.44</v>
      </c>
      <c r="AX62" s="667">
        <f t="shared" ca="1" si="7"/>
        <v>356</v>
      </c>
      <c r="BA62" s="666" t="s">
        <v>136</v>
      </c>
    </row>
    <row r="63" spans="1:53" s="99" customFormat="1" ht="21.75" customHeight="1" x14ac:dyDescent="0.35">
      <c r="A63" s="583">
        <v>421</v>
      </c>
      <c r="B63" s="584" t="str">
        <f t="shared" si="8"/>
        <v>0-304L/2B-001X770</v>
      </c>
      <c r="C63" s="585" t="s">
        <v>3635</v>
      </c>
      <c r="D63" s="584" t="s">
        <v>403</v>
      </c>
      <c r="E63" s="584" t="s">
        <v>2929</v>
      </c>
      <c r="F63" s="586" t="s">
        <v>2930</v>
      </c>
      <c r="G63" s="584" t="s">
        <v>230</v>
      </c>
      <c r="H63" s="584" t="s">
        <v>116</v>
      </c>
      <c r="I63" s="587">
        <v>2.81</v>
      </c>
      <c r="J63" s="587">
        <v>0.6</v>
      </c>
      <c r="K63" s="587">
        <v>0.59</v>
      </c>
      <c r="L63" s="584">
        <v>0.61</v>
      </c>
      <c r="M63" s="588">
        <v>770</v>
      </c>
      <c r="N63" s="589">
        <v>4.71</v>
      </c>
      <c r="O63" s="590">
        <v>4.665</v>
      </c>
      <c r="P63" s="590"/>
      <c r="Q63" s="589"/>
      <c r="R63" s="589"/>
      <c r="S63" s="591">
        <f t="shared" si="1"/>
        <v>0</v>
      </c>
      <c r="T63" s="589">
        <v>4.4999999999999998E-2</v>
      </c>
      <c r="U63" s="591">
        <f t="shared" si="2"/>
        <v>9.5541401273885346E-3</v>
      </c>
      <c r="V63" s="591"/>
      <c r="W63" s="588">
        <v>761</v>
      </c>
      <c r="X63" s="592" t="s">
        <v>116</v>
      </c>
      <c r="Y63" s="593"/>
      <c r="Z63" s="594" t="s">
        <v>117</v>
      </c>
      <c r="AA63" s="594" t="s">
        <v>1228</v>
      </c>
      <c r="AB63" s="595" t="s">
        <v>2931</v>
      </c>
      <c r="AC63" s="596">
        <v>44539</v>
      </c>
      <c r="AD63" s="596">
        <v>44539</v>
      </c>
      <c r="AE63" s="596">
        <v>44610</v>
      </c>
      <c r="AF63" s="596"/>
      <c r="AG63" s="596"/>
      <c r="AH63" s="597"/>
      <c r="AI63" s="584" t="s">
        <v>64</v>
      </c>
      <c r="AJ63" s="584" t="s">
        <v>154</v>
      </c>
      <c r="AK63" s="598" t="s">
        <v>1190</v>
      </c>
      <c r="AL63" s="598"/>
      <c r="AM63" s="598">
        <v>44496</v>
      </c>
      <c r="AN63" s="598"/>
      <c r="AO63" s="598">
        <f t="shared" ca="1" si="3"/>
        <v>44963</v>
      </c>
      <c r="AP63" s="584">
        <f t="shared" ca="1" si="4"/>
        <v>467</v>
      </c>
      <c r="AQ63" s="598">
        <f t="shared" ca="1" si="9"/>
        <v>353</v>
      </c>
      <c r="AR63" s="589"/>
      <c r="AS63" s="589" t="s">
        <v>2933</v>
      </c>
      <c r="AT63" s="589">
        <v>10.52</v>
      </c>
      <c r="AU63" s="589">
        <v>10.53</v>
      </c>
      <c r="AV63" s="589">
        <v>10.554999999999998</v>
      </c>
      <c r="AW63" s="589">
        <v>10.559999999999999</v>
      </c>
      <c r="AX63" s="584">
        <f t="shared" ca="1" si="7"/>
        <v>424</v>
      </c>
      <c r="AY63" s="583"/>
      <c r="AZ63" s="583"/>
      <c r="BA63" s="583" t="s">
        <v>136</v>
      </c>
    </row>
    <row r="64" spans="1:53" s="99" customFormat="1" ht="21.75" customHeight="1" x14ac:dyDescent="0.35">
      <c r="A64" s="583">
        <v>419</v>
      </c>
      <c r="B64" s="584" t="str">
        <f t="shared" si="8"/>
        <v>0-304/2B-001X770</v>
      </c>
      <c r="C64" s="585" t="s">
        <v>3635</v>
      </c>
      <c r="D64" s="584" t="s">
        <v>403</v>
      </c>
      <c r="E64" s="584" t="s">
        <v>2955</v>
      </c>
      <c r="F64" s="586" t="s">
        <v>2956</v>
      </c>
      <c r="G64" s="584">
        <v>304</v>
      </c>
      <c r="H64" s="584" t="s">
        <v>116</v>
      </c>
      <c r="I64" s="587">
        <v>2.78</v>
      </c>
      <c r="J64" s="587">
        <v>0.6</v>
      </c>
      <c r="K64" s="587">
        <v>0.59</v>
      </c>
      <c r="L64" s="584">
        <v>0.61</v>
      </c>
      <c r="M64" s="588">
        <v>770</v>
      </c>
      <c r="N64" s="589">
        <v>6.2</v>
      </c>
      <c r="O64" s="590">
        <v>6.1</v>
      </c>
      <c r="P64" s="590"/>
      <c r="Q64" s="589"/>
      <c r="R64" s="589"/>
      <c r="S64" s="591">
        <f t="shared" si="1"/>
        <v>0</v>
      </c>
      <c r="T64" s="589">
        <v>0.1</v>
      </c>
      <c r="U64" s="591">
        <f t="shared" si="2"/>
        <v>1.6129032258064516E-2</v>
      </c>
      <c r="V64" s="591"/>
      <c r="W64" s="588">
        <v>761</v>
      </c>
      <c r="X64" s="592" t="s">
        <v>116</v>
      </c>
      <c r="Y64" s="593"/>
      <c r="Z64" s="594" t="s">
        <v>117</v>
      </c>
      <c r="AA64" s="594" t="s">
        <v>1134</v>
      </c>
      <c r="AB64" s="595" t="s">
        <v>2957</v>
      </c>
      <c r="AC64" s="596">
        <v>44461</v>
      </c>
      <c r="AD64" s="596">
        <v>44461</v>
      </c>
      <c r="AE64" s="596">
        <v>44466</v>
      </c>
      <c r="AF64" s="596" t="s">
        <v>2959</v>
      </c>
      <c r="AG64" s="596"/>
      <c r="AH64" s="597"/>
      <c r="AI64" s="584" t="s">
        <v>64</v>
      </c>
      <c r="AJ64" s="584" t="s">
        <v>154</v>
      </c>
      <c r="AK64" s="598" t="s">
        <v>793</v>
      </c>
      <c r="AL64" s="598"/>
      <c r="AM64" s="598">
        <v>44444</v>
      </c>
      <c r="AN64" s="598"/>
      <c r="AO64" s="598">
        <f t="shared" ca="1" si="3"/>
        <v>44963</v>
      </c>
      <c r="AP64" s="584">
        <f t="shared" ca="1" si="4"/>
        <v>519</v>
      </c>
      <c r="AQ64" s="598">
        <f t="shared" ca="1" si="9"/>
        <v>497</v>
      </c>
      <c r="AR64" s="589"/>
      <c r="AS64" s="589" t="s">
        <v>2960</v>
      </c>
      <c r="AT64" s="589">
        <v>12.145</v>
      </c>
      <c r="AU64" s="589">
        <v>12.154999999999999</v>
      </c>
      <c r="AV64" s="589">
        <v>12.179999999999998</v>
      </c>
      <c r="AW64" s="589">
        <v>12.184999999999999</v>
      </c>
      <c r="AX64" s="584">
        <f t="shared" ca="1" si="7"/>
        <v>502</v>
      </c>
      <c r="AY64" s="583"/>
      <c r="AZ64" s="583"/>
      <c r="BA64" s="583" t="s">
        <v>136</v>
      </c>
    </row>
    <row r="65" spans="1:53" s="99" customFormat="1" ht="21.75" customHeight="1" x14ac:dyDescent="0.35">
      <c r="A65" s="99">
        <v>386</v>
      </c>
      <c r="B65" s="126" t="str">
        <f t="shared" si="8"/>
        <v>0-J3/2B-001X595</v>
      </c>
      <c r="C65" s="294" t="s">
        <v>3636</v>
      </c>
      <c r="D65" s="126" t="s">
        <v>3026</v>
      </c>
      <c r="E65" s="126" t="s">
        <v>3133</v>
      </c>
      <c r="F65" s="143" t="s">
        <v>3637</v>
      </c>
      <c r="G65" s="126" t="s">
        <v>29</v>
      </c>
      <c r="H65" s="126" t="s">
        <v>116</v>
      </c>
      <c r="I65" s="127">
        <v>2.4</v>
      </c>
      <c r="J65" s="127">
        <v>1.1200000000000001</v>
      </c>
      <c r="K65" s="127">
        <v>1.1000000000000001</v>
      </c>
      <c r="L65" s="126">
        <v>1.1299999999999999</v>
      </c>
      <c r="M65" s="295">
        <v>595</v>
      </c>
      <c r="N65" s="129">
        <v>8.1850000000000005</v>
      </c>
      <c r="O65" s="296">
        <f>3.995+3.9</f>
        <v>7.8949999999999996</v>
      </c>
      <c r="P65" s="297"/>
      <c r="Q65" s="129"/>
      <c r="R65" s="129">
        <v>0.03</v>
      </c>
      <c r="S65" s="298">
        <f t="shared" si="1"/>
        <v>3.6652412950519239E-3</v>
      </c>
      <c r="T65" s="129">
        <v>0.245</v>
      </c>
      <c r="U65" s="298">
        <f t="shared" si="2"/>
        <v>2.9932803909590713E-2</v>
      </c>
      <c r="V65" s="298"/>
      <c r="W65" s="295" t="s">
        <v>3598</v>
      </c>
      <c r="X65" s="299" t="s">
        <v>116</v>
      </c>
      <c r="Y65" s="284" t="s">
        <v>3617</v>
      </c>
      <c r="Z65" s="282" t="s">
        <v>446</v>
      </c>
      <c r="AA65" s="282"/>
      <c r="AB65" s="300"/>
      <c r="AC65" s="132">
        <v>44573</v>
      </c>
      <c r="AD65" s="132">
        <v>44573</v>
      </c>
      <c r="AE65" s="132">
        <v>44597</v>
      </c>
      <c r="AF65" s="132"/>
      <c r="AG65" s="132"/>
      <c r="AH65" s="133"/>
      <c r="AI65" s="126" t="s">
        <v>64</v>
      </c>
      <c r="AJ65" s="126" t="s">
        <v>468</v>
      </c>
      <c r="AK65" s="134"/>
      <c r="AL65" s="134"/>
      <c r="AM65" s="134">
        <v>44322</v>
      </c>
      <c r="AN65" s="134"/>
      <c r="AO65" s="134">
        <f t="shared" ca="1" si="3"/>
        <v>44963</v>
      </c>
      <c r="AP65" s="126">
        <f t="shared" ca="1" si="4"/>
        <v>641</v>
      </c>
      <c r="AQ65" s="134">
        <f t="shared" ca="1" si="9"/>
        <v>366</v>
      </c>
      <c r="AR65" s="129" t="s">
        <v>516</v>
      </c>
      <c r="AS65" s="129" t="s">
        <v>3135</v>
      </c>
      <c r="AT65" s="129">
        <v>8.2149999999999999</v>
      </c>
      <c r="AU65" s="129">
        <v>8.254999999999999</v>
      </c>
      <c r="AV65" s="129">
        <v>8.2799999999999976</v>
      </c>
      <c r="AW65" s="129">
        <v>8.2849999999999984</v>
      </c>
      <c r="AX65" s="126">
        <f t="shared" ca="1" si="7"/>
        <v>390</v>
      </c>
      <c r="BA65" s="99" t="s">
        <v>136</v>
      </c>
    </row>
    <row r="66" spans="1:53" s="99" customFormat="1" ht="21.75" customHeight="1" x14ac:dyDescent="0.35">
      <c r="A66" s="99">
        <v>389</v>
      </c>
      <c r="B66" s="126" t="str">
        <f t="shared" si="8"/>
        <v>0-J3/2B-001X595</v>
      </c>
      <c r="C66" s="294" t="s">
        <v>3636</v>
      </c>
      <c r="D66" s="126" t="s">
        <v>3026</v>
      </c>
      <c r="E66" s="126" t="s">
        <v>3168</v>
      </c>
      <c r="F66" s="143" t="s">
        <v>3638</v>
      </c>
      <c r="G66" s="126" t="s">
        <v>29</v>
      </c>
      <c r="H66" s="126" t="s">
        <v>116</v>
      </c>
      <c r="I66" s="127">
        <v>2.4</v>
      </c>
      <c r="J66" s="127">
        <v>0.92</v>
      </c>
      <c r="K66" s="127">
        <v>0.9</v>
      </c>
      <c r="L66" s="126">
        <v>0.92</v>
      </c>
      <c r="M66" s="295">
        <v>595</v>
      </c>
      <c r="N66" s="129">
        <v>8.2200000000000006</v>
      </c>
      <c r="O66" s="296">
        <f>4.035+3.895</f>
        <v>7.93</v>
      </c>
      <c r="P66" s="297"/>
      <c r="Q66" s="129"/>
      <c r="R66" s="129">
        <v>3.5000000000000003E-2</v>
      </c>
      <c r="S66" s="298">
        <f t="shared" si="1"/>
        <v>4.2579075425790754E-3</v>
      </c>
      <c r="T66" s="129">
        <v>0.255</v>
      </c>
      <c r="U66" s="298">
        <f t="shared" si="2"/>
        <v>3.1021897810218975E-2</v>
      </c>
      <c r="V66" s="298"/>
      <c r="W66" s="295" t="s">
        <v>3598</v>
      </c>
      <c r="X66" s="299" t="s">
        <v>116</v>
      </c>
      <c r="Y66" s="284" t="s">
        <v>3617</v>
      </c>
      <c r="Z66" s="282" t="s">
        <v>446</v>
      </c>
      <c r="AA66" s="282"/>
      <c r="AB66" s="300"/>
      <c r="AC66" s="132">
        <v>44573</v>
      </c>
      <c r="AD66" s="132">
        <v>44573</v>
      </c>
      <c r="AE66" s="132">
        <v>44599</v>
      </c>
      <c r="AF66" s="132"/>
      <c r="AG66" s="132"/>
      <c r="AH66" s="133"/>
      <c r="AI66" s="126" t="s">
        <v>64</v>
      </c>
      <c r="AJ66" s="126" t="s">
        <v>132</v>
      </c>
      <c r="AK66" s="134" t="s">
        <v>580</v>
      </c>
      <c r="AL66" s="134">
        <v>44303</v>
      </c>
      <c r="AM66" s="134">
        <v>44327</v>
      </c>
      <c r="AN66" s="134"/>
      <c r="AO66" s="134">
        <f t="shared" ca="1" si="3"/>
        <v>44963</v>
      </c>
      <c r="AP66" s="126">
        <f t="shared" ca="1" si="4"/>
        <v>636</v>
      </c>
      <c r="AQ66" s="134">
        <f t="shared" ca="1" si="9"/>
        <v>364</v>
      </c>
      <c r="AR66" s="129" t="s">
        <v>3157</v>
      </c>
      <c r="AS66" s="129" t="s">
        <v>586</v>
      </c>
      <c r="AT66" s="129">
        <v>8.2550000000000008</v>
      </c>
      <c r="AU66" s="129">
        <v>8.2700000000000014</v>
      </c>
      <c r="AV66" s="129">
        <v>8.2949999999999999</v>
      </c>
      <c r="AW66" s="129">
        <v>8.3000000000000007</v>
      </c>
      <c r="AX66" s="126">
        <f t="shared" ca="1" si="7"/>
        <v>390</v>
      </c>
      <c r="BA66" s="99" t="s">
        <v>136</v>
      </c>
    </row>
    <row r="67" spans="1:53" s="99" customFormat="1" ht="21.75" customHeight="1" x14ac:dyDescent="0.35">
      <c r="A67" s="99">
        <v>389</v>
      </c>
      <c r="B67" s="126" t="str">
        <f t="shared" si="8"/>
        <v>0-J3/2B-001X595</v>
      </c>
      <c r="C67" s="294" t="s">
        <v>3636</v>
      </c>
      <c r="D67" s="126" t="s">
        <v>3026</v>
      </c>
      <c r="E67" s="126" t="s">
        <v>3173</v>
      </c>
      <c r="F67" s="143" t="s">
        <v>3639</v>
      </c>
      <c r="G67" s="126" t="s">
        <v>29</v>
      </c>
      <c r="H67" s="126" t="s">
        <v>116</v>
      </c>
      <c r="I67" s="127">
        <v>2.4</v>
      </c>
      <c r="J67" s="127">
        <v>0.92</v>
      </c>
      <c r="K67" s="127">
        <v>0.9</v>
      </c>
      <c r="L67" s="126">
        <v>0.92</v>
      </c>
      <c r="M67" s="295">
        <v>595</v>
      </c>
      <c r="N67" s="129">
        <v>8.1449999999999996</v>
      </c>
      <c r="O67" s="296">
        <f>3.98+3.83</f>
        <v>7.8100000000000005</v>
      </c>
      <c r="P67" s="297"/>
      <c r="Q67" s="129">
        <v>4.4999999999999998E-2</v>
      </c>
      <c r="R67" s="129"/>
      <c r="S67" s="298">
        <f t="shared" si="1"/>
        <v>0</v>
      </c>
      <c r="T67" s="129"/>
      <c r="U67" s="298">
        <f t="shared" si="2"/>
        <v>0</v>
      </c>
      <c r="V67" s="298"/>
      <c r="W67" s="295" t="s">
        <v>3598</v>
      </c>
      <c r="X67" s="299" t="s">
        <v>116</v>
      </c>
      <c r="Y67" s="284" t="s">
        <v>3617</v>
      </c>
      <c r="Z67" s="282" t="s">
        <v>446</v>
      </c>
      <c r="AA67" s="282"/>
      <c r="AB67" s="300"/>
      <c r="AC67" s="132">
        <v>44573</v>
      </c>
      <c r="AD67" s="132">
        <v>44573</v>
      </c>
      <c r="AE67" s="132">
        <v>44599</v>
      </c>
      <c r="AF67" s="132"/>
      <c r="AG67" s="132"/>
      <c r="AH67" s="133"/>
      <c r="AI67" s="126" t="s">
        <v>64</v>
      </c>
      <c r="AJ67" s="126" t="s">
        <v>132</v>
      </c>
      <c r="AK67" s="134" t="s">
        <v>580</v>
      </c>
      <c r="AL67" s="134">
        <v>44303</v>
      </c>
      <c r="AM67" s="134">
        <v>44327</v>
      </c>
      <c r="AN67" s="134"/>
      <c r="AO67" s="134">
        <f t="shared" ca="1" si="3"/>
        <v>44963</v>
      </c>
      <c r="AP67" s="126">
        <f t="shared" ca="1" si="4"/>
        <v>636</v>
      </c>
      <c r="AQ67" s="134">
        <f t="shared" ca="1" si="9"/>
        <v>364</v>
      </c>
      <c r="AR67" s="129" t="s">
        <v>3175</v>
      </c>
      <c r="AS67" s="129" t="s">
        <v>611</v>
      </c>
      <c r="AT67" s="129">
        <v>8.1790000000000003</v>
      </c>
      <c r="AU67" s="129">
        <v>8.1940000000000008</v>
      </c>
      <c r="AV67" s="129">
        <v>8.2189999999999994</v>
      </c>
      <c r="AW67" s="129">
        <v>8.2240000000000002</v>
      </c>
      <c r="AX67" s="126">
        <f t="shared" ca="1" si="7"/>
        <v>390</v>
      </c>
      <c r="BA67" s="99" t="s">
        <v>136</v>
      </c>
    </row>
    <row r="68" spans="1:53" s="99" customFormat="1" ht="21.75" customHeight="1" x14ac:dyDescent="0.35">
      <c r="A68" s="99">
        <v>389</v>
      </c>
      <c r="B68" s="126" t="str">
        <f t="shared" si="8"/>
        <v>0-J3/2B-001X595</v>
      </c>
      <c r="C68" s="294" t="s">
        <v>3636</v>
      </c>
      <c r="D68" s="126" t="s">
        <v>3026</v>
      </c>
      <c r="E68" s="126" t="s">
        <v>3152</v>
      </c>
      <c r="F68" s="143" t="s">
        <v>3640</v>
      </c>
      <c r="G68" s="126" t="s">
        <v>29</v>
      </c>
      <c r="H68" s="126" t="s">
        <v>116</v>
      </c>
      <c r="I68" s="127">
        <v>2.4</v>
      </c>
      <c r="J68" s="127">
        <v>0.92</v>
      </c>
      <c r="K68" s="127">
        <v>0.91</v>
      </c>
      <c r="L68" s="126">
        <v>0.94</v>
      </c>
      <c r="M68" s="295">
        <v>595</v>
      </c>
      <c r="N68" s="129">
        <v>8.1850000000000005</v>
      </c>
      <c r="O68" s="296">
        <f>4.145+3.87</f>
        <v>8.0150000000000006</v>
      </c>
      <c r="P68" s="297"/>
      <c r="Q68" s="129">
        <v>0.05</v>
      </c>
      <c r="R68" s="129"/>
      <c r="S68" s="298">
        <f t="shared" si="1"/>
        <v>0</v>
      </c>
      <c r="T68" s="129"/>
      <c r="U68" s="298">
        <f t="shared" si="2"/>
        <v>0</v>
      </c>
      <c r="V68" s="298"/>
      <c r="W68" s="295" t="s">
        <v>3598</v>
      </c>
      <c r="X68" s="299" t="s">
        <v>116</v>
      </c>
      <c r="Y68" s="284" t="s">
        <v>3617</v>
      </c>
      <c r="Z68" s="282" t="s">
        <v>446</v>
      </c>
      <c r="AA68" s="282"/>
      <c r="AB68" s="300"/>
      <c r="AC68" s="132">
        <v>44572</v>
      </c>
      <c r="AD68" s="132">
        <v>44573</v>
      </c>
      <c r="AE68" s="132">
        <v>44598</v>
      </c>
      <c r="AF68" s="132"/>
      <c r="AG68" s="132"/>
      <c r="AH68" s="133"/>
      <c r="AI68" s="126" t="s">
        <v>64</v>
      </c>
      <c r="AJ68" s="126" t="s">
        <v>132</v>
      </c>
      <c r="AK68" s="134" t="s">
        <v>580</v>
      </c>
      <c r="AL68" s="134">
        <v>44303</v>
      </c>
      <c r="AM68" s="134">
        <v>44327</v>
      </c>
      <c r="AN68" s="134"/>
      <c r="AO68" s="134">
        <f t="shared" ref="AO68:AO131" ca="1" si="10">TODAY()</f>
        <v>44963</v>
      </c>
      <c r="AP68" s="126">
        <f t="shared" ref="AP68:AP131" ca="1" si="11">IF(AM68&lt;&gt;0,AO68-AM68,0)</f>
        <v>636</v>
      </c>
      <c r="AQ68" s="134">
        <f t="shared" ca="1" si="9"/>
        <v>365</v>
      </c>
      <c r="AR68" s="129" t="s">
        <v>585</v>
      </c>
      <c r="AS68" s="129" t="s">
        <v>3154</v>
      </c>
      <c r="AT68" s="129">
        <v>8.2249999999999996</v>
      </c>
      <c r="AU68" s="129">
        <v>8.24</v>
      </c>
      <c r="AV68" s="129">
        <v>8.2649999999999988</v>
      </c>
      <c r="AW68" s="129">
        <v>8.27</v>
      </c>
      <c r="AX68" s="126">
        <f t="shared" ca="1" si="7"/>
        <v>390</v>
      </c>
      <c r="BA68" s="99" t="s">
        <v>136</v>
      </c>
    </row>
    <row r="69" spans="1:53" s="650" customFormat="1" ht="21.75" customHeight="1" x14ac:dyDescent="0.35">
      <c r="A69" s="650">
        <v>386</v>
      </c>
      <c r="B69" s="651" t="str">
        <f t="shared" si="8"/>
        <v>0-J3/2B-001X595</v>
      </c>
      <c r="C69" s="652" t="s">
        <v>3636</v>
      </c>
      <c r="D69" s="651" t="s">
        <v>3026</v>
      </c>
      <c r="E69" s="651" t="s">
        <v>3178</v>
      </c>
      <c r="F69" s="653" t="s">
        <v>3641</v>
      </c>
      <c r="G69" s="651" t="s">
        <v>29</v>
      </c>
      <c r="H69" s="651" t="s">
        <v>116</v>
      </c>
      <c r="I69" s="654">
        <v>2.4</v>
      </c>
      <c r="J69" s="654">
        <v>0.95</v>
      </c>
      <c r="K69" s="654">
        <v>0.95</v>
      </c>
      <c r="L69" s="651">
        <v>0.96</v>
      </c>
      <c r="M69" s="655">
        <v>595</v>
      </c>
      <c r="N69" s="656">
        <v>4.0650000000000004</v>
      </c>
      <c r="O69" s="657">
        <v>4.0650000000000004</v>
      </c>
      <c r="P69" s="657"/>
      <c r="Q69" s="656"/>
      <c r="R69" s="656"/>
      <c r="S69" s="658">
        <f t="shared" si="1"/>
        <v>0</v>
      </c>
      <c r="T69" s="656"/>
      <c r="U69" s="658">
        <f t="shared" si="2"/>
        <v>0</v>
      </c>
      <c r="V69" s="658"/>
      <c r="W69" s="655" t="s">
        <v>3598</v>
      </c>
      <c r="X69" s="659" t="s">
        <v>116</v>
      </c>
      <c r="Y69" s="660" t="s">
        <v>3599</v>
      </c>
      <c r="Z69" s="661" t="s">
        <v>412</v>
      </c>
      <c r="AA69" s="661"/>
      <c r="AB69" s="662"/>
      <c r="AC69" s="663">
        <v>44571</v>
      </c>
      <c r="AD69" s="663">
        <v>44571</v>
      </c>
      <c r="AE69" s="663">
        <v>44599</v>
      </c>
      <c r="AF69" s="663"/>
      <c r="AG69" s="663"/>
      <c r="AH69" s="664"/>
      <c r="AI69" s="651" t="s">
        <v>64</v>
      </c>
      <c r="AJ69" s="651" t="s">
        <v>468</v>
      </c>
      <c r="AK69" s="665"/>
      <c r="AL69" s="665"/>
      <c r="AM69" s="665">
        <v>44322</v>
      </c>
      <c r="AN69" s="665"/>
      <c r="AO69" s="665">
        <f t="shared" ca="1" si="10"/>
        <v>44963</v>
      </c>
      <c r="AP69" s="651">
        <f t="shared" ca="1" si="11"/>
        <v>641</v>
      </c>
      <c r="AQ69" s="665">
        <f t="shared" ca="1" si="9"/>
        <v>364</v>
      </c>
      <c r="AR69" s="656" t="s">
        <v>541</v>
      </c>
      <c r="AS69" s="656" t="s">
        <v>542</v>
      </c>
      <c r="AT69" s="656">
        <v>8.1750000000000007</v>
      </c>
      <c r="AU69" s="656">
        <v>8.2149999999999999</v>
      </c>
      <c r="AV69" s="656">
        <v>8.2399999999999984</v>
      </c>
      <c r="AW69" s="656">
        <v>8.2449999999999992</v>
      </c>
      <c r="AX69" s="651">
        <f t="shared" ca="1" si="7"/>
        <v>392</v>
      </c>
      <c r="BA69" s="650" t="s">
        <v>136</v>
      </c>
    </row>
    <row r="70" spans="1:53" s="650" customFormat="1" ht="21.75" customHeight="1" x14ac:dyDescent="0.35">
      <c r="A70" s="650">
        <v>386</v>
      </c>
      <c r="B70" s="651" t="str">
        <f t="shared" si="8"/>
        <v>0-J3/2B-001X595</v>
      </c>
      <c r="C70" s="652" t="s">
        <v>3642</v>
      </c>
      <c r="D70" s="651" t="s">
        <v>3026</v>
      </c>
      <c r="E70" s="651" t="s">
        <v>3178</v>
      </c>
      <c r="F70" s="653" t="s">
        <v>3643</v>
      </c>
      <c r="G70" s="651" t="s">
        <v>29</v>
      </c>
      <c r="H70" s="651" t="s">
        <v>116</v>
      </c>
      <c r="I70" s="654">
        <v>2.4</v>
      </c>
      <c r="J70" s="654">
        <v>0.95</v>
      </c>
      <c r="K70" s="654">
        <v>0.95</v>
      </c>
      <c r="L70" s="651">
        <v>0.96</v>
      </c>
      <c r="M70" s="655">
        <v>595</v>
      </c>
      <c r="N70" s="656">
        <f>8.14-4.065</f>
        <v>4.0750000000000002</v>
      </c>
      <c r="O70" s="657">
        <v>3.875</v>
      </c>
      <c r="P70" s="657"/>
      <c r="Q70" s="656">
        <v>0.04</v>
      </c>
      <c r="R70" s="656"/>
      <c r="S70" s="658">
        <f t="shared" ref="S70:S133" si="12">R70/N70</f>
        <v>0</v>
      </c>
      <c r="T70" s="656">
        <v>0.12</v>
      </c>
      <c r="U70" s="658">
        <f t="shared" ref="U70:U133" si="13">T70/N70</f>
        <v>2.9447852760736193E-2</v>
      </c>
      <c r="V70" s="658"/>
      <c r="W70" s="655" t="s">
        <v>3598</v>
      </c>
      <c r="X70" s="659" t="s">
        <v>116</v>
      </c>
      <c r="Y70" s="660" t="s">
        <v>3599</v>
      </c>
      <c r="Z70" s="661" t="s">
        <v>412</v>
      </c>
      <c r="AA70" s="661"/>
      <c r="AB70" s="662"/>
      <c r="AC70" s="663">
        <v>44571</v>
      </c>
      <c r="AD70" s="663">
        <v>44571</v>
      </c>
      <c r="AE70" s="663">
        <v>44599</v>
      </c>
      <c r="AF70" s="663"/>
      <c r="AG70" s="663"/>
      <c r="AH70" s="664"/>
      <c r="AI70" s="651" t="s">
        <v>64</v>
      </c>
      <c r="AJ70" s="651" t="s">
        <v>468</v>
      </c>
      <c r="AK70" s="665"/>
      <c r="AL70" s="665"/>
      <c r="AM70" s="665">
        <v>44322</v>
      </c>
      <c r="AN70" s="665"/>
      <c r="AO70" s="665">
        <f t="shared" ca="1" si="10"/>
        <v>44963</v>
      </c>
      <c r="AP70" s="651">
        <f t="shared" ca="1" si="11"/>
        <v>641</v>
      </c>
      <c r="AQ70" s="665">
        <f t="shared" ca="1" si="9"/>
        <v>364</v>
      </c>
      <c r="AR70" s="656" t="s">
        <v>541</v>
      </c>
      <c r="AS70" s="656" t="s">
        <v>542</v>
      </c>
      <c r="AT70" s="656">
        <v>8.1750000000000007</v>
      </c>
      <c r="AU70" s="656">
        <v>8.2149999999999999</v>
      </c>
      <c r="AV70" s="656">
        <v>8.2399999999999984</v>
      </c>
      <c r="AW70" s="656">
        <v>8.2449999999999992</v>
      </c>
      <c r="AX70" s="651">
        <f t="shared" ca="1" si="7"/>
        <v>392</v>
      </c>
      <c r="BA70" s="650" t="s">
        <v>136</v>
      </c>
    </row>
    <row r="71" spans="1:53" s="99" customFormat="1" ht="21.75" customHeight="1" x14ac:dyDescent="0.35">
      <c r="A71" s="99">
        <v>421</v>
      </c>
      <c r="B71" s="126" t="str">
        <f t="shared" si="8"/>
        <v>0-304L/2B-001X770</v>
      </c>
      <c r="C71" s="294" t="s">
        <v>3642</v>
      </c>
      <c r="D71" s="126" t="s">
        <v>3026</v>
      </c>
      <c r="E71" s="126" t="s">
        <v>1218</v>
      </c>
      <c r="F71" s="143" t="s">
        <v>3644</v>
      </c>
      <c r="G71" s="126" t="s">
        <v>230</v>
      </c>
      <c r="H71" s="126" t="s">
        <v>116</v>
      </c>
      <c r="I71" s="127">
        <v>2.89</v>
      </c>
      <c r="J71" s="127">
        <v>0.74</v>
      </c>
      <c r="K71" s="127">
        <v>0.75</v>
      </c>
      <c r="L71" s="126">
        <v>0.77</v>
      </c>
      <c r="M71" s="295">
        <v>770</v>
      </c>
      <c r="N71" s="129">
        <f>12.03-4.795</f>
        <v>7.2349999999999994</v>
      </c>
      <c r="O71" s="296">
        <v>7.1349999999999998</v>
      </c>
      <c r="P71" s="297"/>
      <c r="Q71" s="129"/>
      <c r="R71" s="129"/>
      <c r="S71" s="298">
        <f t="shared" si="12"/>
        <v>0</v>
      </c>
      <c r="T71" s="129"/>
      <c r="U71" s="298">
        <f t="shared" si="13"/>
        <v>0</v>
      </c>
      <c r="V71" s="298"/>
      <c r="W71" s="295">
        <v>759</v>
      </c>
      <c r="X71" s="299" t="s">
        <v>116</v>
      </c>
      <c r="Y71" s="284" t="s">
        <v>3614</v>
      </c>
      <c r="Z71" s="282" t="s">
        <v>1143</v>
      </c>
      <c r="AA71" s="282"/>
      <c r="AB71" s="300"/>
      <c r="AC71" s="132">
        <v>44538</v>
      </c>
      <c r="AD71" s="132">
        <v>44538</v>
      </c>
      <c r="AE71" s="132">
        <v>44603</v>
      </c>
      <c r="AF71" s="132"/>
      <c r="AG71" s="132"/>
      <c r="AH71" s="133"/>
      <c r="AI71" s="126" t="s">
        <v>64</v>
      </c>
      <c r="AJ71" s="126" t="s">
        <v>154</v>
      </c>
      <c r="AK71" s="134" t="s">
        <v>1190</v>
      </c>
      <c r="AL71" s="134"/>
      <c r="AM71" s="134">
        <v>44496</v>
      </c>
      <c r="AN71" s="134"/>
      <c r="AO71" s="134">
        <f t="shared" ca="1" si="10"/>
        <v>44963</v>
      </c>
      <c r="AP71" s="126">
        <f t="shared" ca="1" si="11"/>
        <v>467</v>
      </c>
      <c r="AQ71" s="134">
        <f t="shared" ca="1" si="9"/>
        <v>360</v>
      </c>
      <c r="AR71" s="129"/>
      <c r="AS71" s="129" t="s">
        <v>1222</v>
      </c>
      <c r="AT71" s="129">
        <v>12.03</v>
      </c>
      <c r="AU71" s="129">
        <v>12.04</v>
      </c>
      <c r="AV71" s="129">
        <v>12.064999999999998</v>
      </c>
      <c r="AW71" s="129">
        <v>12.069999999999999</v>
      </c>
      <c r="AX71" s="126">
        <f t="shared" ca="1" si="7"/>
        <v>425</v>
      </c>
      <c r="BA71" s="99" t="s">
        <v>136</v>
      </c>
    </row>
    <row r="72" spans="1:53" s="99" customFormat="1" ht="21.75" customHeight="1" x14ac:dyDescent="0.35">
      <c r="A72" s="99">
        <v>421</v>
      </c>
      <c r="B72" s="126" t="str">
        <f t="shared" si="8"/>
        <v>0-304L/2B-001X770</v>
      </c>
      <c r="C72" s="294" t="s">
        <v>3642</v>
      </c>
      <c r="D72" s="126" t="s">
        <v>3026</v>
      </c>
      <c r="E72" s="126" t="s">
        <v>3266</v>
      </c>
      <c r="F72" s="143" t="s">
        <v>3645</v>
      </c>
      <c r="G72" s="126" t="s">
        <v>230</v>
      </c>
      <c r="H72" s="126" t="s">
        <v>116</v>
      </c>
      <c r="I72" s="127">
        <v>3.01</v>
      </c>
      <c r="J72" s="127">
        <v>0.74</v>
      </c>
      <c r="K72" s="127">
        <v>0.72</v>
      </c>
      <c r="L72" s="126">
        <v>0.74</v>
      </c>
      <c r="M72" s="295">
        <v>770</v>
      </c>
      <c r="N72" s="129">
        <v>12.185</v>
      </c>
      <c r="O72" s="296">
        <f>5.07+6.91</f>
        <v>11.98</v>
      </c>
      <c r="P72" s="297"/>
      <c r="Q72" s="129">
        <v>6.5000000000000002E-2</v>
      </c>
      <c r="R72" s="129"/>
      <c r="S72" s="298">
        <f t="shared" si="12"/>
        <v>0</v>
      </c>
      <c r="T72" s="129"/>
      <c r="U72" s="298">
        <f t="shared" si="13"/>
        <v>0</v>
      </c>
      <c r="V72" s="298"/>
      <c r="W72" s="295">
        <v>759</v>
      </c>
      <c r="X72" s="299" t="s">
        <v>116</v>
      </c>
      <c r="Y72" s="284" t="s">
        <v>3614</v>
      </c>
      <c r="Z72" s="282" t="s">
        <v>1143</v>
      </c>
      <c r="AA72" s="282"/>
      <c r="AB72" s="300"/>
      <c r="AC72" s="132">
        <v>44537</v>
      </c>
      <c r="AD72" s="132">
        <v>44537</v>
      </c>
      <c r="AE72" s="132">
        <v>44603</v>
      </c>
      <c r="AF72" s="132"/>
      <c r="AG72" s="132"/>
      <c r="AH72" s="133"/>
      <c r="AI72" s="126" t="s">
        <v>64</v>
      </c>
      <c r="AJ72" s="126" t="s">
        <v>154</v>
      </c>
      <c r="AK72" s="134" t="s">
        <v>1190</v>
      </c>
      <c r="AL72" s="134"/>
      <c r="AM72" s="134">
        <v>44496</v>
      </c>
      <c r="AN72" s="134"/>
      <c r="AO72" s="134">
        <f t="shared" ca="1" si="10"/>
        <v>44963</v>
      </c>
      <c r="AP72" s="126">
        <f t="shared" ca="1" si="11"/>
        <v>467</v>
      </c>
      <c r="AQ72" s="134">
        <f t="shared" ca="1" si="9"/>
        <v>360</v>
      </c>
      <c r="AR72" s="129"/>
      <c r="AS72" s="129" t="s">
        <v>3268</v>
      </c>
      <c r="AT72" s="129">
        <v>12.185</v>
      </c>
      <c r="AU72" s="129">
        <v>12.195</v>
      </c>
      <c r="AV72" s="129">
        <v>12.219999999999999</v>
      </c>
      <c r="AW72" s="129">
        <v>12.225</v>
      </c>
      <c r="AX72" s="126">
        <f t="shared" ca="1" si="7"/>
        <v>426</v>
      </c>
      <c r="BA72" s="99" t="s">
        <v>136</v>
      </c>
    </row>
    <row r="73" spans="1:53" s="99" customFormat="1" ht="21.75" customHeight="1" x14ac:dyDescent="0.35">
      <c r="A73" s="99">
        <v>386</v>
      </c>
      <c r="B73" s="126" t="str">
        <f t="shared" si="8"/>
        <v>0-J3/2B-001X595</v>
      </c>
      <c r="C73" s="294" t="s">
        <v>3646</v>
      </c>
      <c r="D73" s="126" t="s">
        <v>3026</v>
      </c>
      <c r="E73" s="126" t="s">
        <v>3180</v>
      </c>
      <c r="F73" s="143" t="s">
        <v>3647</v>
      </c>
      <c r="G73" s="126" t="s">
        <v>29</v>
      </c>
      <c r="H73" s="126" t="s">
        <v>116</v>
      </c>
      <c r="I73" s="127">
        <v>2.4</v>
      </c>
      <c r="J73" s="127">
        <v>0.95</v>
      </c>
      <c r="K73" s="127">
        <v>0.94</v>
      </c>
      <c r="L73" s="126">
        <v>0.95</v>
      </c>
      <c r="M73" s="295">
        <v>595</v>
      </c>
      <c r="N73" s="129">
        <v>8.19</v>
      </c>
      <c r="O73" s="296">
        <f>3.83+3.745</f>
        <v>7.5750000000000002</v>
      </c>
      <c r="P73" s="297"/>
      <c r="Q73" s="129">
        <f>0.255+0.055</f>
        <v>0.31</v>
      </c>
      <c r="R73" s="129"/>
      <c r="S73" s="298">
        <f t="shared" si="12"/>
        <v>0</v>
      </c>
      <c r="T73" s="129">
        <v>0.28999999999999998</v>
      </c>
      <c r="U73" s="298">
        <f t="shared" si="13"/>
        <v>3.5409035409035408E-2</v>
      </c>
      <c r="V73" s="298"/>
      <c r="W73" s="295" t="s">
        <v>3598</v>
      </c>
      <c r="X73" s="299" t="s">
        <v>116</v>
      </c>
      <c r="Y73" s="284" t="s">
        <v>3599</v>
      </c>
      <c r="Z73" s="282" t="s">
        <v>412</v>
      </c>
      <c r="AA73" s="282"/>
      <c r="AB73" s="300"/>
      <c r="AC73" s="132">
        <v>44571</v>
      </c>
      <c r="AD73" s="132">
        <v>44571</v>
      </c>
      <c r="AE73" s="132">
        <v>44599</v>
      </c>
      <c r="AF73" s="132"/>
      <c r="AG73" s="132"/>
      <c r="AH73" s="133"/>
      <c r="AI73" s="126" t="s">
        <v>64</v>
      </c>
      <c r="AJ73" s="126" t="s">
        <v>468</v>
      </c>
      <c r="AK73" s="134"/>
      <c r="AL73" s="134"/>
      <c r="AM73" s="134">
        <v>44322</v>
      </c>
      <c r="AN73" s="134"/>
      <c r="AO73" s="134">
        <f t="shared" ca="1" si="10"/>
        <v>44963</v>
      </c>
      <c r="AP73" s="126">
        <f t="shared" ca="1" si="11"/>
        <v>641</v>
      </c>
      <c r="AQ73" s="134">
        <f t="shared" ca="1" si="9"/>
        <v>364</v>
      </c>
      <c r="AR73" s="129" t="s">
        <v>531</v>
      </c>
      <c r="AS73" s="129" t="s">
        <v>632</v>
      </c>
      <c r="AT73" s="129">
        <v>8.2289999999999992</v>
      </c>
      <c r="AU73" s="129">
        <v>8.2689999999999984</v>
      </c>
      <c r="AV73" s="129">
        <v>8.2939999999999969</v>
      </c>
      <c r="AW73" s="129">
        <v>8.2989999999999977</v>
      </c>
      <c r="AX73" s="126">
        <f t="shared" ca="1" si="7"/>
        <v>392</v>
      </c>
      <c r="BA73" s="99" t="s">
        <v>136</v>
      </c>
    </row>
    <row r="74" spans="1:53" s="99" customFormat="1" ht="21.75" customHeight="1" x14ac:dyDescent="0.35">
      <c r="A74" s="99">
        <v>386</v>
      </c>
      <c r="B74" s="126" t="str">
        <f t="shared" si="8"/>
        <v>0-J3/2B-001X595</v>
      </c>
      <c r="C74" s="294" t="s">
        <v>3646</v>
      </c>
      <c r="D74" s="126" t="s">
        <v>3026</v>
      </c>
      <c r="E74" s="126" t="s">
        <v>3099</v>
      </c>
      <c r="F74" s="143" t="s">
        <v>3648</v>
      </c>
      <c r="G74" s="126" t="s">
        <v>29</v>
      </c>
      <c r="H74" s="126" t="s">
        <v>116</v>
      </c>
      <c r="I74" s="127">
        <v>2.4</v>
      </c>
      <c r="J74" s="127">
        <v>0.95</v>
      </c>
      <c r="K74" s="127">
        <v>0.94</v>
      </c>
      <c r="L74" s="126">
        <v>0.95</v>
      </c>
      <c r="M74" s="295">
        <v>595</v>
      </c>
      <c r="N74" s="129">
        <v>8.0299999999999994</v>
      </c>
      <c r="O74" s="296">
        <f>3.985+3.865</f>
        <v>7.85</v>
      </c>
      <c r="P74" s="297"/>
      <c r="Q74" s="129">
        <v>0.05</v>
      </c>
      <c r="R74" s="129"/>
      <c r="S74" s="298">
        <f t="shared" si="12"/>
        <v>0</v>
      </c>
      <c r="T74" s="129">
        <v>0.13</v>
      </c>
      <c r="U74" s="298">
        <f t="shared" si="13"/>
        <v>1.6189290161892904E-2</v>
      </c>
      <c r="V74" s="298"/>
      <c r="W74" s="295" t="s">
        <v>3598</v>
      </c>
      <c r="X74" s="299" t="s">
        <v>116</v>
      </c>
      <c r="Y74" s="284" t="s">
        <v>3599</v>
      </c>
      <c r="Z74" s="282" t="s">
        <v>412</v>
      </c>
      <c r="AA74" s="282"/>
      <c r="AB74" s="300"/>
      <c r="AC74" s="132">
        <v>44570</v>
      </c>
      <c r="AD74" s="132">
        <v>44571</v>
      </c>
      <c r="AE74" s="132">
        <v>44596</v>
      </c>
      <c r="AF74" s="132"/>
      <c r="AG74" s="132"/>
      <c r="AH74" s="133"/>
      <c r="AI74" s="126" t="s">
        <v>64</v>
      </c>
      <c r="AJ74" s="126" t="s">
        <v>468</v>
      </c>
      <c r="AK74" s="134"/>
      <c r="AL74" s="134"/>
      <c r="AM74" s="134">
        <v>44322</v>
      </c>
      <c r="AN74" s="134"/>
      <c r="AO74" s="134">
        <f t="shared" ca="1" si="10"/>
        <v>44963</v>
      </c>
      <c r="AP74" s="126">
        <f t="shared" ca="1" si="11"/>
        <v>641</v>
      </c>
      <c r="AQ74" s="134">
        <f t="shared" ca="1" si="9"/>
        <v>367</v>
      </c>
      <c r="AR74" s="129" t="s">
        <v>545</v>
      </c>
      <c r="AS74" s="129" t="s">
        <v>517</v>
      </c>
      <c r="AT74" s="129">
        <v>8.0749999999999993</v>
      </c>
      <c r="AU74" s="129">
        <v>8.1149999999999984</v>
      </c>
      <c r="AV74" s="129">
        <v>8.139999999999997</v>
      </c>
      <c r="AW74" s="129">
        <v>8.1449999999999978</v>
      </c>
      <c r="AX74" s="126">
        <f t="shared" ca="1" si="7"/>
        <v>392</v>
      </c>
      <c r="BA74" s="99" t="s">
        <v>136</v>
      </c>
    </row>
    <row r="75" spans="1:53" s="99" customFormat="1" ht="21.75" customHeight="1" x14ac:dyDescent="0.35">
      <c r="A75" s="99">
        <v>386</v>
      </c>
      <c r="B75" s="126" t="str">
        <f t="shared" si="8"/>
        <v>0-J3/2B-001X595</v>
      </c>
      <c r="C75" s="294" t="s">
        <v>3646</v>
      </c>
      <c r="D75" s="126" t="s">
        <v>3026</v>
      </c>
      <c r="E75" s="126" t="s">
        <v>3096</v>
      </c>
      <c r="F75" s="143" t="s">
        <v>3649</v>
      </c>
      <c r="G75" s="126" t="s">
        <v>29</v>
      </c>
      <c r="H75" s="126" t="s">
        <v>116</v>
      </c>
      <c r="I75" s="127">
        <v>2.4</v>
      </c>
      <c r="J75" s="127">
        <v>0.95</v>
      </c>
      <c r="K75" s="127">
        <v>0.94</v>
      </c>
      <c r="L75" s="126">
        <v>0.96</v>
      </c>
      <c r="M75" s="295">
        <v>595</v>
      </c>
      <c r="N75" s="129">
        <v>8.1999999999999993</v>
      </c>
      <c r="O75" s="296">
        <f>3.98+4.07</f>
        <v>8.0500000000000007</v>
      </c>
      <c r="P75" s="297"/>
      <c r="Q75" s="129"/>
      <c r="R75" s="129">
        <v>0.03</v>
      </c>
      <c r="S75" s="298">
        <f t="shared" si="12"/>
        <v>3.6585365853658539E-3</v>
      </c>
      <c r="T75" s="129">
        <v>0.12</v>
      </c>
      <c r="U75" s="298">
        <f t="shared" si="13"/>
        <v>1.4634146341463415E-2</v>
      </c>
      <c r="V75" s="298"/>
      <c r="W75" s="295" t="s">
        <v>3598</v>
      </c>
      <c r="X75" s="299" t="s">
        <v>116</v>
      </c>
      <c r="Y75" s="284" t="s">
        <v>3599</v>
      </c>
      <c r="Z75" s="282" t="s">
        <v>412</v>
      </c>
      <c r="AA75" s="282"/>
      <c r="AB75" s="300"/>
      <c r="AC75" s="132">
        <v>44571</v>
      </c>
      <c r="AD75" s="132">
        <v>44571</v>
      </c>
      <c r="AE75" s="132">
        <v>44595</v>
      </c>
      <c r="AF75" s="132"/>
      <c r="AG75" s="132"/>
      <c r="AH75" s="133"/>
      <c r="AI75" s="126" t="s">
        <v>64</v>
      </c>
      <c r="AJ75" s="126" t="s">
        <v>468</v>
      </c>
      <c r="AK75" s="134"/>
      <c r="AL75" s="134"/>
      <c r="AM75" s="134">
        <v>44322</v>
      </c>
      <c r="AN75" s="134"/>
      <c r="AO75" s="134">
        <f t="shared" ca="1" si="10"/>
        <v>44963</v>
      </c>
      <c r="AP75" s="126">
        <f t="shared" ca="1" si="11"/>
        <v>641</v>
      </c>
      <c r="AQ75" s="134">
        <f t="shared" ca="1" si="9"/>
        <v>368</v>
      </c>
      <c r="AR75" s="129" t="s">
        <v>477</v>
      </c>
      <c r="AS75" s="129" t="s">
        <v>480</v>
      </c>
      <c r="AT75" s="129">
        <v>8.2309999999999999</v>
      </c>
      <c r="AU75" s="129">
        <v>8.270999999999999</v>
      </c>
      <c r="AV75" s="129">
        <v>8.2959999999999976</v>
      </c>
      <c r="AW75" s="129">
        <v>8.3009999999999984</v>
      </c>
      <c r="AX75" s="126">
        <f t="shared" ca="1" si="7"/>
        <v>392</v>
      </c>
      <c r="BA75" s="99" t="s">
        <v>136</v>
      </c>
    </row>
    <row r="76" spans="1:53" s="99" customFormat="1" ht="21.75" customHeight="1" x14ac:dyDescent="0.35">
      <c r="A76" s="99">
        <v>421</v>
      </c>
      <c r="B76" s="126" t="str">
        <f t="shared" si="8"/>
        <v>0-304L/2B-001X770</v>
      </c>
      <c r="C76" s="294" t="s">
        <v>3646</v>
      </c>
      <c r="D76" s="126" t="s">
        <v>3026</v>
      </c>
      <c r="E76" s="126" t="s">
        <v>3269</v>
      </c>
      <c r="F76" s="143" t="s">
        <v>3650</v>
      </c>
      <c r="G76" s="126" t="s">
        <v>230</v>
      </c>
      <c r="H76" s="126" t="s">
        <v>116</v>
      </c>
      <c r="I76" s="127">
        <v>3.01</v>
      </c>
      <c r="J76" s="127">
        <v>0.91</v>
      </c>
      <c r="K76" s="127">
        <v>0.91</v>
      </c>
      <c r="L76" s="126">
        <v>0.95</v>
      </c>
      <c r="M76" s="295">
        <v>770</v>
      </c>
      <c r="N76" s="129">
        <v>10.53</v>
      </c>
      <c r="O76" s="296">
        <f>5.065+5.22</f>
        <v>10.285</v>
      </c>
      <c r="P76" s="297"/>
      <c r="Q76" s="129">
        <v>0.105</v>
      </c>
      <c r="R76" s="129">
        <v>0.03</v>
      </c>
      <c r="S76" s="298">
        <f t="shared" si="12"/>
        <v>2.8490028490028491E-3</v>
      </c>
      <c r="T76" s="129">
        <v>0.11</v>
      </c>
      <c r="U76" s="298">
        <f t="shared" si="13"/>
        <v>1.0446343779677113E-2</v>
      </c>
      <c r="V76" s="298"/>
      <c r="W76" s="295">
        <v>759</v>
      </c>
      <c r="X76" s="299" t="s">
        <v>116</v>
      </c>
      <c r="Y76" s="284" t="s">
        <v>3614</v>
      </c>
      <c r="Z76" s="282" t="s">
        <v>1143</v>
      </c>
      <c r="AA76" s="282"/>
      <c r="AB76" s="300"/>
      <c r="AC76" s="132">
        <v>44537</v>
      </c>
      <c r="AD76" s="132">
        <v>44537</v>
      </c>
      <c r="AE76" s="132">
        <v>44603</v>
      </c>
      <c r="AF76" s="132"/>
      <c r="AG76" s="132"/>
      <c r="AH76" s="133"/>
      <c r="AI76" s="126" t="s">
        <v>64</v>
      </c>
      <c r="AJ76" s="126" t="s">
        <v>154</v>
      </c>
      <c r="AK76" s="134" t="s">
        <v>1239</v>
      </c>
      <c r="AL76" s="134"/>
      <c r="AM76" s="134">
        <v>44496</v>
      </c>
      <c r="AN76" s="134"/>
      <c r="AO76" s="134">
        <f t="shared" ca="1" si="10"/>
        <v>44963</v>
      </c>
      <c r="AP76" s="126">
        <f t="shared" ca="1" si="11"/>
        <v>467</v>
      </c>
      <c r="AQ76" s="134">
        <f t="shared" ca="1" si="9"/>
        <v>360</v>
      </c>
      <c r="AR76" s="129"/>
      <c r="AS76" s="129" t="s">
        <v>3271</v>
      </c>
      <c r="AT76" s="129">
        <v>10.55</v>
      </c>
      <c r="AU76" s="129">
        <v>10.56</v>
      </c>
      <c r="AV76" s="129">
        <v>10.584999999999999</v>
      </c>
      <c r="AW76" s="129">
        <v>10.59</v>
      </c>
      <c r="AX76" s="126">
        <f t="shared" ca="1" si="7"/>
        <v>426</v>
      </c>
      <c r="BA76" s="99" t="s">
        <v>136</v>
      </c>
    </row>
    <row r="77" spans="1:53" s="99" customFormat="1" ht="21.75" customHeight="1" x14ac:dyDescent="0.35">
      <c r="A77" s="99">
        <v>421</v>
      </c>
      <c r="B77" s="126" t="str">
        <f t="shared" si="8"/>
        <v>0-304L/2B-001X770</v>
      </c>
      <c r="C77" s="294" t="s">
        <v>3646</v>
      </c>
      <c r="D77" s="126" t="s">
        <v>3026</v>
      </c>
      <c r="E77" s="126" t="s">
        <v>3262</v>
      </c>
      <c r="F77" s="143" t="s">
        <v>3651</v>
      </c>
      <c r="G77" s="126" t="s">
        <v>230</v>
      </c>
      <c r="H77" s="126" t="s">
        <v>116</v>
      </c>
      <c r="I77" s="127">
        <v>2.8</v>
      </c>
      <c r="J77" s="127">
        <v>0.6</v>
      </c>
      <c r="K77" s="127">
        <v>0.6</v>
      </c>
      <c r="L77" s="126">
        <v>0.61</v>
      </c>
      <c r="M77" s="295">
        <v>770</v>
      </c>
      <c r="N77" s="129">
        <v>10.525</v>
      </c>
      <c r="O77" s="296">
        <f>5.09+5.145</f>
        <v>10.234999999999999</v>
      </c>
      <c r="P77" s="297"/>
      <c r="Q77" s="129">
        <v>0.16</v>
      </c>
      <c r="R77" s="129">
        <v>2.5000000000000001E-2</v>
      </c>
      <c r="S77" s="298">
        <f t="shared" si="12"/>
        <v>2.3752969121140144E-3</v>
      </c>
      <c r="T77" s="129">
        <v>0.105</v>
      </c>
      <c r="U77" s="298">
        <f t="shared" si="13"/>
        <v>9.9762470308788591E-3</v>
      </c>
      <c r="V77" s="298"/>
      <c r="W77" s="295">
        <v>759</v>
      </c>
      <c r="X77" s="299" t="s">
        <v>116</v>
      </c>
      <c r="Y77" s="284" t="s">
        <v>3614</v>
      </c>
      <c r="Z77" s="282" t="s">
        <v>1143</v>
      </c>
      <c r="AA77" s="282"/>
      <c r="AB77" s="300"/>
      <c r="AC77" s="132">
        <v>44537</v>
      </c>
      <c r="AD77" s="132">
        <v>44537</v>
      </c>
      <c r="AE77" s="132">
        <v>44603</v>
      </c>
      <c r="AF77" s="132"/>
      <c r="AG77" s="132"/>
      <c r="AH77" s="133"/>
      <c r="AI77" s="126" t="s">
        <v>64</v>
      </c>
      <c r="AJ77" s="126" t="s">
        <v>154</v>
      </c>
      <c r="AK77" s="134" t="s">
        <v>1190</v>
      </c>
      <c r="AL77" s="134"/>
      <c r="AM77" s="134">
        <v>44496</v>
      </c>
      <c r="AN77" s="134"/>
      <c r="AO77" s="134">
        <f t="shared" ca="1" si="10"/>
        <v>44963</v>
      </c>
      <c r="AP77" s="126">
        <f t="shared" ca="1" si="11"/>
        <v>467</v>
      </c>
      <c r="AQ77" s="134">
        <f t="shared" ca="1" si="9"/>
        <v>360</v>
      </c>
      <c r="AR77" s="129"/>
      <c r="AS77" s="129" t="s">
        <v>2933</v>
      </c>
      <c r="AT77" s="129">
        <v>10.535</v>
      </c>
      <c r="AU77" s="129">
        <v>10.545</v>
      </c>
      <c r="AV77" s="129">
        <v>10.569999999999999</v>
      </c>
      <c r="AW77" s="129">
        <v>10.574999999999999</v>
      </c>
      <c r="AX77" s="126">
        <f t="shared" ca="1" si="7"/>
        <v>426</v>
      </c>
      <c r="BA77" s="99" t="s">
        <v>136</v>
      </c>
    </row>
    <row r="78" spans="1:53" s="99" customFormat="1" ht="21.75" customHeight="1" x14ac:dyDescent="0.35">
      <c r="A78" s="99">
        <v>421</v>
      </c>
      <c r="B78" s="126" t="str">
        <f t="shared" si="8"/>
        <v>0-304L/2B-001X770</v>
      </c>
      <c r="C78" s="294" t="s">
        <v>3646</v>
      </c>
      <c r="D78" s="126" t="s">
        <v>3026</v>
      </c>
      <c r="E78" s="126" t="s">
        <v>3260</v>
      </c>
      <c r="F78" s="143" t="s">
        <v>3652</v>
      </c>
      <c r="G78" s="126" t="s">
        <v>230</v>
      </c>
      <c r="H78" s="126" t="s">
        <v>116</v>
      </c>
      <c r="I78" s="127">
        <v>2.99</v>
      </c>
      <c r="J78" s="127">
        <v>0.91</v>
      </c>
      <c r="K78" s="127">
        <v>0.89</v>
      </c>
      <c r="L78" s="126">
        <v>0.91</v>
      </c>
      <c r="M78" s="295">
        <v>770</v>
      </c>
      <c r="N78" s="129">
        <v>10.484999999999999</v>
      </c>
      <c r="O78" s="296">
        <f>4.995+5.265</f>
        <v>10.26</v>
      </c>
      <c r="P78" s="297"/>
      <c r="Q78" s="129">
        <v>9.5000000000000001E-2</v>
      </c>
      <c r="R78" s="129">
        <v>1.4999999999999999E-2</v>
      </c>
      <c r="S78" s="298">
        <f t="shared" si="12"/>
        <v>1.4306151645207439E-3</v>
      </c>
      <c r="T78" s="129">
        <v>0.15</v>
      </c>
      <c r="U78" s="298">
        <f t="shared" si="13"/>
        <v>1.4306151645207439E-2</v>
      </c>
      <c r="V78" s="298"/>
      <c r="W78" s="295">
        <v>759</v>
      </c>
      <c r="X78" s="299" t="s">
        <v>116</v>
      </c>
      <c r="Y78" s="284" t="s">
        <v>3614</v>
      </c>
      <c r="Z78" s="282" t="s">
        <v>1143</v>
      </c>
      <c r="AA78" s="282"/>
      <c r="AB78" s="300"/>
      <c r="AC78" s="132">
        <v>44537</v>
      </c>
      <c r="AD78" s="132">
        <v>44537</v>
      </c>
      <c r="AE78" s="132">
        <v>44603</v>
      </c>
      <c r="AF78" s="132"/>
      <c r="AG78" s="132"/>
      <c r="AH78" s="133"/>
      <c r="AI78" s="126" t="s">
        <v>64</v>
      </c>
      <c r="AJ78" s="126" t="s">
        <v>154</v>
      </c>
      <c r="AK78" s="134" t="s">
        <v>1246</v>
      </c>
      <c r="AL78" s="134"/>
      <c r="AM78" s="134">
        <v>44496</v>
      </c>
      <c r="AN78" s="134"/>
      <c r="AO78" s="134">
        <f t="shared" ca="1" si="10"/>
        <v>44963</v>
      </c>
      <c r="AP78" s="126">
        <f t="shared" ca="1" si="11"/>
        <v>467</v>
      </c>
      <c r="AQ78" s="134">
        <f t="shared" ca="1" si="9"/>
        <v>360</v>
      </c>
      <c r="AR78" s="129"/>
      <c r="AS78" s="129" t="s">
        <v>2785</v>
      </c>
      <c r="AT78" s="129">
        <v>10.52</v>
      </c>
      <c r="AU78" s="129">
        <v>10.53</v>
      </c>
      <c r="AV78" s="129">
        <v>10.554999999999998</v>
      </c>
      <c r="AW78" s="129">
        <v>10.559999999999999</v>
      </c>
      <c r="AX78" s="126">
        <f t="shared" ca="1" si="7"/>
        <v>426</v>
      </c>
      <c r="BA78" s="99" t="s">
        <v>136</v>
      </c>
    </row>
    <row r="79" spans="1:53" s="99" customFormat="1" ht="21.75" customHeight="1" x14ac:dyDescent="0.35">
      <c r="A79" s="99">
        <v>422</v>
      </c>
      <c r="B79" s="126" t="str">
        <f t="shared" si="8"/>
        <v>0-304L/2B-002X777</v>
      </c>
      <c r="C79" s="294" t="s">
        <v>3646</v>
      </c>
      <c r="D79" s="126" t="s">
        <v>3026</v>
      </c>
      <c r="E79" s="126" t="s">
        <v>3245</v>
      </c>
      <c r="F79" s="143" t="s">
        <v>3653</v>
      </c>
      <c r="G79" s="126" t="s">
        <v>230</v>
      </c>
      <c r="H79" s="126" t="s">
        <v>116</v>
      </c>
      <c r="I79" s="127">
        <v>3.8</v>
      </c>
      <c r="J79" s="127">
        <v>1.9</v>
      </c>
      <c r="K79" s="127">
        <v>1.89</v>
      </c>
      <c r="L79" s="126">
        <v>1.91</v>
      </c>
      <c r="M79" s="295">
        <v>777</v>
      </c>
      <c r="N79" s="129">
        <v>10.52</v>
      </c>
      <c r="O79" s="296">
        <f>4.98+5.255</f>
        <v>10.234999999999999</v>
      </c>
      <c r="P79" s="297"/>
      <c r="Q79" s="129"/>
      <c r="R79" s="129">
        <v>0.13</v>
      </c>
      <c r="S79" s="298">
        <f t="shared" si="12"/>
        <v>1.2357414448669203E-2</v>
      </c>
      <c r="T79" s="129">
        <v>0.15</v>
      </c>
      <c r="U79" s="298">
        <f t="shared" si="13"/>
        <v>1.4258555133079848E-2</v>
      </c>
      <c r="V79" s="298"/>
      <c r="W79" s="295">
        <v>759</v>
      </c>
      <c r="X79" s="299" t="s">
        <v>116</v>
      </c>
      <c r="Y79" s="284" t="s">
        <v>3614</v>
      </c>
      <c r="Z79" s="282" t="s">
        <v>1143</v>
      </c>
      <c r="AA79" s="282"/>
      <c r="AB79" s="300"/>
      <c r="AC79" s="132">
        <v>44537</v>
      </c>
      <c r="AD79" s="132">
        <v>44537</v>
      </c>
      <c r="AE79" s="132">
        <v>44602</v>
      </c>
      <c r="AF79" s="132"/>
      <c r="AG79" s="132"/>
      <c r="AH79" s="133"/>
      <c r="AI79" s="126" t="s">
        <v>64</v>
      </c>
      <c r="AJ79" s="126" t="s">
        <v>154</v>
      </c>
      <c r="AK79" s="134" t="s">
        <v>1330</v>
      </c>
      <c r="AL79" s="134"/>
      <c r="AM79" s="134">
        <v>44516</v>
      </c>
      <c r="AN79" s="134"/>
      <c r="AO79" s="134">
        <f t="shared" ca="1" si="10"/>
        <v>44963</v>
      </c>
      <c r="AP79" s="126">
        <f t="shared" ca="1" si="11"/>
        <v>447</v>
      </c>
      <c r="AQ79" s="134">
        <f t="shared" ca="1" si="9"/>
        <v>361</v>
      </c>
      <c r="AR79" s="129"/>
      <c r="AS79" s="129" t="s">
        <v>3247</v>
      </c>
      <c r="AT79" s="129">
        <v>10.545</v>
      </c>
      <c r="AU79" s="129">
        <v>10.555</v>
      </c>
      <c r="AV79" s="129">
        <v>10.579999999999998</v>
      </c>
      <c r="AW79" s="129">
        <v>10.584999999999999</v>
      </c>
      <c r="AX79" s="126">
        <f t="shared" ca="1" si="7"/>
        <v>426</v>
      </c>
      <c r="BA79" s="99" t="s">
        <v>136</v>
      </c>
    </row>
    <row r="80" spans="1:53" s="99" customFormat="1" ht="21.75" customHeight="1" x14ac:dyDescent="0.35">
      <c r="A80" s="99">
        <v>422</v>
      </c>
      <c r="B80" s="126" t="str">
        <f t="shared" si="8"/>
        <v>0-304L/2B-002X770</v>
      </c>
      <c r="C80" s="294" t="s">
        <v>3646</v>
      </c>
      <c r="D80" s="126" t="s">
        <v>3026</v>
      </c>
      <c r="E80" s="126" t="s">
        <v>3252</v>
      </c>
      <c r="F80" s="143" t="s">
        <v>3654</v>
      </c>
      <c r="G80" s="126" t="s">
        <v>230</v>
      </c>
      <c r="H80" s="126" t="s">
        <v>116</v>
      </c>
      <c r="I80" s="127">
        <v>3.98</v>
      </c>
      <c r="J80" s="127">
        <v>1.9</v>
      </c>
      <c r="K80" s="127">
        <v>1.88</v>
      </c>
      <c r="L80" s="126">
        <v>1.91</v>
      </c>
      <c r="M80" s="295">
        <v>770</v>
      </c>
      <c r="N80" s="129">
        <v>11.92</v>
      </c>
      <c r="O80" s="296">
        <f>5.05+6.675</f>
        <v>11.725</v>
      </c>
      <c r="P80" s="297"/>
      <c r="Q80" s="129"/>
      <c r="R80" s="129">
        <v>0.05</v>
      </c>
      <c r="S80" s="298">
        <f t="shared" si="12"/>
        <v>4.1946308724832215E-3</v>
      </c>
      <c r="T80" s="129">
        <v>0.14499999999999999</v>
      </c>
      <c r="U80" s="298">
        <f t="shared" si="13"/>
        <v>1.2164429530201342E-2</v>
      </c>
      <c r="V80" s="298"/>
      <c r="W80" s="295">
        <v>759</v>
      </c>
      <c r="X80" s="299" t="s">
        <v>116</v>
      </c>
      <c r="Y80" s="284" t="s">
        <v>3614</v>
      </c>
      <c r="Z80" s="282" t="s">
        <v>1143</v>
      </c>
      <c r="AA80" s="282"/>
      <c r="AB80" s="300"/>
      <c r="AC80" s="132">
        <v>44537</v>
      </c>
      <c r="AD80" s="132">
        <v>44537</v>
      </c>
      <c r="AE80" s="132">
        <v>44603</v>
      </c>
      <c r="AF80" s="132"/>
      <c r="AG80" s="132"/>
      <c r="AH80" s="133"/>
      <c r="AI80" s="126" t="s">
        <v>64</v>
      </c>
      <c r="AJ80" s="126" t="s">
        <v>154</v>
      </c>
      <c r="AK80" s="134" t="s">
        <v>1330</v>
      </c>
      <c r="AL80" s="134"/>
      <c r="AM80" s="134">
        <v>44516</v>
      </c>
      <c r="AN80" s="134"/>
      <c r="AO80" s="134">
        <f t="shared" ca="1" si="10"/>
        <v>44963</v>
      </c>
      <c r="AP80" s="126">
        <f t="shared" ca="1" si="11"/>
        <v>447</v>
      </c>
      <c r="AQ80" s="134">
        <f t="shared" ca="1" si="9"/>
        <v>360</v>
      </c>
      <c r="AR80" s="129"/>
      <c r="AS80" s="129" t="s">
        <v>3227</v>
      </c>
      <c r="AT80" s="129">
        <v>11.94</v>
      </c>
      <c r="AU80" s="129">
        <v>11.95</v>
      </c>
      <c r="AV80" s="129">
        <v>11.974999999999998</v>
      </c>
      <c r="AW80" s="129">
        <v>11.979999999999999</v>
      </c>
      <c r="AX80" s="126">
        <f t="shared" ca="1" si="7"/>
        <v>426</v>
      </c>
      <c r="BA80" s="99" t="s">
        <v>136</v>
      </c>
    </row>
    <row r="81" spans="1:53" s="99" customFormat="1" ht="21.75" customHeight="1" x14ac:dyDescent="0.35">
      <c r="A81" s="99">
        <v>422</v>
      </c>
      <c r="B81" s="126" t="str">
        <f t="shared" si="8"/>
        <v>0-304L/2B-002X776</v>
      </c>
      <c r="C81" s="294" t="s">
        <v>3655</v>
      </c>
      <c r="D81" s="126" t="s">
        <v>3026</v>
      </c>
      <c r="E81" s="126" t="s">
        <v>3240</v>
      </c>
      <c r="F81" s="143" t="s">
        <v>3656</v>
      </c>
      <c r="G81" s="126" t="s">
        <v>230</v>
      </c>
      <c r="H81" s="126" t="s">
        <v>116</v>
      </c>
      <c r="I81" s="127">
        <v>3.81</v>
      </c>
      <c r="J81" s="127">
        <v>1.85</v>
      </c>
      <c r="K81" s="127">
        <v>1.82</v>
      </c>
      <c r="L81" s="126">
        <v>1.85</v>
      </c>
      <c r="M81" s="295">
        <v>776</v>
      </c>
      <c r="N81" s="129">
        <v>10.41</v>
      </c>
      <c r="O81" s="296">
        <f>5.03+5.08</f>
        <v>10.11</v>
      </c>
      <c r="P81" s="297"/>
      <c r="Q81" s="129"/>
      <c r="R81" s="129">
        <v>0.06</v>
      </c>
      <c r="S81" s="298">
        <f t="shared" si="12"/>
        <v>5.763688760806916E-3</v>
      </c>
      <c r="T81" s="129">
        <v>0.14000000000000001</v>
      </c>
      <c r="U81" s="298">
        <f t="shared" si="13"/>
        <v>1.3448607108549473E-2</v>
      </c>
      <c r="V81" s="298"/>
      <c r="W81" s="295">
        <v>759</v>
      </c>
      <c r="X81" s="299" t="s">
        <v>116</v>
      </c>
      <c r="Y81" s="284" t="s">
        <v>3614</v>
      </c>
      <c r="Z81" s="282" t="s">
        <v>1143</v>
      </c>
      <c r="AA81" s="282"/>
      <c r="AB81" s="300"/>
      <c r="AC81" s="132">
        <v>44538</v>
      </c>
      <c r="AD81" s="132">
        <v>44538</v>
      </c>
      <c r="AE81" s="132">
        <v>44602</v>
      </c>
      <c r="AF81" s="132"/>
      <c r="AG81" s="132"/>
      <c r="AH81" s="133"/>
      <c r="AI81" s="126" t="s">
        <v>64</v>
      </c>
      <c r="AJ81" s="126" t="s">
        <v>154</v>
      </c>
      <c r="AK81" s="134" t="s">
        <v>1330</v>
      </c>
      <c r="AL81" s="134"/>
      <c r="AM81" s="134">
        <v>44516</v>
      </c>
      <c r="AN81" s="134"/>
      <c r="AO81" s="134">
        <f t="shared" ca="1" si="10"/>
        <v>44963</v>
      </c>
      <c r="AP81" s="126">
        <f t="shared" ca="1" si="11"/>
        <v>447</v>
      </c>
      <c r="AQ81" s="134">
        <f t="shared" ca="1" si="9"/>
        <v>361</v>
      </c>
      <c r="AR81" s="129"/>
      <c r="AS81" s="129" t="s">
        <v>2946</v>
      </c>
      <c r="AT81" s="129">
        <v>10.45</v>
      </c>
      <c r="AU81" s="129">
        <v>10.46</v>
      </c>
      <c r="AV81" s="129">
        <v>10.484999999999999</v>
      </c>
      <c r="AW81" s="129">
        <v>10.49</v>
      </c>
      <c r="AX81" s="126">
        <f t="shared" ca="1" si="7"/>
        <v>425</v>
      </c>
      <c r="BA81" s="99" t="s">
        <v>136</v>
      </c>
    </row>
    <row r="82" spans="1:53" s="99" customFormat="1" ht="21.75" customHeight="1" x14ac:dyDescent="0.35">
      <c r="A82" s="99">
        <v>422</v>
      </c>
      <c r="B82" s="126" t="str">
        <f t="shared" si="8"/>
        <v>0-304L/2B-002X777</v>
      </c>
      <c r="C82" s="294" t="s">
        <v>3655</v>
      </c>
      <c r="D82" s="126" t="s">
        <v>3026</v>
      </c>
      <c r="E82" s="126" t="s">
        <v>3257</v>
      </c>
      <c r="F82" s="143" t="s">
        <v>3657</v>
      </c>
      <c r="G82" s="126" t="s">
        <v>230</v>
      </c>
      <c r="H82" s="126" t="s">
        <v>116</v>
      </c>
      <c r="I82" s="127">
        <v>3.8</v>
      </c>
      <c r="J82" s="127">
        <v>1.85</v>
      </c>
      <c r="K82" s="127">
        <v>1.85</v>
      </c>
      <c r="L82" s="126">
        <v>1.87</v>
      </c>
      <c r="M82" s="295">
        <v>777</v>
      </c>
      <c r="N82" s="129">
        <v>10.215</v>
      </c>
      <c r="O82" s="296">
        <f>5.06+4.885</f>
        <v>9.9450000000000003</v>
      </c>
      <c r="P82" s="297"/>
      <c r="Q82" s="129"/>
      <c r="R82" s="129">
        <v>6.5000000000000002E-2</v>
      </c>
      <c r="S82" s="298">
        <f t="shared" si="12"/>
        <v>6.3631913852178175E-3</v>
      </c>
      <c r="T82" s="129">
        <v>0.20499999999999999</v>
      </c>
      <c r="U82" s="298">
        <f t="shared" si="13"/>
        <v>2.0068526676456189E-2</v>
      </c>
      <c r="V82" s="298"/>
      <c r="W82" s="295">
        <v>759</v>
      </c>
      <c r="X82" s="299" t="s">
        <v>116</v>
      </c>
      <c r="Y82" s="284" t="s">
        <v>3614</v>
      </c>
      <c r="Z82" s="282" t="s">
        <v>1143</v>
      </c>
      <c r="AA82" s="282"/>
      <c r="AB82" s="300"/>
      <c r="AC82" s="132">
        <v>44537</v>
      </c>
      <c r="AD82" s="132">
        <v>44538</v>
      </c>
      <c r="AE82" s="132">
        <v>44603</v>
      </c>
      <c r="AF82" s="132"/>
      <c r="AG82" s="132"/>
      <c r="AH82" s="133"/>
      <c r="AI82" s="126" t="s">
        <v>64</v>
      </c>
      <c r="AJ82" s="126" t="s">
        <v>154</v>
      </c>
      <c r="AK82" s="134" t="s">
        <v>1296</v>
      </c>
      <c r="AL82" s="134"/>
      <c r="AM82" s="134">
        <v>44516</v>
      </c>
      <c r="AN82" s="134"/>
      <c r="AO82" s="134">
        <f t="shared" ca="1" si="10"/>
        <v>44963</v>
      </c>
      <c r="AP82" s="126">
        <f t="shared" ca="1" si="11"/>
        <v>447</v>
      </c>
      <c r="AQ82" s="134">
        <f t="shared" ca="1" si="9"/>
        <v>360</v>
      </c>
      <c r="AR82" s="129"/>
      <c r="AS82" s="129" t="s">
        <v>3259</v>
      </c>
      <c r="AT82" s="129">
        <v>10.24</v>
      </c>
      <c r="AU82" s="129">
        <v>10.25</v>
      </c>
      <c r="AV82" s="129">
        <v>10.274999999999999</v>
      </c>
      <c r="AW82" s="129">
        <v>10.28</v>
      </c>
      <c r="AX82" s="126">
        <f t="shared" ca="1" si="7"/>
        <v>425</v>
      </c>
      <c r="BA82" s="99" t="s">
        <v>136</v>
      </c>
    </row>
    <row r="83" spans="1:53" s="666" customFormat="1" ht="21.75" customHeight="1" x14ac:dyDescent="0.35">
      <c r="A83" s="666">
        <v>424</v>
      </c>
      <c r="B83" s="667" t="str">
        <f t="shared" si="8"/>
        <v>0-304L/2B-002X774</v>
      </c>
      <c r="C83" s="668" t="s">
        <v>3655</v>
      </c>
      <c r="D83" s="667" t="s">
        <v>3026</v>
      </c>
      <c r="E83" s="667" t="s">
        <v>2808</v>
      </c>
      <c r="F83" s="669" t="s">
        <v>3658</v>
      </c>
      <c r="G83" s="667" t="s">
        <v>230</v>
      </c>
      <c r="H83" s="667" t="s">
        <v>116</v>
      </c>
      <c r="I83" s="670">
        <v>3.78</v>
      </c>
      <c r="J83" s="670">
        <v>1.5</v>
      </c>
      <c r="K83" s="670">
        <v>1.48</v>
      </c>
      <c r="L83" s="667">
        <v>1.51</v>
      </c>
      <c r="M83" s="671">
        <v>774</v>
      </c>
      <c r="N83" s="672">
        <v>5.09</v>
      </c>
      <c r="O83" s="673">
        <v>4.9649999999999999</v>
      </c>
      <c r="P83" s="673"/>
      <c r="Q83" s="672"/>
      <c r="R83" s="672">
        <v>0.04</v>
      </c>
      <c r="S83" s="674">
        <f t="shared" si="12"/>
        <v>7.8585461689587438E-3</v>
      </c>
      <c r="T83" s="672">
        <v>8.5000000000000006E-2</v>
      </c>
      <c r="U83" s="674">
        <f t="shared" si="13"/>
        <v>1.6699410609037329E-2</v>
      </c>
      <c r="V83" s="674"/>
      <c r="W83" s="671">
        <v>759</v>
      </c>
      <c r="X83" s="675" t="s">
        <v>116</v>
      </c>
      <c r="Y83" s="676" t="s">
        <v>3594</v>
      </c>
      <c r="Z83" s="677" t="s">
        <v>1143</v>
      </c>
      <c r="AA83" s="677"/>
      <c r="AB83" s="678"/>
      <c r="AC83" s="679">
        <v>44607</v>
      </c>
      <c r="AD83" s="679">
        <v>44607</v>
      </c>
      <c r="AE83" s="679">
        <v>44608</v>
      </c>
      <c r="AF83" s="679"/>
      <c r="AG83" s="679"/>
      <c r="AH83" s="680" t="s">
        <v>1395</v>
      </c>
      <c r="AI83" s="667" t="s">
        <v>64</v>
      </c>
      <c r="AJ83" s="667" t="s">
        <v>154</v>
      </c>
      <c r="AK83" s="681" t="s">
        <v>1330</v>
      </c>
      <c r="AL83" s="681"/>
      <c r="AM83" s="681">
        <v>44554</v>
      </c>
      <c r="AN83" s="681"/>
      <c r="AO83" s="681">
        <f t="shared" ca="1" si="10"/>
        <v>44963</v>
      </c>
      <c r="AP83" s="667">
        <f t="shared" ca="1" si="11"/>
        <v>409</v>
      </c>
      <c r="AQ83" s="681">
        <f t="shared" ca="1" si="9"/>
        <v>355</v>
      </c>
      <c r="AR83" s="672"/>
      <c r="AS83" s="672" t="s">
        <v>2670</v>
      </c>
      <c r="AT83" s="672">
        <v>10.4</v>
      </c>
      <c r="AU83" s="672">
        <v>10.41</v>
      </c>
      <c r="AV83" s="672">
        <v>10.434999999999999</v>
      </c>
      <c r="AW83" s="672">
        <v>10.44</v>
      </c>
      <c r="AX83" s="667">
        <f t="shared" ca="1" si="7"/>
        <v>356</v>
      </c>
      <c r="BA83" s="666" t="s">
        <v>136</v>
      </c>
    </row>
    <row r="84" spans="1:53" s="634" customFormat="1" ht="21.75" customHeight="1" x14ac:dyDescent="0.35">
      <c r="A84" s="634">
        <v>421</v>
      </c>
      <c r="B84" s="635" t="str">
        <f t="shared" si="8"/>
        <v>0-304L/2B-001X770</v>
      </c>
      <c r="C84" s="636" t="s">
        <v>3655</v>
      </c>
      <c r="D84" s="635" t="s">
        <v>3026</v>
      </c>
      <c r="E84" s="635" t="s">
        <v>2940</v>
      </c>
      <c r="F84" s="637" t="s">
        <v>3659</v>
      </c>
      <c r="G84" s="635" t="s">
        <v>230</v>
      </c>
      <c r="H84" s="635" t="s">
        <v>116</v>
      </c>
      <c r="I84" s="638">
        <v>2.75</v>
      </c>
      <c r="J84" s="638">
        <v>0.6</v>
      </c>
      <c r="K84" s="638">
        <v>0.59</v>
      </c>
      <c r="L84" s="635">
        <v>0.6</v>
      </c>
      <c r="M84" s="639">
        <v>770</v>
      </c>
      <c r="N84" s="832">
        <v>10.525</v>
      </c>
      <c r="O84" s="640">
        <v>5.77</v>
      </c>
      <c r="P84" s="640"/>
      <c r="Q84" s="641"/>
      <c r="R84" s="641"/>
      <c r="S84" s="642">
        <f t="shared" si="12"/>
        <v>0</v>
      </c>
      <c r="T84" s="641"/>
      <c r="U84" s="642">
        <f t="shared" si="13"/>
        <v>0</v>
      </c>
      <c r="V84" s="642"/>
      <c r="W84" s="639">
        <v>759</v>
      </c>
      <c r="X84" s="643" t="s">
        <v>116</v>
      </c>
      <c r="Y84" s="644" t="s">
        <v>3614</v>
      </c>
      <c r="Z84" s="645" t="s">
        <v>1143</v>
      </c>
      <c r="AA84" s="645"/>
      <c r="AB84" s="646"/>
      <c r="AC84" s="647">
        <v>44537</v>
      </c>
      <c r="AD84" s="647">
        <v>44538</v>
      </c>
      <c r="AE84" s="647">
        <v>44603</v>
      </c>
      <c r="AF84" s="647"/>
      <c r="AG84" s="647"/>
      <c r="AH84" s="648"/>
      <c r="AI84" s="635" t="s">
        <v>64</v>
      </c>
      <c r="AJ84" s="635" t="s">
        <v>154</v>
      </c>
      <c r="AK84" s="649" t="s">
        <v>1190</v>
      </c>
      <c r="AL84" s="649"/>
      <c r="AM84" s="649">
        <v>44496</v>
      </c>
      <c r="AN84" s="649"/>
      <c r="AO84" s="649">
        <f t="shared" ca="1" si="10"/>
        <v>44963</v>
      </c>
      <c r="AP84" s="635">
        <f t="shared" ca="1" si="11"/>
        <v>467</v>
      </c>
      <c r="AQ84" s="649">
        <f t="shared" ca="1" si="9"/>
        <v>360</v>
      </c>
      <c r="AR84" s="641"/>
      <c r="AS84" s="641" t="s">
        <v>2915</v>
      </c>
      <c r="AT84" s="641">
        <v>10.555</v>
      </c>
      <c r="AU84" s="641">
        <v>10.565</v>
      </c>
      <c r="AV84" s="641">
        <v>10.589999999999998</v>
      </c>
      <c r="AW84" s="641">
        <v>10.594999999999999</v>
      </c>
      <c r="AX84" s="635">
        <f t="shared" ca="1" si="7"/>
        <v>425</v>
      </c>
      <c r="BA84" s="634" t="s">
        <v>136</v>
      </c>
    </row>
    <row r="85" spans="1:53" s="583" customFormat="1" ht="21.75" customHeight="1" x14ac:dyDescent="0.35">
      <c r="A85" s="583">
        <v>421</v>
      </c>
      <c r="B85" s="584" t="str">
        <f t="shared" si="8"/>
        <v>0-304L/2B-001X770</v>
      </c>
      <c r="C85" s="585" t="s">
        <v>3660</v>
      </c>
      <c r="D85" s="584" t="s">
        <v>403</v>
      </c>
      <c r="E85" s="584" t="s">
        <v>2940</v>
      </c>
      <c r="F85" s="586" t="s">
        <v>2941</v>
      </c>
      <c r="G85" s="584" t="s">
        <v>230</v>
      </c>
      <c r="H85" s="584" t="s">
        <v>116</v>
      </c>
      <c r="I85" s="587">
        <v>2.75</v>
      </c>
      <c r="J85" s="587">
        <v>0.6</v>
      </c>
      <c r="K85" s="587">
        <v>0.59</v>
      </c>
      <c r="L85" s="584">
        <v>0.6</v>
      </c>
      <c r="M85" s="588">
        <v>770</v>
      </c>
      <c r="N85" s="833"/>
      <c r="O85" s="590">
        <v>4.625</v>
      </c>
      <c r="P85" s="590"/>
      <c r="Q85" s="589"/>
      <c r="R85" s="589"/>
      <c r="S85" s="591" t="e">
        <f t="shared" si="12"/>
        <v>#DIV/0!</v>
      </c>
      <c r="T85" s="589"/>
      <c r="U85" s="591" t="e">
        <f t="shared" si="13"/>
        <v>#DIV/0!</v>
      </c>
      <c r="V85" s="591"/>
      <c r="W85" s="588">
        <v>765</v>
      </c>
      <c r="X85" s="592" t="s">
        <v>116</v>
      </c>
      <c r="Y85" s="593"/>
      <c r="Z85" s="594" t="s">
        <v>1143</v>
      </c>
      <c r="AA85" s="594"/>
      <c r="AB85" s="595"/>
      <c r="AC85" s="596">
        <v>44537</v>
      </c>
      <c r="AD85" s="596">
        <v>44538</v>
      </c>
      <c r="AE85" s="596">
        <v>44603</v>
      </c>
      <c r="AF85" s="596">
        <v>44615</v>
      </c>
      <c r="AG85" s="596"/>
      <c r="AH85" s="597"/>
      <c r="AI85" s="584" t="s">
        <v>64</v>
      </c>
      <c r="AJ85" s="584" t="s">
        <v>154</v>
      </c>
      <c r="AK85" s="598" t="s">
        <v>1190</v>
      </c>
      <c r="AL85" s="598"/>
      <c r="AM85" s="598">
        <v>44496</v>
      </c>
      <c r="AN85" s="598"/>
      <c r="AO85" s="598">
        <f t="shared" ca="1" si="10"/>
        <v>44963</v>
      </c>
      <c r="AP85" s="584">
        <f t="shared" ca="1" si="11"/>
        <v>467</v>
      </c>
      <c r="AQ85" s="598">
        <f t="shared" ca="1" si="9"/>
        <v>360</v>
      </c>
      <c r="AR85" s="589"/>
      <c r="AS85" s="589" t="s">
        <v>2915</v>
      </c>
      <c r="AT85" s="589">
        <v>10.555</v>
      </c>
      <c r="AU85" s="589">
        <v>10.565</v>
      </c>
      <c r="AV85" s="589">
        <v>10.589999999999998</v>
      </c>
      <c r="AW85" s="589">
        <v>10.594999999999999</v>
      </c>
      <c r="AX85" s="584">
        <f t="shared" ca="1" si="7"/>
        <v>425</v>
      </c>
      <c r="BA85" s="583" t="s">
        <v>136</v>
      </c>
    </row>
    <row r="86" spans="1:53" s="99" customFormat="1" ht="21.75" customHeight="1" x14ac:dyDescent="0.35">
      <c r="A86" s="99">
        <v>421</v>
      </c>
      <c r="B86" s="126" t="str">
        <f t="shared" si="8"/>
        <v>0-304L/2B-001X770</v>
      </c>
      <c r="C86" s="294" t="s">
        <v>3655</v>
      </c>
      <c r="D86" s="126" t="s">
        <v>3026</v>
      </c>
      <c r="E86" s="126" t="s">
        <v>1204</v>
      </c>
      <c r="F86" s="143" t="s">
        <v>3661</v>
      </c>
      <c r="G86" s="126" t="s">
        <v>230</v>
      </c>
      <c r="H86" s="126" t="s">
        <v>116</v>
      </c>
      <c r="I86" s="127">
        <v>1.2</v>
      </c>
      <c r="J86" s="127">
        <v>0.6</v>
      </c>
      <c r="K86" s="127">
        <v>0.59</v>
      </c>
      <c r="L86" s="126">
        <v>0.61</v>
      </c>
      <c r="M86" s="295">
        <v>770</v>
      </c>
      <c r="N86" s="129">
        <f>9.9-5.845</f>
        <v>4.0550000000000006</v>
      </c>
      <c r="O86" s="296">
        <v>4.07</v>
      </c>
      <c r="P86" s="297"/>
      <c r="Q86" s="129"/>
      <c r="R86" s="129"/>
      <c r="S86" s="298">
        <f t="shared" si="12"/>
        <v>0</v>
      </c>
      <c r="T86" s="129"/>
      <c r="U86" s="298">
        <f t="shared" si="13"/>
        <v>0</v>
      </c>
      <c r="V86" s="298"/>
      <c r="W86" s="295">
        <v>760</v>
      </c>
      <c r="X86" s="299" t="s">
        <v>116</v>
      </c>
      <c r="Y86" s="284" t="s">
        <v>3390</v>
      </c>
      <c r="Z86" s="282" t="s">
        <v>1206</v>
      </c>
      <c r="AA86" s="282" t="s">
        <v>1207</v>
      </c>
      <c r="AB86" s="300" t="s">
        <v>1208</v>
      </c>
      <c r="AC86" s="132" t="s">
        <v>1209</v>
      </c>
      <c r="AD86" s="132" t="s">
        <v>1210</v>
      </c>
      <c r="AE86" s="132" t="s">
        <v>1211</v>
      </c>
      <c r="AF86" s="132"/>
      <c r="AG86" s="132"/>
      <c r="AH86" s="133"/>
      <c r="AI86" s="126" t="s">
        <v>64</v>
      </c>
      <c r="AJ86" s="126" t="s">
        <v>154</v>
      </c>
      <c r="AK86" s="134" t="s">
        <v>1190</v>
      </c>
      <c r="AL86" s="134"/>
      <c r="AM86" s="134">
        <v>44496</v>
      </c>
      <c r="AN86" s="134"/>
      <c r="AO86" s="134">
        <f t="shared" ca="1" si="10"/>
        <v>44963</v>
      </c>
      <c r="AP86" s="126">
        <f t="shared" ca="1" si="11"/>
        <v>467</v>
      </c>
      <c r="AQ86" s="134" t="e">
        <f t="shared" ca="1" si="9"/>
        <v>#VALUE!</v>
      </c>
      <c r="AR86" s="129"/>
      <c r="AS86" s="129" t="s">
        <v>1212</v>
      </c>
      <c r="AT86" s="129">
        <v>9.9700000000000006</v>
      </c>
      <c r="AU86" s="129">
        <v>9.98</v>
      </c>
      <c r="AV86" s="129">
        <v>10.004999999999999</v>
      </c>
      <c r="AW86" s="129">
        <v>10.01</v>
      </c>
      <c r="AX86" s="126" t="e">
        <f t="shared" ca="1" si="7"/>
        <v>#VALUE!</v>
      </c>
      <c r="BA86" s="99" t="s">
        <v>136</v>
      </c>
    </row>
    <row r="87" spans="1:53" s="583" customFormat="1" ht="21.75" customHeight="1" x14ac:dyDescent="0.35">
      <c r="A87" s="583">
        <v>422</v>
      </c>
      <c r="B87" s="584" t="str">
        <f t="shared" si="8"/>
        <v>0-304L/2B-001X769</v>
      </c>
      <c r="C87" s="585" t="s">
        <v>3660</v>
      </c>
      <c r="D87" s="584" t="s">
        <v>403</v>
      </c>
      <c r="E87" s="584" t="s">
        <v>2856</v>
      </c>
      <c r="F87" s="586" t="s">
        <v>2857</v>
      </c>
      <c r="G87" s="584" t="s">
        <v>230</v>
      </c>
      <c r="H87" s="584" t="s">
        <v>116</v>
      </c>
      <c r="I87" s="587">
        <v>2.99</v>
      </c>
      <c r="J87" s="587">
        <v>0.95</v>
      </c>
      <c r="K87" s="587">
        <v>0.92</v>
      </c>
      <c r="L87" s="584">
        <v>0.94</v>
      </c>
      <c r="M87" s="588">
        <v>769</v>
      </c>
      <c r="N87" s="589">
        <v>10.195</v>
      </c>
      <c r="O87" s="590">
        <v>10.119999999999999</v>
      </c>
      <c r="P87" s="590"/>
      <c r="Q87" s="589"/>
      <c r="R87" s="589"/>
      <c r="S87" s="591">
        <f t="shared" si="12"/>
        <v>0</v>
      </c>
      <c r="T87" s="589">
        <v>7.4999999999999997E-2</v>
      </c>
      <c r="U87" s="591">
        <f t="shared" si="13"/>
        <v>7.3565473271211372E-3</v>
      </c>
      <c r="V87" s="591"/>
      <c r="W87" s="588">
        <v>762</v>
      </c>
      <c r="X87" s="592" t="s">
        <v>116</v>
      </c>
      <c r="Y87" s="593"/>
      <c r="Z87" s="594" t="s">
        <v>1206</v>
      </c>
      <c r="AA87" s="594"/>
      <c r="AB87" s="595" t="s">
        <v>305</v>
      </c>
      <c r="AC87" s="596">
        <v>44611</v>
      </c>
      <c r="AD87" s="596">
        <v>44611</v>
      </c>
      <c r="AE87" s="596">
        <v>44613</v>
      </c>
      <c r="AF87" s="596">
        <v>44615</v>
      </c>
      <c r="AG87" s="596"/>
      <c r="AH87" s="597"/>
      <c r="AI87" s="584" t="s">
        <v>64</v>
      </c>
      <c r="AJ87" s="584" t="s">
        <v>154</v>
      </c>
      <c r="AK87" s="598" t="s">
        <v>1330</v>
      </c>
      <c r="AL87" s="598"/>
      <c r="AM87" s="598">
        <v>44516</v>
      </c>
      <c r="AN87" s="598"/>
      <c r="AO87" s="598">
        <f t="shared" ca="1" si="10"/>
        <v>44963</v>
      </c>
      <c r="AP87" s="584">
        <f t="shared" ca="1" si="11"/>
        <v>447</v>
      </c>
      <c r="AQ87" s="598">
        <f t="shared" ca="1" si="9"/>
        <v>350</v>
      </c>
      <c r="AR87" s="589"/>
      <c r="AS87" s="589" t="s">
        <v>2858</v>
      </c>
      <c r="AT87" s="589">
        <v>10.210000000000001</v>
      </c>
      <c r="AU87" s="589">
        <v>10.220000000000001</v>
      </c>
      <c r="AV87" s="589">
        <v>10.244999999999999</v>
      </c>
      <c r="AW87" s="589">
        <v>10.25</v>
      </c>
      <c r="AX87" s="584">
        <f t="shared" ca="1" si="7"/>
        <v>352</v>
      </c>
      <c r="BA87" s="583" t="s">
        <v>136</v>
      </c>
    </row>
    <row r="88" spans="1:53" s="99" customFormat="1" ht="21.75" customHeight="1" x14ac:dyDescent="0.35">
      <c r="A88" s="99">
        <v>422</v>
      </c>
      <c r="B88" s="126" t="str">
        <f t="shared" si="8"/>
        <v>0-304L/2B-002X773</v>
      </c>
      <c r="C88" s="294" t="s">
        <v>3662</v>
      </c>
      <c r="D88" s="126" t="s">
        <v>3026</v>
      </c>
      <c r="E88" s="126" t="s">
        <v>1353</v>
      </c>
      <c r="F88" s="143" t="s">
        <v>3663</v>
      </c>
      <c r="G88" s="126" t="s">
        <v>230</v>
      </c>
      <c r="H88" s="126" t="s">
        <v>116</v>
      </c>
      <c r="I88" s="127">
        <v>3.81</v>
      </c>
      <c r="J88" s="127">
        <v>1.5</v>
      </c>
      <c r="K88" s="127">
        <v>1.51</v>
      </c>
      <c r="L88" s="126">
        <v>1.53</v>
      </c>
      <c r="M88" s="295">
        <v>773</v>
      </c>
      <c r="N88" s="129">
        <f>10.39-5.12</f>
        <v>5.2700000000000005</v>
      </c>
      <c r="O88" s="296">
        <v>5.2450000000000001</v>
      </c>
      <c r="P88" s="297"/>
      <c r="Q88" s="129"/>
      <c r="R88" s="129"/>
      <c r="S88" s="298">
        <f t="shared" si="12"/>
        <v>0</v>
      </c>
      <c r="T88" s="129"/>
      <c r="U88" s="298">
        <f t="shared" si="13"/>
        <v>0</v>
      </c>
      <c r="V88" s="298"/>
      <c r="W88" s="295">
        <v>760</v>
      </c>
      <c r="X88" s="299" t="s">
        <v>116</v>
      </c>
      <c r="Y88" s="284" t="s">
        <v>3422</v>
      </c>
      <c r="Z88" s="282" t="s">
        <v>1206</v>
      </c>
      <c r="AA88" s="282" t="s">
        <v>1355</v>
      </c>
      <c r="AB88" s="300" t="s">
        <v>1293</v>
      </c>
      <c r="AC88" s="132">
        <v>44550</v>
      </c>
      <c r="AD88" s="132">
        <v>44550</v>
      </c>
      <c r="AE88" s="132">
        <v>44568</v>
      </c>
      <c r="AF88" s="132"/>
      <c r="AG88" s="132"/>
      <c r="AH88" s="133"/>
      <c r="AI88" s="126" t="s">
        <v>64</v>
      </c>
      <c r="AJ88" s="126" t="s">
        <v>154</v>
      </c>
      <c r="AK88" s="134" t="s">
        <v>1330</v>
      </c>
      <c r="AL88" s="134"/>
      <c r="AM88" s="134">
        <v>44516</v>
      </c>
      <c r="AN88" s="134"/>
      <c r="AO88" s="134">
        <f t="shared" ca="1" si="10"/>
        <v>44963</v>
      </c>
      <c r="AP88" s="126">
        <f t="shared" ca="1" si="11"/>
        <v>447</v>
      </c>
      <c r="AQ88" s="134">
        <f t="shared" ca="1" si="9"/>
        <v>395</v>
      </c>
      <c r="AR88" s="129"/>
      <c r="AS88" s="129" t="s">
        <v>1356</v>
      </c>
      <c r="AT88" s="129">
        <v>10.29</v>
      </c>
      <c r="AU88" s="129">
        <v>10.3</v>
      </c>
      <c r="AV88" s="129">
        <v>10.324999999999999</v>
      </c>
      <c r="AW88" s="129">
        <v>10.33</v>
      </c>
      <c r="AX88" s="126">
        <f t="shared" ca="1" si="7"/>
        <v>413</v>
      </c>
      <c r="BA88" s="99" t="s">
        <v>136</v>
      </c>
    </row>
    <row r="89" spans="1:53" s="99" customFormat="1" ht="21.75" customHeight="1" x14ac:dyDescent="0.35">
      <c r="A89" s="99">
        <v>422</v>
      </c>
      <c r="B89" s="126" t="str">
        <f t="shared" si="8"/>
        <v>0-304L/2B-002X767</v>
      </c>
      <c r="C89" s="294" t="s">
        <v>3655</v>
      </c>
      <c r="D89" s="126" t="s">
        <v>3026</v>
      </c>
      <c r="E89" s="126" t="s">
        <v>3108</v>
      </c>
      <c r="F89" s="143" t="s">
        <v>3111</v>
      </c>
      <c r="G89" s="126" t="s">
        <v>230</v>
      </c>
      <c r="H89" s="126" t="s">
        <v>116</v>
      </c>
      <c r="I89" s="127">
        <v>3.47</v>
      </c>
      <c r="J89" s="127">
        <v>1.5</v>
      </c>
      <c r="K89" s="127">
        <v>1.46</v>
      </c>
      <c r="L89" s="126">
        <v>1.5</v>
      </c>
      <c r="M89" s="295">
        <v>767</v>
      </c>
      <c r="N89" s="129">
        <v>4.2750000000000004</v>
      </c>
      <c r="O89" s="296">
        <v>4.26</v>
      </c>
      <c r="P89" s="297"/>
      <c r="Q89" s="129"/>
      <c r="R89" s="129"/>
      <c r="S89" s="298">
        <f t="shared" si="12"/>
        <v>0</v>
      </c>
      <c r="T89" s="129"/>
      <c r="U89" s="298">
        <f t="shared" si="13"/>
        <v>0</v>
      </c>
      <c r="V89" s="298"/>
      <c r="W89" s="295">
        <v>760</v>
      </c>
      <c r="X89" s="299" t="s">
        <v>116</v>
      </c>
      <c r="Y89" s="284" t="s">
        <v>3422</v>
      </c>
      <c r="Z89" s="282" t="s">
        <v>1206</v>
      </c>
      <c r="AA89" s="282" t="s">
        <v>3063</v>
      </c>
      <c r="AB89" s="300"/>
      <c r="AC89" s="132">
        <v>44575</v>
      </c>
      <c r="AD89" s="132">
        <v>44576</v>
      </c>
      <c r="AE89" s="132">
        <v>44596</v>
      </c>
      <c r="AF89" s="132"/>
      <c r="AG89" s="132"/>
      <c r="AH89" s="133"/>
      <c r="AI89" s="126" t="s">
        <v>64</v>
      </c>
      <c r="AJ89" s="126" t="s">
        <v>154</v>
      </c>
      <c r="AK89" s="134" t="s">
        <v>1330</v>
      </c>
      <c r="AL89" s="134"/>
      <c r="AM89" s="134">
        <v>44516</v>
      </c>
      <c r="AN89" s="134"/>
      <c r="AO89" s="134">
        <f t="shared" ca="1" si="10"/>
        <v>44963</v>
      </c>
      <c r="AP89" s="126">
        <f t="shared" ca="1" si="11"/>
        <v>447</v>
      </c>
      <c r="AQ89" s="134">
        <f t="shared" ca="1" si="9"/>
        <v>367</v>
      </c>
      <c r="AR89" s="129"/>
      <c r="AS89" s="129" t="s">
        <v>3110</v>
      </c>
      <c r="AT89" s="129">
        <v>10.38</v>
      </c>
      <c r="AU89" s="129">
        <v>10.39</v>
      </c>
      <c r="AV89" s="129">
        <v>10.414999999999999</v>
      </c>
      <c r="AW89" s="129">
        <v>10.42</v>
      </c>
      <c r="AX89" s="126">
        <f t="shared" ca="1" si="7"/>
        <v>387</v>
      </c>
      <c r="BA89" s="99" t="s">
        <v>136</v>
      </c>
    </row>
    <row r="90" spans="1:53" s="484" customFormat="1" ht="21.75" customHeight="1" x14ac:dyDescent="0.35">
      <c r="A90" s="484">
        <v>422</v>
      </c>
      <c r="B90" s="485" t="str">
        <f t="shared" si="8"/>
        <v>0-304L/2B-002X762</v>
      </c>
      <c r="C90" s="486" t="s">
        <v>3662</v>
      </c>
      <c r="D90" s="485" t="s">
        <v>3026</v>
      </c>
      <c r="E90" s="485" t="s">
        <v>3237</v>
      </c>
      <c r="F90" s="487" t="s">
        <v>3590</v>
      </c>
      <c r="G90" s="485" t="s">
        <v>230</v>
      </c>
      <c r="H90" s="485" t="s">
        <v>116</v>
      </c>
      <c r="I90" s="488">
        <v>3.8</v>
      </c>
      <c r="J90" s="488">
        <v>1.5</v>
      </c>
      <c r="K90" s="488">
        <v>1.5</v>
      </c>
      <c r="L90" s="485">
        <v>1.53</v>
      </c>
      <c r="M90" s="489">
        <v>762</v>
      </c>
      <c r="N90" s="491">
        <v>5.05</v>
      </c>
      <c r="O90" s="490">
        <v>4.95</v>
      </c>
      <c r="P90" s="490"/>
      <c r="Q90" s="491">
        <v>0.105</v>
      </c>
      <c r="R90" s="491"/>
      <c r="S90" s="492">
        <f t="shared" si="12"/>
        <v>0</v>
      </c>
      <c r="T90" s="491"/>
      <c r="U90" s="492">
        <f t="shared" si="13"/>
        <v>0</v>
      </c>
      <c r="V90" s="492"/>
      <c r="W90" s="489">
        <v>760</v>
      </c>
      <c r="X90" s="493" t="s">
        <v>116</v>
      </c>
      <c r="Y90" s="494" t="s">
        <v>3422</v>
      </c>
      <c r="Z90" s="495" t="s">
        <v>1206</v>
      </c>
      <c r="AA90" s="495"/>
      <c r="AB90" s="496" t="s">
        <v>3591</v>
      </c>
      <c r="AC90" s="497">
        <v>44535</v>
      </c>
      <c r="AD90" s="497">
        <v>44535</v>
      </c>
      <c r="AE90" s="497">
        <v>44602</v>
      </c>
      <c r="AF90" s="497">
        <v>44606</v>
      </c>
      <c r="AG90" s="497"/>
      <c r="AH90" s="498"/>
      <c r="AI90" s="485" t="s">
        <v>64</v>
      </c>
      <c r="AJ90" s="485" t="s">
        <v>154</v>
      </c>
      <c r="AK90" s="499" t="s">
        <v>1296</v>
      </c>
      <c r="AL90" s="499"/>
      <c r="AM90" s="499">
        <v>44516</v>
      </c>
      <c r="AN90" s="499"/>
      <c r="AO90" s="499">
        <f t="shared" ca="1" si="10"/>
        <v>44963</v>
      </c>
      <c r="AP90" s="485">
        <f t="shared" ca="1" si="11"/>
        <v>447</v>
      </c>
      <c r="AQ90" s="499">
        <f t="shared" ca="1" si="9"/>
        <v>361</v>
      </c>
      <c r="AR90" s="491"/>
      <c r="AS90" s="491" t="s">
        <v>3239</v>
      </c>
      <c r="AT90" s="491">
        <v>10.49</v>
      </c>
      <c r="AU90" s="491">
        <v>10.5</v>
      </c>
      <c r="AV90" s="491">
        <v>10.524999999999999</v>
      </c>
      <c r="AW90" s="491">
        <v>10.53</v>
      </c>
      <c r="AX90" s="485">
        <f t="shared" ca="1" si="7"/>
        <v>428</v>
      </c>
      <c r="BA90" s="484" t="s">
        <v>136</v>
      </c>
    </row>
    <row r="91" spans="1:53" s="99" customFormat="1" ht="21.75" customHeight="1" x14ac:dyDescent="0.35">
      <c r="A91" s="583">
        <v>422</v>
      </c>
      <c r="B91" s="584" t="str">
        <f t="shared" si="8"/>
        <v>0-304L/2B-001X770</v>
      </c>
      <c r="C91" s="585" t="s">
        <v>3660</v>
      </c>
      <c r="D91" s="584" t="s">
        <v>403</v>
      </c>
      <c r="E91" s="584" t="s">
        <v>2823</v>
      </c>
      <c r="F91" s="586" t="s">
        <v>2824</v>
      </c>
      <c r="G91" s="584" t="s">
        <v>230</v>
      </c>
      <c r="H91" s="584" t="s">
        <v>116</v>
      </c>
      <c r="I91" s="587">
        <v>2.88</v>
      </c>
      <c r="J91" s="587">
        <v>0.8</v>
      </c>
      <c r="K91" s="587">
        <v>0.8</v>
      </c>
      <c r="L91" s="584">
        <v>0.81</v>
      </c>
      <c r="M91" s="588">
        <v>770</v>
      </c>
      <c r="N91" s="589">
        <v>8.26</v>
      </c>
      <c r="O91" s="590">
        <v>8.1999999999999993</v>
      </c>
      <c r="P91" s="590"/>
      <c r="Q91" s="589"/>
      <c r="R91" s="589"/>
      <c r="S91" s="591">
        <f t="shared" si="12"/>
        <v>0</v>
      </c>
      <c r="T91" s="589">
        <v>0.06</v>
      </c>
      <c r="U91" s="591">
        <f t="shared" si="13"/>
        <v>7.2639225181598066E-3</v>
      </c>
      <c r="V91" s="591"/>
      <c r="W91" s="588">
        <v>762</v>
      </c>
      <c r="X91" s="592" t="s">
        <v>116</v>
      </c>
      <c r="Y91" s="593"/>
      <c r="Z91" s="594" t="s">
        <v>1206</v>
      </c>
      <c r="AA91" s="594"/>
      <c r="AB91" s="595" t="s">
        <v>305</v>
      </c>
      <c r="AC91" s="596">
        <v>44607</v>
      </c>
      <c r="AD91" s="596">
        <v>44607</v>
      </c>
      <c r="AE91" s="596">
        <v>44612</v>
      </c>
      <c r="AF91" s="596">
        <v>44615</v>
      </c>
      <c r="AG91" s="596"/>
      <c r="AH91" s="597"/>
      <c r="AI91" s="584" t="s">
        <v>64</v>
      </c>
      <c r="AJ91" s="584" t="s">
        <v>154</v>
      </c>
      <c r="AK91" s="598" t="s">
        <v>1330</v>
      </c>
      <c r="AL91" s="598"/>
      <c r="AM91" s="598">
        <v>44516</v>
      </c>
      <c r="AN91" s="598"/>
      <c r="AO91" s="598">
        <f t="shared" ca="1" si="10"/>
        <v>44963</v>
      </c>
      <c r="AP91" s="584">
        <f t="shared" ca="1" si="11"/>
        <v>447</v>
      </c>
      <c r="AQ91" s="598">
        <f t="shared" ca="1" si="9"/>
        <v>351</v>
      </c>
      <c r="AR91" s="589"/>
      <c r="AS91" s="589" t="s">
        <v>2688</v>
      </c>
      <c r="AT91" s="589">
        <v>8.2850000000000001</v>
      </c>
      <c r="AU91" s="589">
        <v>8.2949999999999999</v>
      </c>
      <c r="AV91" s="589">
        <v>8.3199999999999985</v>
      </c>
      <c r="AW91" s="589">
        <v>8.3249999999999993</v>
      </c>
      <c r="AX91" s="584">
        <f t="shared" ca="1" si="7"/>
        <v>356</v>
      </c>
      <c r="AY91" s="583"/>
      <c r="AZ91" s="583"/>
      <c r="BA91" s="583" t="s">
        <v>136</v>
      </c>
    </row>
    <row r="92" spans="1:53" s="650" customFormat="1" ht="21.75" customHeight="1" x14ac:dyDescent="0.35">
      <c r="A92" s="650">
        <v>386</v>
      </c>
      <c r="B92" s="651" t="str">
        <f t="shared" si="8"/>
        <v>0-J3/2B-001X595</v>
      </c>
      <c r="C92" s="652" t="s">
        <v>3655</v>
      </c>
      <c r="D92" s="651" t="s">
        <v>3026</v>
      </c>
      <c r="E92" s="651" t="s">
        <v>3091</v>
      </c>
      <c r="F92" s="653" t="s">
        <v>3664</v>
      </c>
      <c r="G92" s="651" t="s">
        <v>29</v>
      </c>
      <c r="H92" s="651" t="s">
        <v>116</v>
      </c>
      <c r="I92" s="654">
        <v>2.4</v>
      </c>
      <c r="J92" s="654">
        <v>1.4</v>
      </c>
      <c r="K92" s="654">
        <v>1.4</v>
      </c>
      <c r="L92" s="651">
        <v>1.42</v>
      </c>
      <c r="M92" s="655">
        <v>595</v>
      </c>
      <c r="N92" s="656">
        <v>4.03</v>
      </c>
      <c r="O92" s="657">
        <v>4.03</v>
      </c>
      <c r="P92" s="657"/>
      <c r="Q92" s="656"/>
      <c r="R92" s="656"/>
      <c r="S92" s="658">
        <f t="shared" si="12"/>
        <v>0</v>
      </c>
      <c r="T92" s="656"/>
      <c r="U92" s="658">
        <f t="shared" si="13"/>
        <v>0</v>
      </c>
      <c r="V92" s="658"/>
      <c r="W92" s="655" t="s">
        <v>3598</v>
      </c>
      <c r="X92" s="659" t="s">
        <v>116</v>
      </c>
      <c r="Y92" s="660" t="s">
        <v>3599</v>
      </c>
      <c r="Z92" s="661" t="s">
        <v>412</v>
      </c>
      <c r="AA92" s="661"/>
      <c r="AB92" s="662"/>
      <c r="AC92" s="663">
        <v>44570</v>
      </c>
      <c r="AD92" s="663">
        <v>44570</v>
      </c>
      <c r="AE92" s="663">
        <v>44595</v>
      </c>
      <c r="AF92" s="663"/>
      <c r="AG92" s="663"/>
      <c r="AH92" s="664"/>
      <c r="AI92" s="651" t="s">
        <v>64</v>
      </c>
      <c r="AJ92" s="651" t="s">
        <v>468</v>
      </c>
      <c r="AK92" s="665"/>
      <c r="AL92" s="665"/>
      <c r="AM92" s="665">
        <v>44322</v>
      </c>
      <c r="AN92" s="665"/>
      <c r="AO92" s="665">
        <f t="shared" ca="1" si="10"/>
        <v>44963</v>
      </c>
      <c r="AP92" s="651">
        <f t="shared" ca="1" si="11"/>
        <v>641</v>
      </c>
      <c r="AQ92" s="665">
        <f t="shared" ca="1" si="9"/>
        <v>368</v>
      </c>
      <c r="AR92" s="656" t="s">
        <v>535</v>
      </c>
      <c r="AS92" s="656" t="s">
        <v>632</v>
      </c>
      <c r="AT92" s="656">
        <v>8.2289999999999992</v>
      </c>
      <c r="AU92" s="656">
        <v>8.2689999999999984</v>
      </c>
      <c r="AV92" s="656">
        <v>8.2939999999999969</v>
      </c>
      <c r="AW92" s="656">
        <v>8.2989999999999977</v>
      </c>
      <c r="AX92" s="651">
        <f t="shared" ca="1" si="7"/>
        <v>393</v>
      </c>
      <c r="BA92" s="650" t="s">
        <v>136</v>
      </c>
    </row>
    <row r="93" spans="1:53" s="650" customFormat="1" ht="21.75" customHeight="1" x14ac:dyDescent="0.35">
      <c r="A93" s="650">
        <v>386</v>
      </c>
      <c r="B93" s="651" t="str">
        <f t="shared" si="8"/>
        <v>0-J3/2B-001X595</v>
      </c>
      <c r="C93" s="652" t="s">
        <v>3665</v>
      </c>
      <c r="D93" s="651" t="s">
        <v>3026</v>
      </c>
      <c r="E93" s="651" t="s">
        <v>3091</v>
      </c>
      <c r="F93" s="653" t="s">
        <v>3666</v>
      </c>
      <c r="G93" s="651" t="s">
        <v>29</v>
      </c>
      <c r="H93" s="651" t="s">
        <v>116</v>
      </c>
      <c r="I93" s="654">
        <v>2.4</v>
      </c>
      <c r="J93" s="654">
        <v>1.4</v>
      </c>
      <c r="K93" s="654">
        <v>1.4</v>
      </c>
      <c r="L93" s="651">
        <v>1.42</v>
      </c>
      <c r="M93" s="655">
        <v>595</v>
      </c>
      <c r="N93" s="656">
        <f>8.19-4.03</f>
        <v>4.1599999999999993</v>
      </c>
      <c r="O93" s="657">
        <v>3.875</v>
      </c>
      <c r="P93" s="657"/>
      <c r="Q93" s="656"/>
      <c r="R93" s="656"/>
      <c r="S93" s="658">
        <f t="shared" si="12"/>
        <v>0</v>
      </c>
      <c r="T93" s="656"/>
      <c r="U93" s="658">
        <f t="shared" si="13"/>
        <v>0</v>
      </c>
      <c r="V93" s="658"/>
      <c r="W93" s="655" t="s">
        <v>3598</v>
      </c>
      <c r="X93" s="659" t="s">
        <v>116</v>
      </c>
      <c r="Y93" s="660" t="s">
        <v>3599</v>
      </c>
      <c r="Z93" s="661" t="s">
        <v>412</v>
      </c>
      <c r="AA93" s="661"/>
      <c r="AB93" s="662"/>
      <c r="AC93" s="663">
        <v>44570</v>
      </c>
      <c r="AD93" s="663">
        <v>44570</v>
      </c>
      <c r="AE93" s="663">
        <v>44595</v>
      </c>
      <c r="AF93" s="663"/>
      <c r="AG93" s="663"/>
      <c r="AH93" s="664"/>
      <c r="AI93" s="651" t="s">
        <v>64</v>
      </c>
      <c r="AJ93" s="651" t="s">
        <v>468</v>
      </c>
      <c r="AK93" s="665"/>
      <c r="AL93" s="665"/>
      <c r="AM93" s="665">
        <v>44322</v>
      </c>
      <c r="AN93" s="665"/>
      <c r="AO93" s="665">
        <f t="shared" ca="1" si="10"/>
        <v>44963</v>
      </c>
      <c r="AP93" s="651">
        <f t="shared" ca="1" si="11"/>
        <v>641</v>
      </c>
      <c r="AQ93" s="665">
        <f t="shared" ca="1" si="9"/>
        <v>368</v>
      </c>
      <c r="AR93" s="656" t="s">
        <v>535</v>
      </c>
      <c r="AS93" s="656" t="s">
        <v>632</v>
      </c>
      <c r="AT93" s="656">
        <v>8.2289999999999992</v>
      </c>
      <c r="AU93" s="656">
        <v>8.2689999999999984</v>
      </c>
      <c r="AV93" s="656">
        <v>8.2939999999999969</v>
      </c>
      <c r="AW93" s="656">
        <v>8.2989999999999977</v>
      </c>
      <c r="AX93" s="651">
        <f t="shared" ca="1" si="7"/>
        <v>393</v>
      </c>
      <c r="BA93" s="650" t="s">
        <v>136</v>
      </c>
    </row>
    <row r="94" spans="1:53" s="99" customFormat="1" ht="21.75" customHeight="1" x14ac:dyDescent="0.35">
      <c r="A94" s="99">
        <v>400</v>
      </c>
      <c r="B94" s="126" t="str">
        <f t="shared" si="8"/>
        <v>0-J3/2B-001X620</v>
      </c>
      <c r="C94" s="294" t="s">
        <v>3665</v>
      </c>
      <c r="D94" s="126" t="s">
        <v>3026</v>
      </c>
      <c r="E94" s="126" t="s">
        <v>3182</v>
      </c>
      <c r="F94" s="143" t="s">
        <v>3667</v>
      </c>
      <c r="G94" s="126" t="s">
        <v>29</v>
      </c>
      <c r="H94" s="126" t="s">
        <v>116</v>
      </c>
      <c r="I94" s="127">
        <v>2.4</v>
      </c>
      <c r="J94" s="127">
        <v>1.1000000000000001</v>
      </c>
      <c r="K94" s="127">
        <v>1.0900000000000001</v>
      </c>
      <c r="L94" s="126">
        <v>1.1000000000000001</v>
      </c>
      <c r="M94" s="295">
        <v>620</v>
      </c>
      <c r="N94" s="129">
        <v>9.8800000000000008</v>
      </c>
      <c r="O94" s="296">
        <f>4.815+4.69</f>
        <v>9.5050000000000008</v>
      </c>
      <c r="P94" s="297"/>
      <c r="Q94" s="129"/>
      <c r="R94" s="129">
        <v>0.05</v>
      </c>
      <c r="S94" s="298">
        <f t="shared" si="12"/>
        <v>5.0607287449392713E-3</v>
      </c>
      <c r="T94" s="129">
        <v>0.32500000000000001</v>
      </c>
      <c r="U94" s="298">
        <f t="shared" si="13"/>
        <v>3.2894736842105261E-2</v>
      </c>
      <c r="V94" s="298"/>
      <c r="W94" s="295" t="s">
        <v>3598</v>
      </c>
      <c r="X94" s="299" t="s">
        <v>116</v>
      </c>
      <c r="Y94" s="284" t="s">
        <v>3599</v>
      </c>
      <c r="Z94" s="282" t="s">
        <v>412</v>
      </c>
      <c r="AA94" s="282"/>
      <c r="AB94" s="300"/>
      <c r="AC94" s="132">
        <v>44570</v>
      </c>
      <c r="AD94" s="132">
        <v>44570</v>
      </c>
      <c r="AE94" s="132">
        <v>44599</v>
      </c>
      <c r="AF94" s="132"/>
      <c r="AG94" s="132"/>
      <c r="AH94" s="133"/>
      <c r="AI94" s="126" t="s">
        <v>64</v>
      </c>
      <c r="AJ94" s="126" t="s">
        <v>322</v>
      </c>
      <c r="AK94" s="134"/>
      <c r="AL94" s="134"/>
      <c r="AM94" s="134">
        <v>44384</v>
      </c>
      <c r="AN94" s="134"/>
      <c r="AO94" s="134">
        <f t="shared" ca="1" si="10"/>
        <v>44963</v>
      </c>
      <c r="AP94" s="126">
        <f t="shared" ca="1" si="11"/>
        <v>579</v>
      </c>
      <c r="AQ94" s="134">
        <f t="shared" ca="1" si="9"/>
        <v>364</v>
      </c>
      <c r="AR94" s="129" t="s">
        <v>757</v>
      </c>
      <c r="AS94" s="129" t="s">
        <v>758</v>
      </c>
      <c r="AT94" s="129">
        <v>9.93</v>
      </c>
      <c r="AU94" s="129">
        <v>9.9699999999999989</v>
      </c>
      <c r="AV94" s="129">
        <v>9.9949999999999974</v>
      </c>
      <c r="AW94" s="129">
        <v>9.9999999999999982</v>
      </c>
      <c r="AX94" s="126">
        <f t="shared" ca="1" si="7"/>
        <v>393</v>
      </c>
      <c r="BA94" s="99" t="s">
        <v>136</v>
      </c>
    </row>
    <row r="95" spans="1:53" s="99" customFormat="1" ht="21.75" customHeight="1" x14ac:dyDescent="0.35">
      <c r="A95" s="99">
        <v>400</v>
      </c>
      <c r="B95" s="126" t="str">
        <f t="shared" si="8"/>
        <v>0-J3/2B-001X620</v>
      </c>
      <c r="C95" s="294" t="s">
        <v>3665</v>
      </c>
      <c r="D95" s="126" t="s">
        <v>3026</v>
      </c>
      <c r="E95" s="126" t="s">
        <v>3668</v>
      </c>
      <c r="F95" s="143" t="s">
        <v>3669</v>
      </c>
      <c r="G95" s="126" t="s">
        <v>29</v>
      </c>
      <c r="H95" s="126" t="s">
        <v>116</v>
      </c>
      <c r="I95" s="127">
        <v>2.2000000000000002</v>
      </c>
      <c r="J95" s="127">
        <v>0.75</v>
      </c>
      <c r="K95" s="127">
        <v>0.74</v>
      </c>
      <c r="L95" s="126">
        <v>0.76</v>
      </c>
      <c r="M95" s="295">
        <v>620</v>
      </c>
      <c r="N95" s="129">
        <v>9.8800000000000008</v>
      </c>
      <c r="O95" s="296">
        <f>5.1+4.56</f>
        <v>9.66</v>
      </c>
      <c r="P95" s="297"/>
      <c r="Q95" s="129">
        <v>5.5E-2</v>
      </c>
      <c r="R95" s="129">
        <v>1.4999999999999999E-2</v>
      </c>
      <c r="S95" s="298">
        <f t="shared" si="12"/>
        <v>1.5182186234817812E-3</v>
      </c>
      <c r="T95" s="129">
        <v>0.15</v>
      </c>
      <c r="U95" s="298">
        <f t="shared" si="13"/>
        <v>1.5182186234817811E-2</v>
      </c>
      <c r="V95" s="298"/>
      <c r="W95" s="295" t="s">
        <v>3598</v>
      </c>
      <c r="X95" s="299" t="s">
        <v>116</v>
      </c>
      <c r="Y95" s="284" t="s">
        <v>3599</v>
      </c>
      <c r="Z95" s="282" t="s">
        <v>412</v>
      </c>
      <c r="AA95" s="282"/>
      <c r="AB95" s="300"/>
      <c r="AC95" s="132">
        <v>44429</v>
      </c>
      <c r="AD95" s="132">
        <v>44429</v>
      </c>
      <c r="AE95" s="132">
        <v>44474</v>
      </c>
      <c r="AF95" s="132"/>
      <c r="AG95" s="132"/>
      <c r="AH95" s="133"/>
      <c r="AI95" s="126" t="s">
        <v>64</v>
      </c>
      <c r="AJ95" s="126" t="s">
        <v>322</v>
      </c>
      <c r="AK95" s="134"/>
      <c r="AL95" s="134"/>
      <c r="AM95" s="134">
        <v>44384</v>
      </c>
      <c r="AN95" s="134"/>
      <c r="AO95" s="134">
        <f t="shared" ca="1" si="10"/>
        <v>44963</v>
      </c>
      <c r="AP95" s="126">
        <f t="shared" ca="1" si="11"/>
        <v>579</v>
      </c>
      <c r="AQ95" s="134">
        <f t="shared" ca="1" si="9"/>
        <v>489</v>
      </c>
      <c r="AR95" s="129" t="s">
        <v>767</v>
      </c>
      <c r="AS95" s="129" t="s">
        <v>3670</v>
      </c>
      <c r="AT95" s="129">
        <v>9.92</v>
      </c>
      <c r="AU95" s="129">
        <v>9.9599999999999991</v>
      </c>
      <c r="AV95" s="129">
        <v>9.9849999999999977</v>
      </c>
      <c r="AW95" s="129">
        <v>9.9899999999999984</v>
      </c>
      <c r="AX95" s="126">
        <f t="shared" ca="1" si="7"/>
        <v>534</v>
      </c>
      <c r="BA95" s="99" t="s">
        <v>136</v>
      </c>
    </row>
    <row r="96" spans="1:53" s="634" customFormat="1" ht="21.75" customHeight="1" x14ac:dyDescent="0.35">
      <c r="A96" s="634">
        <v>422</v>
      </c>
      <c r="B96" s="635" t="str">
        <f t="shared" si="8"/>
        <v>0-304L/2B-001X762</v>
      </c>
      <c r="C96" s="636" t="s">
        <v>3671</v>
      </c>
      <c r="D96" s="635" t="s">
        <v>358</v>
      </c>
      <c r="E96" s="635" t="s">
        <v>2856</v>
      </c>
      <c r="F96" s="637" t="s">
        <v>3672</v>
      </c>
      <c r="G96" s="635" t="s">
        <v>230</v>
      </c>
      <c r="H96" s="635" t="s">
        <v>116</v>
      </c>
      <c r="I96" s="638">
        <v>0.95</v>
      </c>
      <c r="J96" s="638">
        <v>0.5</v>
      </c>
      <c r="K96" s="638">
        <v>0.5</v>
      </c>
      <c r="L96" s="635">
        <v>0.5</v>
      </c>
      <c r="M96" s="639">
        <v>762</v>
      </c>
      <c r="N96" s="826">
        <v>10.1</v>
      </c>
      <c r="O96" s="640">
        <v>4.34</v>
      </c>
      <c r="P96" s="640"/>
      <c r="Q96" s="641">
        <v>0.08</v>
      </c>
      <c r="R96" s="641">
        <v>5.5E-2</v>
      </c>
      <c r="S96" s="642">
        <f t="shared" si="12"/>
        <v>5.445544554455446E-3</v>
      </c>
      <c r="T96" s="641"/>
      <c r="U96" s="642">
        <f t="shared" si="13"/>
        <v>0</v>
      </c>
      <c r="V96" s="642"/>
      <c r="W96" s="639">
        <v>760</v>
      </c>
      <c r="X96" s="643" t="s">
        <v>116</v>
      </c>
      <c r="Y96" s="644"/>
      <c r="Z96" s="645" t="s">
        <v>1206</v>
      </c>
      <c r="AA96" s="645"/>
      <c r="AB96" s="646" t="s">
        <v>3442</v>
      </c>
      <c r="AC96" s="647" t="s">
        <v>2908</v>
      </c>
      <c r="AD96" s="647" t="s">
        <v>2908</v>
      </c>
      <c r="AE96" s="647" t="s">
        <v>3443</v>
      </c>
      <c r="AF96" s="647">
        <v>44615</v>
      </c>
      <c r="AG96" s="647"/>
      <c r="AH96" s="648"/>
      <c r="AI96" s="635" t="s">
        <v>64</v>
      </c>
      <c r="AJ96" s="635" t="s">
        <v>154</v>
      </c>
      <c r="AK96" s="649" t="s">
        <v>1330</v>
      </c>
      <c r="AL96" s="649"/>
      <c r="AM96" s="649">
        <v>44516</v>
      </c>
      <c r="AN96" s="649"/>
      <c r="AO96" s="649">
        <f t="shared" ca="1" si="10"/>
        <v>44963</v>
      </c>
      <c r="AP96" s="635">
        <f t="shared" ca="1" si="11"/>
        <v>447</v>
      </c>
      <c r="AQ96" s="649" t="e">
        <f t="shared" ca="1" si="9"/>
        <v>#VALUE!</v>
      </c>
      <c r="AR96" s="641"/>
      <c r="AS96" s="641" t="s">
        <v>2858</v>
      </c>
      <c r="AT96" s="641">
        <v>10.210000000000001</v>
      </c>
      <c r="AU96" s="641">
        <v>10.220000000000001</v>
      </c>
      <c r="AV96" s="641">
        <v>10.244999999999999</v>
      </c>
      <c r="AW96" s="641">
        <v>10.25</v>
      </c>
      <c r="AX96" s="635" t="e">
        <f t="shared" ref="AX96:AX133" ca="1" si="14">IF(ISNUMBER(AD96)=TRUE,AO96-AD96,IF(AD96="","",(AO96)-(MID(RIGHT(AD96,10),4,2)&amp;"/"&amp;LEFT((RIGHT(AD96,10)),2)&amp;"/"&amp;RIGHT(AD96,4))))</f>
        <v>#VALUE!</v>
      </c>
      <c r="BA96" s="634" t="s">
        <v>136</v>
      </c>
    </row>
    <row r="97" spans="1:53" s="99" customFormat="1" ht="21.75" customHeight="1" x14ac:dyDescent="0.35">
      <c r="A97" s="468">
        <v>422</v>
      </c>
      <c r="B97" s="469" t="str">
        <f t="shared" si="8"/>
        <v>0-304L/2B-001X762</v>
      </c>
      <c r="C97" s="470" t="s">
        <v>3673</v>
      </c>
      <c r="D97" s="469" t="s">
        <v>3026</v>
      </c>
      <c r="E97" s="469" t="s">
        <v>2856</v>
      </c>
      <c r="F97" s="471" t="s">
        <v>3674</v>
      </c>
      <c r="G97" s="469" t="s">
        <v>230</v>
      </c>
      <c r="H97" s="469" t="s">
        <v>116</v>
      </c>
      <c r="I97" s="472">
        <v>0.95</v>
      </c>
      <c r="J97" s="472">
        <v>0.5</v>
      </c>
      <c r="K97" s="472">
        <v>0.5</v>
      </c>
      <c r="L97" s="469">
        <v>0.5</v>
      </c>
      <c r="M97" s="473">
        <v>762</v>
      </c>
      <c r="N97" s="827"/>
      <c r="O97" s="474">
        <v>5.6849999999999996</v>
      </c>
      <c r="P97" s="474"/>
      <c r="Q97" s="475"/>
      <c r="R97" s="475"/>
      <c r="S97" s="476" t="e">
        <f t="shared" si="12"/>
        <v>#DIV/0!</v>
      </c>
      <c r="T97" s="475"/>
      <c r="U97" s="476" t="e">
        <f t="shared" si="13"/>
        <v>#DIV/0!</v>
      </c>
      <c r="V97" s="476"/>
      <c r="W97" s="473">
        <v>760</v>
      </c>
      <c r="X97" s="477" t="s">
        <v>116</v>
      </c>
      <c r="Y97" s="478" t="s">
        <v>3422</v>
      </c>
      <c r="Z97" s="479" t="s">
        <v>1206</v>
      </c>
      <c r="AA97" s="479"/>
      <c r="AB97" s="480" t="s">
        <v>3442</v>
      </c>
      <c r="AC97" s="481" t="s">
        <v>2908</v>
      </c>
      <c r="AD97" s="481" t="s">
        <v>2908</v>
      </c>
      <c r="AE97" s="481" t="s">
        <v>3443</v>
      </c>
      <c r="AF97" s="481">
        <v>44615</v>
      </c>
      <c r="AG97" s="481"/>
      <c r="AH97" s="482"/>
      <c r="AI97" s="469" t="s">
        <v>64</v>
      </c>
      <c r="AJ97" s="469" t="s">
        <v>154</v>
      </c>
      <c r="AK97" s="483" t="s">
        <v>1330</v>
      </c>
      <c r="AL97" s="483"/>
      <c r="AM97" s="483">
        <v>44516</v>
      </c>
      <c r="AN97" s="483"/>
      <c r="AO97" s="483">
        <f t="shared" ca="1" si="10"/>
        <v>44963</v>
      </c>
      <c r="AP97" s="469">
        <f t="shared" ca="1" si="11"/>
        <v>447</v>
      </c>
      <c r="AQ97" s="483" t="e">
        <f t="shared" ca="1" si="9"/>
        <v>#VALUE!</v>
      </c>
      <c r="AR97" s="475"/>
      <c r="AS97" s="475" t="s">
        <v>2858</v>
      </c>
      <c r="AT97" s="475">
        <v>10.210000000000001</v>
      </c>
      <c r="AU97" s="475">
        <v>10.220000000000001</v>
      </c>
      <c r="AV97" s="475">
        <v>10.244999999999999</v>
      </c>
      <c r="AW97" s="475">
        <v>10.25</v>
      </c>
      <c r="AX97" s="469" t="e">
        <f t="shared" ca="1" si="14"/>
        <v>#VALUE!</v>
      </c>
      <c r="AY97" s="468"/>
      <c r="AZ97" s="468"/>
      <c r="BA97" s="468" t="s">
        <v>136</v>
      </c>
    </row>
    <row r="98" spans="1:53" s="99" customFormat="1" ht="21.75" customHeight="1" x14ac:dyDescent="0.35">
      <c r="A98" s="468">
        <v>422</v>
      </c>
      <c r="B98" s="469" t="str">
        <f t="shared" ref="B98:B133" si="15">IF(C98="HOLD RM","HOLD RM",IF(C98="BAL","WIP",IF(C98="HOLD SLT","HOLD SLT",IF(C98="MILL","RM",IF(C98="RE SLT","WIP",IF(C98="RM","RM",IF(C98="RM BAL","RM",IF(C98="RM SLT","RM",IF(C98="RR","WIP",IF(C98="SKP","WIP",IF(C98="SLT","WIP",IF(C98="CTL","WIP",IF(C98="RM SLT RUST","RM SLT RUST",0)))))))))))))&amp;"-"&amp;G98&amp;"/"&amp;IF(H98="2B","2B",IF(H98="NO.1","1D",IF(H98="FH","FH",0)))&amp;"-"&amp;IF(J98="",(TEXT(I98,"0.00")),TEXT(J98,"0.00"))&amp;"X"&amp;M98</f>
        <v>0-304L/2B-001X762</v>
      </c>
      <c r="C98" s="470" t="s">
        <v>3675</v>
      </c>
      <c r="D98" s="469" t="s">
        <v>3026</v>
      </c>
      <c r="E98" s="469" t="s">
        <v>2856</v>
      </c>
      <c r="F98" s="471" t="s">
        <v>3672</v>
      </c>
      <c r="G98" s="469" t="s">
        <v>230</v>
      </c>
      <c r="H98" s="469" t="s">
        <v>116</v>
      </c>
      <c r="I98" s="472">
        <v>0.95</v>
      </c>
      <c r="J98" s="472">
        <v>0.5</v>
      </c>
      <c r="K98" s="472">
        <v>0.5</v>
      </c>
      <c r="L98" s="469">
        <v>0.5</v>
      </c>
      <c r="M98" s="473">
        <v>762</v>
      </c>
      <c r="N98" s="475">
        <v>4.34</v>
      </c>
      <c r="O98" s="474">
        <v>4.28</v>
      </c>
      <c r="P98" s="474"/>
      <c r="Q98" s="475"/>
      <c r="R98" s="475"/>
      <c r="S98" s="476">
        <f t="shared" si="12"/>
        <v>0</v>
      </c>
      <c r="T98" s="475"/>
      <c r="U98" s="476">
        <f t="shared" si="13"/>
        <v>0</v>
      </c>
      <c r="V98" s="476"/>
      <c r="W98" s="473">
        <v>760</v>
      </c>
      <c r="X98" s="477" t="s">
        <v>116</v>
      </c>
      <c r="Y98" s="478" t="s">
        <v>3422</v>
      </c>
      <c r="Z98" s="479" t="s">
        <v>1206</v>
      </c>
      <c r="AA98" s="479"/>
      <c r="AB98" s="480" t="s">
        <v>3442</v>
      </c>
      <c r="AC98" s="481" t="s">
        <v>2908</v>
      </c>
      <c r="AD98" s="481" t="s">
        <v>2908</v>
      </c>
      <c r="AE98" s="481" t="s">
        <v>3443</v>
      </c>
      <c r="AF98" s="481">
        <v>44615</v>
      </c>
      <c r="AG98" s="481"/>
      <c r="AH98" s="482"/>
      <c r="AI98" s="469" t="s">
        <v>64</v>
      </c>
      <c r="AJ98" s="469" t="s">
        <v>154</v>
      </c>
      <c r="AK98" s="483" t="s">
        <v>1330</v>
      </c>
      <c r="AL98" s="483"/>
      <c r="AM98" s="483">
        <v>44516</v>
      </c>
      <c r="AN98" s="483"/>
      <c r="AO98" s="483">
        <f t="shared" ca="1" si="10"/>
        <v>44963</v>
      </c>
      <c r="AP98" s="469">
        <f t="shared" ca="1" si="11"/>
        <v>447</v>
      </c>
      <c r="AQ98" s="483" t="e">
        <f t="shared" ref="AQ98:AQ133" ca="1" si="16">IF(ISNUMBER(AE98)=TRUE,AO98-AE98,IF(AE98="","",(AO98)-(MID(RIGHT(AE98,10),4,2)&amp;"/"&amp;LEFT((RIGHT(AE98,10)),2)&amp;"/"&amp;RIGHT(AE98,4))))</f>
        <v>#VALUE!</v>
      </c>
      <c r="AR98" s="475"/>
      <c r="AS98" s="475" t="s">
        <v>2858</v>
      </c>
      <c r="AT98" s="475">
        <v>10.210000000000001</v>
      </c>
      <c r="AU98" s="475">
        <v>10.220000000000001</v>
      </c>
      <c r="AV98" s="475">
        <v>10.244999999999999</v>
      </c>
      <c r="AW98" s="475">
        <v>10.25</v>
      </c>
      <c r="AX98" s="469" t="e">
        <f t="shared" ca="1" si="14"/>
        <v>#VALUE!</v>
      </c>
      <c r="AY98" s="468"/>
      <c r="AZ98" s="468"/>
      <c r="BA98" s="468" t="s">
        <v>136</v>
      </c>
    </row>
    <row r="99" spans="1:53" s="99" customFormat="1" ht="21.75" customHeight="1" x14ac:dyDescent="0.35">
      <c r="A99" s="583">
        <v>421</v>
      </c>
      <c r="B99" s="584" t="str">
        <f t="shared" si="15"/>
        <v>0-304L/2B-001X770</v>
      </c>
      <c r="C99" s="585" t="s">
        <v>3676</v>
      </c>
      <c r="D99" s="584" t="s">
        <v>403</v>
      </c>
      <c r="E99" s="584" t="s">
        <v>2884</v>
      </c>
      <c r="F99" s="586" t="s">
        <v>2885</v>
      </c>
      <c r="G99" s="584" t="s">
        <v>230</v>
      </c>
      <c r="H99" s="584" t="s">
        <v>116</v>
      </c>
      <c r="I99" s="587">
        <v>2.88</v>
      </c>
      <c r="J99" s="587">
        <v>0.8</v>
      </c>
      <c r="K99" s="587">
        <v>0.78</v>
      </c>
      <c r="L99" s="584">
        <v>0.8</v>
      </c>
      <c r="M99" s="588">
        <v>770</v>
      </c>
      <c r="N99" s="589">
        <v>12.085000000000001</v>
      </c>
      <c r="O99" s="590">
        <v>11.88</v>
      </c>
      <c r="P99" s="590"/>
      <c r="Q99" s="589"/>
      <c r="R99" s="589"/>
      <c r="S99" s="591">
        <f t="shared" si="12"/>
        <v>0</v>
      </c>
      <c r="T99" s="589">
        <v>0.2</v>
      </c>
      <c r="U99" s="591">
        <f t="shared" si="13"/>
        <v>1.6549441456350848E-2</v>
      </c>
      <c r="V99" s="591"/>
      <c r="W99" s="588">
        <v>765</v>
      </c>
      <c r="X99" s="592" t="s">
        <v>116</v>
      </c>
      <c r="Y99" s="593"/>
      <c r="Z99" s="594" t="s">
        <v>1206</v>
      </c>
      <c r="AA99" s="594"/>
      <c r="AB99" s="595"/>
      <c r="AC99" s="596">
        <v>44614</v>
      </c>
      <c r="AD99" s="596">
        <v>44614</v>
      </c>
      <c r="AE99" s="596">
        <v>44615</v>
      </c>
      <c r="AF99" s="596">
        <v>44616</v>
      </c>
      <c r="AG99" s="596"/>
      <c r="AH99" s="597"/>
      <c r="AI99" s="584" t="s">
        <v>64</v>
      </c>
      <c r="AJ99" s="584" t="s">
        <v>154</v>
      </c>
      <c r="AK99" s="598" t="s">
        <v>1190</v>
      </c>
      <c r="AL99" s="598"/>
      <c r="AM99" s="598">
        <v>44496</v>
      </c>
      <c r="AN99" s="598"/>
      <c r="AO99" s="598">
        <f t="shared" ca="1" si="10"/>
        <v>44963</v>
      </c>
      <c r="AP99" s="584">
        <f t="shared" ca="1" si="11"/>
        <v>467</v>
      </c>
      <c r="AQ99" s="598">
        <f t="shared" ca="1" si="16"/>
        <v>348</v>
      </c>
      <c r="AR99" s="589"/>
      <c r="AS99" s="589" t="s">
        <v>2751</v>
      </c>
      <c r="AT99" s="589">
        <v>12.08</v>
      </c>
      <c r="AU99" s="589">
        <v>12.09</v>
      </c>
      <c r="AV99" s="589">
        <v>12.114999999999998</v>
      </c>
      <c r="AW99" s="589">
        <v>12.12</v>
      </c>
      <c r="AX99" s="584">
        <f t="shared" ca="1" si="14"/>
        <v>349</v>
      </c>
      <c r="AY99" s="583"/>
      <c r="AZ99" s="583"/>
      <c r="BA99" s="583" t="s">
        <v>136</v>
      </c>
    </row>
    <row r="100" spans="1:53" s="99" customFormat="1" ht="21.75" customHeight="1" x14ac:dyDescent="0.35">
      <c r="A100" s="583">
        <v>421</v>
      </c>
      <c r="B100" s="584" t="str">
        <f t="shared" si="15"/>
        <v>0-304L/2B-001X770</v>
      </c>
      <c r="C100" s="585" t="s">
        <v>3676</v>
      </c>
      <c r="D100" s="584" t="s">
        <v>403</v>
      </c>
      <c r="E100" s="584" t="s">
        <v>1235</v>
      </c>
      <c r="F100" s="586" t="s">
        <v>2902</v>
      </c>
      <c r="G100" s="584" t="s">
        <v>230</v>
      </c>
      <c r="H100" s="584" t="s">
        <v>116</v>
      </c>
      <c r="I100" s="587">
        <v>2.79</v>
      </c>
      <c r="J100" s="587">
        <v>0.95</v>
      </c>
      <c r="K100" s="587">
        <v>0.94</v>
      </c>
      <c r="L100" s="584">
        <v>0.95</v>
      </c>
      <c r="M100" s="588">
        <v>770</v>
      </c>
      <c r="N100" s="589">
        <v>10.48</v>
      </c>
      <c r="O100" s="590">
        <v>10.48</v>
      </c>
      <c r="P100" s="590"/>
      <c r="Q100" s="589"/>
      <c r="R100" s="589"/>
      <c r="S100" s="591">
        <f t="shared" si="12"/>
        <v>0</v>
      </c>
      <c r="T100" s="589"/>
      <c r="U100" s="591">
        <f t="shared" si="13"/>
        <v>0</v>
      </c>
      <c r="V100" s="591"/>
      <c r="W100" s="588">
        <v>762</v>
      </c>
      <c r="X100" s="592" t="s">
        <v>116</v>
      </c>
      <c r="Y100" s="593"/>
      <c r="Z100" s="594" t="s">
        <v>1206</v>
      </c>
      <c r="AA100" s="594"/>
      <c r="AB100" s="595" t="s">
        <v>305</v>
      </c>
      <c r="AC100" s="596">
        <v>44615</v>
      </c>
      <c r="AD100" s="596">
        <v>44615</v>
      </c>
      <c r="AE100" s="596">
        <v>44616</v>
      </c>
      <c r="AF100" s="596">
        <v>44616</v>
      </c>
      <c r="AG100" s="596"/>
      <c r="AH100" s="597"/>
      <c r="AI100" s="584" t="s">
        <v>64</v>
      </c>
      <c r="AJ100" s="584" t="s">
        <v>154</v>
      </c>
      <c r="AK100" s="598" t="s">
        <v>1239</v>
      </c>
      <c r="AL100" s="598"/>
      <c r="AM100" s="598">
        <v>44496</v>
      </c>
      <c r="AN100" s="598"/>
      <c r="AO100" s="598">
        <f t="shared" ca="1" si="10"/>
        <v>44963</v>
      </c>
      <c r="AP100" s="584">
        <f t="shared" ca="1" si="11"/>
        <v>467</v>
      </c>
      <c r="AQ100" s="598">
        <f t="shared" ca="1" si="16"/>
        <v>347</v>
      </c>
      <c r="AR100" s="589"/>
      <c r="AS100" s="589" t="s">
        <v>1240</v>
      </c>
      <c r="AT100" s="589">
        <v>10.484999999999999</v>
      </c>
      <c r="AU100" s="589">
        <v>10.494999999999999</v>
      </c>
      <c r="AV100" s="589">
        <v>10.519999999999998</v>
      </c>
      <c r="AW100" s="589">
        <v>10.524999999999999</v>
      </c>
      <c r="AX100" s="584">
        <f t="shared" ca="1" si="14"/>
        <v>348</v>
      </c>
      <c r="AY100" s="583"/>
      <c r="AZ100" s="583"/>
      <c r="BA100" s="583" t="s">
        <v>136</v>
      </c>
    </row>
    <row r="101" spans="1:53" s="99" customFormat="1" ht="21.75" customHeight="1" x14ac:dyDescent="0.35">
      <c r="A101" s="99">
        <v>421</v>
      </c>
      <c r="B101" s="126" t="str">
        <f t="shared" si="15"/>
        <v>0-304L/2B-001X770</v>
      </c>
      <c r="C101" s="294" t="s">
        <v>3665</v>
      </c>
      <c r="D101" s="126" t="s">
        <v>3026</v>
      </c>
      <c r="E101" s="126" t="s">
        <v>1269</v>
      </c>
      <c r="F101" s="143" t="s">
        <v>3677</v>
      </c>
      <c r="G101" s="126" t="s">
        <v>230</v>
      </c>
      <c r="H101" s="126" t="s">
        <v>116</v>
      </c>
      <c r="I101" s="127">
        <v>1.2</v>
      </c>
      <c r="J101" s="127">
        <v>0.6</v>
      </c>
      <c r="K101" s="127">
        <v>0.6</v>
      </c>
      <c r="L101" s="126">
        <v>0.62</v>
      </c>
      <c r="M101" s="295">
        <v>770</v>
      </c>
      <c r="N101" s="129">
        <v>8.15</v>
      </c>
      <c r="O101" s="296">
        <f>4.01+4.11</f>
        <v>8.120000000000001</v>
      </c>
      <c r="P101" s="297"/>
      <c r="Q101" s="129">
        <v>6.5000000000000002E-2</v>
      </c>
      <c r="R101" s="129"/>
      <c r="S101" s="298">
        <f t="shared" si="12"/>
        <v>0</v>
      </c>
      <c r="T101" s="129"/>
      <c r="U101" s="298">
        <f t="shared" si="13"/>
        <v>0</v>
      </c>
      <c r="V101" s="298"/>
      <c r="W101" s="295">
        <v>760</v>
      </c>
      <c r="X101" s="299" t="s">
        <v>116</v>
      </c>
      <c r="Y101" s="284" t="s">
        <v>3422</v>
      </c>
      <c r="Z101" s="282" t="s">
        <v>1206</v>
      </c>
      <c r="AA101" s="282"/>
      <c r="AB101" s="300"/>
      <c r="AC101" s="132" t="s">
        <v>1272</v>
      </c>
      <c r="AD101" s="132" t="s">
        <v>1273</v>
      </c>
      <c r="AE101" s="132" t="s">
        <v>1274</v>
      </c>
      <c r="AF101" s="132"/>
      <c r="AG101" s="132"/>
      <c r="AH101" s="133"/>
      <c r="AI101" s="126" t="s">
        <v>64</v>
      </c>
      <c r="AJ101" s="126" t="s">
        <v>154</v>
      </c>
      <c r="AK101" s="134" t="s">
        <v>1267</v>
      </c>
      <c r="AL101" s="134"/>
      <c r="AM101" s="134">
        <v>44496</v>
      </c>
      <c r="AN101" s="134"/>
      <c r="AO101" s="134">
        <f t="shared" ca="1" si="10"/>
        <v>44963</v>
      </c>
      <c r="AP101" s="126">
        <f t="shared" ca="1" si="11"/>
        <v>467</v>
      </c>
      <c r="AQ101" s="134" t="e">
        <f t="shared" ca="1" si="16"/>
        <v>#VALUE!</v>
      </c>
      <c r="AR101" s="129"/>
      <c r="AS101" s="129" t="s">
        <v>1275</v>
      </c>
      <c r="AT101" s="129">
        <v>10.52</v>
      </c>
      <c r="AU101" s="129">
        <v>10.53</v>
      </c>
      <c r="AV101" s="129">
        <v>10.554999999999998</v>
      </c>
      <c r="AW101" s="129">
        <v>10.559999999999999</v>
      </c>
      <c r="AX101" s="126" t="e">
        <f t="shared" ca="1" si="14"/>
        <v>#VALUE!</v>
      </c>
      <c r="BA101" s="99" t="s">
        <v>136</v>
      </c>
    </row>
    <row r="102" spans="1:53" s="99" customFormat="1" ht="21.75" customHeight="1" x14ac:dyDescent="0.35">
      <c r="A102" s="99">
        <v>421</v>
      </c>
      <c r="B102" s="126" t="str">
        <f t="shared" si="15"/>
        <v>0-304L/2B-001X770</v>
      </c>
      <c r="C102" s="294" t="s">
        <v>3673</v>
      </c>
      <c r="D102" s="126" t="s">
        <v>3026</v>
      </c>
      <c r="E102" s="126" t="s">
        <v>2752</v>
      </c>
      <c r="F102" s="143" t="s">
        <v>3678</v>
      </c>
      <c r="G102" s="126" t="s">
        <v>230</v>
      </c>
      <c r="H102" s="126" t="s">
        <v>116</v>
      </c>
      <c r="I102" s="127">
        <v>2.89</v>
      </c>
      <c r="J102" s="127">
        <v>1</v>
      </c>
      <c r="K102" s="127"/>
      <c r="L102" s="126"/>
      <c r="M102" s="295">
        <v>770</v>
      </c>
      <c r="N102" s="129">
        <v>6.0350000000000001</v>
      </c>
      <c r="O102" s="296">
        <f>4.205+1.78</f>
        <v>5.9850000000000003</v>
      </c>
      <c r="P102" s="297"/>
      <c r="Q102" s="129">
        <v>4.4999999999999998E-2</v>
      </c>
      <c r="R102" s="129"/>
      <c r="S102" s="298">
        <f t="shared" si="12"/>
        <v>0</v>
      </c>
      <c r="T102" s="129"/>
      <c r="U102" s="298">
        <f t="shared" si="13"/>
        <v>0</v>
      </c>
      <c r="V102" s="298"/>
      <c r="W102" s="295">
        <v>760</v>
      </c>
      <c r="X102" s="299" t="s">
        <v>116</v>
      </c>
      <c r="Y102" s="284" t="s">
        <v>3415</v>
      </c>
      <c r="Z102" s="282" t="s">
        <v>2987</v>
      </c>
      <c r="AA102" s="282"/>
      <c r="AB102" s="300" t="s">
        <v>3371</v>
      </c>
      <c r="AC102" s="132">
        <v>44605</v>
      </c>
      <c r="AD102" s="132">
        <v>44605</v>
      </c>
      <c r="AE102" s="132">
        <v>44610</v>
      </c>
      <c r="AF102" s="132"/>
      <c r="AG102" s="132"/>
      <c r="AH102" s="133"/>
      <c r="AI102" s="126" t="s">
        <v>64</v>
      </c>
      <c r="AJ102" s="126" t="s">
        <v>154</v>
      </c>
      <c r="AK102" s="134" t="s">
        <v>1190</v>
      </c>
      <c r="AL102" s="134"/>
      <c r="AM102" s="134">
        <v>44496</v>
      </c>
      <c r="AN102" s="134"/>
      <c r="AO102" s="134">
        <f t="shared" ca="1" si="10"/>
        <v>44963</v>
      </c>
      <c r="AP102" s="126">
        <f t="shared" ca="1" si="11"/>
        <v>467</v>
      </c>
      <c r="AQ102" s="134">
        <f t="shared" ca="1" si="16"/>
        <v>353</v>
      </c>
      <c r="AR102" s="129"/>
      <c r="AS102" s="129" t="s">
        <v>1222</v>
      </c>
      <c r="AT102" s="129">
        <v>12.065</v>
      </c>
      <c r="AU102" s="129">
        <v>12.074999999999999</v>
      </c>
      <c r="AV102" s="129">
        <v>12.099999999999998</v>
      </c>
      <c r="AW102" s="129">
        <v>12.104999999999999</v>
      </c>
      <c r="AX102" s="126">
        <f t="shared" ca="1" si="14"/>
        <v>358</v>
      </c>
      <c r="BA102" s="99" t="s">
        <v>136</v>
      </c>
    </row>
    <row r="103" spans="1:53" s="99" customFormat="1" ht="21.75" customHeight="1" x14ac:dyDescent="0.35">
      <c r="A103" s="99">
        <v>400</v>
      </c>
      <c r="B103" s="126" t="str">
        <f t="shared" si="15"/>
        <v>0-J3/2B-001X620</v>
      </c>
      <c r="C103" s="294" t="s">
        <v>3665</v>
      </c>
      <c r="D103" s="126" t="s">
        <v>3026</v>
      </c>
      <c r="E103" s="126" t="s">
        <v>3679</v>
      </c>
      <c r="F103" s="143" t="s">
        <v>3680</v>
      </c>
      <c r="G103" s="126" t="s">
        <v>29</v>
      </c>
      <c r="H103" s="126" t="s">
        <v>116</v>
      </c>
      <c r="I103" s="127">
        <v>2.2000000000000002</v>
      </c>
      <c r="J103" s="127">
        <v>0.75</v>
      </c>
      <c r="K103" s="127">
        <v>0.75</v>
      </c>
      <c r="L103" s="126">
        <v>0.77</v>
      </c>
      <c r="M103" s="295">
        <v>620</v>
      </c>
      <c r="N103" s="129">
        <v>9.9450000000000003</v>
      </c>
      <c r="O103" s="296">
        <f>5.055+4.67</f>
        <v>9.7249999999999996</v>
      </c>
      <c r="P103" s="297"/>
      <c r="Q103" s="129"/>
      <c r="R103" s="129"/>
      <c r="S103" s="298">
        <f t="shared" si="12"/>
        <v>0</v>
      </c>
      <c r="T103" s="129"/>
      <c r="U103" s="298">
        <f t="shared" si="13"/>
        <v>0</v>
      </c>
      <c r="V103" s="298"/>
      <c r="W103" s="295" t="s">
        <v>3598</v>
      </c>
      <c r="X103" s="299" t="s">
        <v>116</v>
      </c>
      <c r="Y103" s="284" t="s">
        <v>3599</v>
      </c>
      <c r="Z103" s="282" t="s">
        <v>412</v>
      </c>
      <c r="AA103" s="282"/>
      <c r="AB103" s="300"/>
      <c r="AC103" s="132">
        <v>44430</v>
      </c>
      <c r="AD103" s="132">
        <v>44430</v>
      </c>
      <c r="AE103" s="132">
        <v>44469</v>
      </c>
      <c r="AF103" s="132"/>
      <c r="AG103" s="132"/>
      <c r="AH103" s="133"/>
      <c r="AI103" s="126" t="s">
        <v>64</v>
      </c>
      <c r="AJ103" s="126" t="s">
        <v>322</v>
      </c>
      <c r="AK103" s="134"/>
      <c r="AL103" s="134"/>
      <c r="AM103" s="134">
        <v>44384</v>
      </c>
      <c r="AN103" s="134"/>
      <c r="AO103" s="134">
        <f t="shared" ca="1" si="10"/>
        <v>44963</v>
      </c>
      <c r="AP103" s="126">
        <f t="shared" ca="1" si="11"/>
        <v>579</v>
      </c>
      <c r="AQ103" s="134">
        <f t="shared" ca="1" si="16"/>
        <v>494</v>
      </c>
      <c r="AR103" s="129" t="s">
        <v>797</v>
      </c>
      <c r="AS103" s="129" t="s">
        <v>798</v>
      </c>
      <c r="AT103" s="129">
        <v>9.9600000000000009</v>
      </c>
      <c r="AU103" s="129">
        <v>10</v>
      </c>
      <c r="AV103" s="129">
        <v>10.024999999999999</v>
      </c>
      <c r="AW103" s="129">
        <v>10.029999999999999</v>
      </c>
      <c r="AX103" s="126">
        <f t="shared" ca="1" si="14"/>
        <v>533</v>
      </c>
      <c r="BA103" s="99" t="s">
        <v>136</v>
      </c>
    </row>
    <row r="104" spans="1:53" s="99" customFormat="1" ht="21.75" customHeight="1" x14ac:dyDescent="0.35">
      <c r="A104" s="99">
        <v>422</v>
      </c>
      <c r="B104" s="126" t="str">
        <f t="shared" si="15"/>
        <v>0-304L/2B-000X763</v>
      </c>
      <c r="C104" s="294" t="s">
        <v>3681</v>
      </c>
      <c r="D104" s="126" t="s">
        <v>3026</v>
      </c>
      <c r="E104" s="126" t="s">
        <v>2823</v>
      </c>
      <c r="F104" s="143" t="s">
        <v>3682</v>
      </c>
      <c r="G104" s="126" t="s">
        <v>230</v>
      </c>
      <c r="H104" s="126" t="s">
        <v>116</v>
      </c>
      <c r="I104" s="127">
        <v>0.8</v>
      </c>
      <c r="J104" s="127">
        <v>0.4</v>
      </c>
      <c r="K104" s="127">
        <v>0.39</v>
      </c>
      <c r="L104" s="126">
        <v>0.41</v>
      </c>
      <c r="M104" s="295">
        <v>763</v>
      </c>
      <c r="N104" s="129">
        <v>8.1649999999999991</v>
      </c>
      <c r="O104" s="296">
        <f>4.115+3.975</f>
        <v>8.09</v>
      </c>
      <c r="P104" s="297"/>
      <c r="Q104" s="129">
        <v>7.4999999999999997E-2</v>
      </c>
      <c r="R104" s="129"/>
      <c r="S104" s="298">
        <f t="shared" si="12"/>
        <v>0</v>
      </c>
      <c r="T104" s="129"/>
      <c r="U104" s="298">
        <f t="shared" si="13"/>
        <v>0</v>
      </c>
      <c r="V104" s="298"/>
      <c r="W104" s="295">
        <v>760</v>
      </c>
      <c r="X104" s="299" t="s">
        <v>116</v>
      </c>
      <c r="Y104" s="284" t="s">
        <v>3434</v>
      </c>
      <c r="Z104" s="282" t="s">
        <v>1206</v>
      </c>
      <c r="AA104" s="282"/>
      <c r="AB104" s="300" t="s">
        <v>305</v>
      </c>
      <c r="AC104" s="132" t="s">
        <v>2928</v>
      </c>
      <c r="AD104" s="132" t="s">
        <v>2928</v>
      </c>
      <c r="AE104" s="132" t="s">
        <v>3455</v>
      </c>
      <c r="AF104" s="132">
        <v>44615</v>
      </c>
      <c r="AG104" s="132"/>
      <c r="AH104" s="133"/>
      <c r="AI104" s="126" t="s">
        <v>64</v>
      </c>
      <c r="AJ104" s="126" t="s">
        <v>154</v>
      </c>
      <c r="AK104" s="134" t="s">
        <v>1330</v>
      </c>
      <c r="AL104" s="134"/>
      <c r="AM104" s="134">
        <v>44516</v>
      </c>
      <c r="AN104" s="134"/>
      <c r="AO104" s="134">
        <f t="shared" ca="1" si="10"/>
        <v>44963</v>
      </c>
      <c r="AP104" s="126">
        <f t="shared" ca="1" si="11"/>
        <v>447</v>
      </c>
      <c r="AQ104" s="134" t="e">
        <f t="shared" ca="1" si="16"/>
        <v>#VALUE!</v>
      </c>
      <c r="AR104" s="129"/>
      <c r="AS104" s="129" t="s">
        <v>2688</v>
      </c>
      <c r="AT104" s="129">
        <v>8.2850000000000001</v>
      </c>
      <c r="AU104" s="129">
        <v>8.2949999999999999</v>
      </c>
      <c r="AV104" s="129">
        <v>8.3199999999999985</v>
      </c>
      <c r="AW104" s="129">
        <v>8.3249999999999993</v>
      </c>
      <c r="AX104" s="126" t="e">
        <f t="shared" ca="1" si="14"/>
        <v>#VALUE!</v>
      </c>
      <c r="BA104" s="99" t="s">
        <v>136</v>
      </c>
    </row>
    <row r="105" spans="1:53" s="99" customFormat="1" ht="21.75" customHeight="1" x14ac:dyDescent="0.35">
      <c r="A105" s="451">
        <v>421</v>
      </c>
      <c r="B105" s="452" t="str">
        <f t="shared" si="15"/>
        <v>0-304L/2B-000X761</v>
      </c>
      <c r="C105" s="453" t="s">
        <v>3681</v>
      </c>
      <c r="D105" s="452" t="s">
        <v>3026</v>
      </c>
      <c r="E105" s="452" t="s">
        <v>2929</v>
      </c>
      <c r="F105" s="454" t="s">
        <v>3683</v>
      </c>
      <c r="G105" s="452" t="s">
        <v>230</v>
      </c>
      <c r="H105" s="452" t="s">
        <v>116</v>
      </c>
      <c r="I105" s="455">
        <v>0.6</v>
      </c>
      <c r="J105" s="455">
        <v>0.3</v>
      </c>
      <c r="K105" s="455">
        <v>0.3</v>
      </c>
      <c r="L105" s="452">
        <v>0.31</v>
      </c>
      <c r="M105" s="456">
        <v>761</v>
      </c>
      <c r="N105" s="828">
        <v>4.6399999999999997</v>
      </c>
      <c r="O105" s="457">
        <v>4.3449999999999998</v>
      </c>
      <c r="P105" s="457"/>
      <c r="Q105" s="458"/>
      <c r="R105" s="458"/>
      <c r="S105" s="459">
        <f t="shared" si="12"/>
        <v>0</v>
      </c>
      <c r="T105" s="458"/>
      <c r="U105" s="459">
        <f t="shared" si="13"/>
        <v>0</v>
      </c>
      <c r="V105" s="459"/>
      <c r="W105" s="456">
        <v>760</v>
      </c>
      <c r="X105" s="461" t="s">
        <v>116</v>
      </c>
      <c r="Y105" s="462" t="s">
        <v>3427</v>
      </c>
      <c r="Z105" s="463" t="s">
        <v>1206</v>
      </c>
      <c r="AA105" s="463" t="s">
        <v>1228</v>
      </c>
      <c r="AB105" s="464" t="s">
        <v>2931</v>
      </c>
      <c r="AC105" s="465" t="s">
        <v>2932</v>
      </c>
      <c r="AD105" s="465" t="s">
        <v>2932</v>
      </c>
      <c r="AE105" s="465" t="s">
        <v>3454</v>
      </c>
      <c r="AF105" s="465"/>
      <c r="AG105" s="465"/>
      <c r="AH105" s="466"/>
      <c r="AI105" s="452" t="s">
        <v>64</v>
      </c>
      <c r="AJ105" s="452" t="s">
        <v>154</v>
      </c>
      <c r="AK105" s="467" t="s">
        <v>1190</v>
      </c>
      <c r="AL105" s="467"/>
      <c r="AM105" s="467">
        <v>44496</v>
      </c>
      <c r="AN105" s="467"/>
      <c r="AO105" s="467">
        <f t="shared" ca="1" si="10"/>
        <v>44963</v>
      </c>
      <c r="AP105" s="452">
        <f t="shared" ca="1" si="11"/>
        <v>467</v>
      </c>
      <c r="AQ105" s="467" t="e">
        <f t="shared" ca="1" si="16"/>
        <v>#VALUE!</v>
      </c>
      <c r="AR105" s="458"/>
      <c r="AS105" s="458" t="s">
        <v>2933</v>
      </c>
      <c r="AT105" s="458">
        <v>10.52</v>
      </c>
      <c r="AU105" s="458">
        <v>10.53</v>
      </c>
      <c r="AV105" s="458">
        <v>10.554999999999998</v>
      </c>
      <c r="AW105" s="458">
        <v>10.559999999999999</v>
      </c>
      <c r="AX105" s="452" t="e">
        <f t="shared" ca="1" si="14"/>
        <v>#VALUE!</v>
      </c>
      <c r="AY105" s="451"/>
      <c r="AZ105" s="451"/>
      <c r="BA105" s="451" t="s">
        <v>136</v>
      </c>
    </row>
    <row r="106" spans="1:53" s="99" customFormat="1" ht="21.75" customHeight="1" x14ac:dyDescent="0.35">
      <c r="A106" s="451">
        <v>421</v>
      </c>
      <c r="B106" s="452" t="str">
        <f t="shared" si="15"/>
        <v>0-304L/2B-000X761</v>
      </c>
      <c r="C106" s="453" t="s">
        <v>3684</v>
      </c>
      <c r="D106" s="452" t="s">
        <v>3495</v>
      </c>
      <c r="E106" s="452" t="s">
        <v>2929</v>
      </c>
      <c r="F106" s="454" t="s">
        <v>3685</v>
      </c>
      <c r="G106" s="452" t="s">
        <v>230</v>
      </c>
      <c r="H106" s="452" t="s">
        <v>116</v>
      </c>
      <c r="I106" s="455">
        <v>0.6</v>
      </c>
      <c r="J106" s="455">
        <v>0.3</v>
      </c>
      <c r="K106" s="455">
        <v>0.3</v>
      </c>
      <c r="L106" s="452">
        <v>0.31</v>
      </c>
      <c r="M106" s="456">
        <v>761</v>
      </c>
      <c r="N106" s="829"/>
      <c r="O106" s="457">
        <v>0.29499999999999998</v>
      </c>
      <c r="P106" s="457"/>
      <c r="Q106" s="458"/>
      <c r="R106" s="458"/>
      <c r="S106" s="459" t="e">
        <f t="shared" si="12"/>
        <v>#DIV/0!</v>
      </c>
      <c r="T106" s="458"/>
      <c r="U106" s="459" t="e">
        <f t="shared" si="13"/>
        <v>#DIV/0!</v>
      </c>
      <c r="V106" s="459"/>
      <c r="W106" s="456">
        <v>760</v>
      </c>
      <c r="X106" s="461" t="s">
        <v>116</v>
      </c>
      <c r="Y106" s="462"/>
      <c r="Z106" s="463" t="s">
        <v>3497</v>
      </c>
      <c r="AA106" s="463" t="s">
        <v>1228</v>
      </c>
      <c r="AB106" s="464" t="s">
        <v>2931</v>
      </c>
      <c r="AC106" s="465" t="s">
        <v>2932</v>
      </c>
      <c r="AD106" s="465" t="s">
        <v>2932</v>
      </c>
      <c r="AE106" s="465" t="s">
        <v>3454</v>
      </c>
      <c r="AF106" s="465"/>
      <c r="AG106" s="465"/>
      <c r="AH106" s="466"/>
      <c r="AI106" s="452" t="s">
        <v>64</v>
      </c>
      <c r="AJ106" s="452" t="s">
        <v>154</v>
      </c>
      <c r="AK106" s="467" t="s">
        <v>1190</v>
      </c>
      <c r="AL106" s="467"/>
      <c r="AM106" s="467">
        <v>44496</v>
      </c>
      <c r="AN106" s="467"/>
      <c r="AO106" s="467">
        <f t="shared" ca="1" si="10"/>
        <v>44963</v>
      </c>
      <c r="AP106" s="452">
        <f t="shared" ca="1" si="11"/>
        <v>467</v>
      </c>
      <c r="AQ106" s="467" t="e">
        <f t="shared" ca="1" si="16"/>
        <v>#VALUE!</v>
      </c>
      <c r="AR106" s="458"/>
      <c r="AS106" s="458" t="s">
        <v>2933</v>
      </c>
      <c r="AT106" s="458">
        <v>10.52</v>
      </c>
      <c r="AU106" s="458">
        <v>10.53</v>
      </c>
      <c r="AV106" s="458">
        <v>10.554999999999998</v>
      </c>
      <c r="AW106" s="458">
        <v>10.559999999999999</v>
      </c>
      <c r="AX106" s="452" t="e">
        <f t="shared" ca="1" si="14"/>
        <v>#VALUE!</v>
      </c>
      <c r="AY106" s="451"/>
      <c r="AZ106" s="451"/>
      <c r="BA106" s="451" t="s">
        <v>136</v>
      </c>
    </row>
    <row r="107" spans="1:53" s="614" customFormat="1" ht="21.5" customHeight="1" x14ac:dyDescent="0.35">
      <c r="A107" s="614">
        <v>424</v>
      </c>
      <c r="B107" s="615" t="str">
        <f t="shared" si="15"/>
        <v>0-304L/2B-002X764</v>
      </c>
      <c r="C107" s="616" t="s">
        <v>3686</v>
      </c>
      <c r="D107" s="615" t="s">
        <v>358</v>
      </c>
      <c r="E107" s="615" t="s">
        <v>2876</v>
      </c>
      <c r="F107" s="617" t="s">
        <v>3435</v>
      </c>
      <c r="G107" s="615" t="s">
        <v>230</v>
      </c>
      <c r="H107" s="615" t="s">
        <v>116</v>
      </c>
      <c r="I107" s="618">
        <v>3.78</v>
      </c>
      <c r="J107" s="618">
        <v>1.5</v>
      </c>
      <c r="K107" s="618">
        <v>1.47</v>
      </c>
      <c r="L107" s="615">
        <v>1.49</v>
      </c>
      <c r="M107" s="619">
        <v>764</v>
      </c>
      <c r="N107" s="620">
        <v>5.67</v>
      </c>
      <c r="O107" s="621">
        <v>5.67</v>
      </c>
      <c r="P107" s="621"/>
      <c r="Q107" s="620"/>
      <c r="R107" s="620"/>
      <c r="S107" s="622">
        <f t="shared" si="12"/>
        <v>0</v>
      </c>
      <c r="T107" s="620"/>
      <c r="U107" s="622">
        <f t="shared" si="13"/>
        <v>0</v>
      </c>
      <c r="V107" s="622"/>
      <c r="W107" s="619">
        <v>764</v>
      </c>
      <c r="X107" s="623" t="s">
        <v>116</v>
      </c>
      <c r="Y107" s="624"/>
      <c r="Z107" s="625" t="s">
        <v>1206</v>
      </c>
      <c r="AA107" s="625"/>
      <c r="AB107" s="626" t="s">
        <v>3436</v>
      </c>
      <c r="AC107" s="627">
        <v>44612</v>
      </c>
      <c r="AD107" s="627">
        <v>44613</v>
      </c>
      <c r="AE107" s="627">
        <v>44614</v>
      </c>
      <c r="AF107" s="627">
        <v>44617</v>
      </c>
      <c r="AG107" s="627"/>
      <c r="AH107" s="628" t="s">
        <v>1395</v>
      </c>
      <c r="AI107" s="615" t="s">
        <v>64</v>
      </c>
      <c r="AJ107" s="615" t="s">
        <v>154</v>
      </c>
      <c r="AK107" s="629" t="s">
        <v>1330</v>
      </c>
      <c r="AL107" s="629"/>
      <c r="AM107" s="629">
        <v>44554</v>
      </c>
      <c r="AN107" s="629"/>
      <c r="AO107" s="629">
        <f t="shared" ca="1" si="10"/>
        <v>44963</v>
      </c>
      <c r="AP107" s="615">
        <f t="shared" ca="1" si="11"/>
        <v>409</v>
      </c>
      <c r="AQ107" s="629">
        <f t="shared" ca="1" si="16"/>
        <v>349</v>
      </c>
      <c r="AR107" s="620"/>
      <c r="AS107" s="620" t="s">
        <v>1396</v>
      </c>
      <c r="AT107" s="620">
        <v>10.210000000000001</v>
      </c>
      <c r="AU107" s="620">
        <v>10.220000000000001</v>
      </c>
      <c r="AV107" s="620">
        <v>10.244999999999999</v>
      </c>
      <c r="AW107" s="620">
        <v>10.25</v>
      </c>
      <c r="AX107" s="615">
        <f t="shared" ca="1" si="14"/>
        <v>350</v>
      </c>
      <c r="BA107" s="614" t="s">
        <v>136</v>
      </c>
    </row>
    <row r="108" spans="1:53" s="99" customFormat="1" ht="21.75" customHeight="1" x14ac:dyDescent="0.35">
      <c r="A108" s="583">
        <v>357</v>
      </c>
      <c r="B108" s="584" t="str">
        <f t="shared" si="15"/>
        <v>0-304/2B-001X690</v>
      </c>
      <c r="C108" s="585" t="s">
        <v>3687</v>
      </c>
      <c r="D108" s="584" t="s">
        <v>396</v>
      </c>
      <c r="E108" s="584" t="s">
        <v>359</v>
      </c>
      <c r="F108" s="586" t="s">
        <v>360</v>
      </c>
      <c r="G108" s="584">
        <v>304</v>
      </c>
      <c r="H108" s="584" t="s">
        <v>116</v>
      </c>
      <c r="I108" s="587">
        <v>1</v>
      </c>
      <c r="J108" s="587">
        <v>1</v>
      </c>
      <c r="K108" s="587">
        <v>0.98</v>
      </c>
      <c r="L108" s="584">
        <v>1</v>
      </c>
      <c r="M108" s="588">
        <v>690</v>
      </c>
      <c r="N108" s="589">
        <v>8.4250000000000007</v>
      </c>
      <c r="O108" s="590">
        <v>8.3350000000000009</v>
      </c>
      <c r="P108" s="590"/>
      <c r="Q108" s="589"/>
      <c r="R108" s="589"/>
      <c r="S108" s="591">
        <f t="shared" si="12"/>
        <v>0</v>
      </c>
      <c r="T108" s="589"/>
      <c r="U108" s="591">
        <f t="shared" si="13"/>
        <v>0</v>
      </c>
      <c r="V108" s="591"/>
      <c r="W108" s="588">
        <v>687</v>
      </c>
      <c r="X108" s="592"/>
      <c r="Y108" s="593"/>
      <c r="Z108" s="594" t="s">
        <v>361</v>
      </c>
      <c r="AA108" s="594"/>
      <c r="AB108" s="595" t="s">
        <v>362</v>
      </c>
      <c r="AC108" s="596">
        <v>44617</v>
      </c>
      <c r="AD108" s="596"/>
      <c r="AE108" s="596">
        <v>44365</v>
      </c>
      <c r="AF108" s="596" t="s">
        <v>364</v>
      </c>
      <c r="AG108" s="596"/>
      <c r="AH108" s="597"/>
      <c r="AI108" s="584" t="s">
        <v>65</v>
      </c>
      <c r="AJ108" s="584" t="s">
        <v>132</v>
      </c>
      <c r="AK108" s="598" t="s">
        <v>365</v>
      </c>
      <c r="AL108" s="598">
        <v>44228</v>
      </c>
      <c r="AM108" s="598">
        <v>44245</v>
      </c>
      <c r="AN108" s="598"/>
      <c r="AO108" s="598">
        <f t="shared" ca="1" si="10"/>
        <v>44963</v>
      </c>
      <c r="AP108" s="584">
        <f t="shared" ca="1" si="11"/>
        <v>718</v>
      </c>
      <c r="AQ108" s="598">
        <f t="shared" ca="1" si="16"/>
        <v>598</v>
      </c>
      <c r="AR108" s="589" t="s">
        <v>366</v>
      </c>
      <c r="AS108" s="589" t="s">
        <v>367</v>
      </c>
      <c r="AT108" s="589">
        <v>8.4459999999999997</v>
      </c>
      <c r="AU108" s="589">
        <v>8.4809999999999999</v>
      </c>
      <c r="AV108" s="589">
        <v>8.5059999999999985</v>
      </c>
      <c r="AW108" s="589">
        <v>8.5109999999999992</v>
      </c>
      <c r="AX108" s="584" t="str">
        <f t="shared" si="14"/>
        <v/>
      </c>
      <c r="AY108" s="583"/>
      <c r="AZ108" s="583"/>
      <c r="BA108" s="583" t="s">
        <v>136</v>
      </c>
    </row>
    <row r="109" spans="1:53" s="99" customFormat="1" ht="21.75" customHeight="1" x14ac:dyDescent="0.35">
      <c r="A109" s="583">
        <v>421</v>
      </c>
      <c r="B109" s="584" t="str">
        <f t="shared" si="15"/>
        <v>0-304L/2B-001X770</v>
      </c>
      <c r="C109" s="585" t="s">
        <v>3687</v>
      </c>
      <c r="D109" s="584" t="s">
        <v>403</v>
      </c>
      <c r="E109" s="584" t="s">
        <v>1218</v>
      </c>
      <c r="F109" s="586" t="s">
        <v>1219</v>
      </c>
      <c r="G109" s="584" t="s">
        <v>230</v>
      </c>
      <c r="H109" s="584" t="s">
        <v>116</v>
      </c>
      <c r="I109" s="587">
        <v>2.89</v>
      </c>
      <c r="J109" s="587">
        <v>0.74</v>
      </c>
      <c r="K109" s="587">
        <v>0.75</v>
      </c>
      <c r="L109" s="584">
        <v>0.77</v>
      </c>
      <c r="M109" s="588">
        <v>770</v>
      </c>
      <c r="N109" s="589">
        <v>4.7949999999999999</v>
      </c>
      <c r="O109" s="590">
        <v>4.76</v>
      </c>
      <c r="P109" s="590"/>
      <c r="Q109" s="589"/>
      <c r="R109" s="589"/>
      <c r="S109" s="591">
        <f t="shared" si="12"/>
        <v>0</v>
      </c>
      <c r="T109" s="589">
        <v>0.06</v>
      </c>
      <c r="U109" s="591">
        <f t="shared" si="13"/>
        <v>1.251303441084463E-2</v>
      </c>
      <c r="V109" s="591"/>
      <c r="W109" s="588">
        <v>763</v>
      </c>
      <c r="X109" s="592" t="s">
        <v>116</v>
      </c>
      <c r="Y109" s="593"/>
      <c r="Z109" s="594" t="s">
        <v>1143</v>
      </c>
      <c r="AA109" s="594"/>
      <c r="AB109" s="595"/>
      <c r="AC109" s="596">
        <v>44538</v>
      </c>
      <c r="AD109" s="596">
        <v>44538</v>
      </c>
      <c r="AE109" s="596">
        <v>44603</v>
      </c>
      <c r="AF109" s="596">
        <v>44617</v>
      </c>
      <c r="AG109" s="596"/>
      <c r="AH109" s="597"/>
      <c r="AI109" s="584" t="s">
        <v>64</v>
      </c>
      <c r="AJ109" s="584" t="s">
        <v>154</v>
      </c>
      <c r="AK109" s="598" t="s">
        <v>1190</v>
      </c>
      <c r="AL109" s="598"/>
      <c r="AM109" s="598">
        <v>44496</v>
      </c>
      <c r="AN109" s="598"/>
      <c r="AO109" s="598">
        <f t="shared" ca="1" si="10"/>
        <v>44963</v>
      </c>
      <c r="AP109" s="584">
        <f t="shared" ca="1" si="11"/>
        <v>467</v>
      </c>
      <c r="AQ109" s="598">
        <f t="shared" ca="1" si="16"/>
        <v>360</v>
      </c>
      <c r="AR109" s="589"/>
      <c r="AS109" s="589" t="s">
        <v>1222</v>
      </c>
      <c r="AT109" s="589">
        <v>12.03</v>
      </c>
      <c r="AU109" s="589">
        <v>12.04</v>
      </c>
      <c r="AV109" s="589">
        <v>12.064999999999998</v>
      </c>
      <c r="AW109" s="589">
        <v>12.069999999999999</v>
      </c>
      <c r="AX109" s="584">
        <f t="shared" ca="1" si="14"/>
        <v>425</v>
      </c>
      <c r="AY109" s="583"/>
      <c r="AZ109" s="583"/>
      <c r="BA109" s="583" t="s">
        <v>136</v>
      </c>
    </row>
    <row r="110" spans="1:53" s="99" customFormat="1" ht="21.75" customHeight="1" x14ac:dyDescent="0.35">
      <c r="A110" s="599">
        <v>421</v>
      </c>
      <c r="B110" s="600" t="str">
        <f t="shared" si="15"/>
        <v>0-304L/2B-001X770</v>
      </c>
      <c r="C110" s="601" t="s">
        <v>3681</v>
      </c>
      <c r="D110" s="600" t="s">
        <v>3026</v>
      </c>
      <c r="E110" s="600" t="s">
        <v>2913</v>
      </c>
      <c r="F110" s="602" t="s">
        <v>3688</v>
      </c>
      <c r="G110" s="600" t="s">
        <v>230</v>
      </c>
      <c r="H110" s="600" t="s">
        <v>116</v>
      </c>
      <c r="I110" s="603">
        <v>2.76</v>
      </c>
      <c r="J110" s="603">
        <v>0.6</v>
      </c>
      <c r="K110" s="603"/>
      <c r="L110" s="600"/>
      <c r="M110" s="604">
        <v>770</v>
      </c>
      <c r="N110" s="834">
        <v>10.545</v>
      </c>
      <c r="O110" s="367">
        <v>5.37</v>
      </c>
      <c r="P110" s="367"/>
      <c r="Q110" s="605"/>
      <c r="R110" s="605">
        <v>0.02</v>
      </c>
      <c r="S110" s="606">
        <f t="shared" si="12"/>
        <v>1.896633475580844E-3</v>
      </c>
      <c r="T110" s="605">
        <v>0.14499999999999999</v>
      </c>
      <c r="U110" s="606">
        <f t="shared" si="13"/>
        <v>1.3750592697961118E-2</v>
      </c>
      <c r="V110" s="606"/>
      <c r="W110" s="604">
        <v>759</v>
      </c>
      <c r="X110" s="607" t="s">
        <v>116</v>
      </c>
      <c r="Y110" s="608" t="s">
        <v>3689</v>
      </c>
      <c r="Z110" s="609" t="s">
        <v>1143</v>
      </c>
      <c r="AA110" s="609"/>
      <c r="AB110" s="610"/>
      <c r="AC110" s="611">
        <v>44615</v>
      </c>
      <c r="AD110" s="611">
        <v>44616</v>
      </c>
      <c r="AE110" s="611">
        <v>44617</v>
      </c>
      <c r="AF110" s="611"/>
      <c r="AG110" s="611"/>
      <c r="AH110" s="612"/>
      <c r="AI110" s="600" t="s">
        <v>64</v>
      </c>
      <c r="AJ110" s="600" t="s">
        <v>154</v>
      </c>
      <c r="AK110" s="613" t="s">
        <v>1190</v>
      </c>
      <c r="AL110" s="613"/>
      <c r="AM110" s="613">
        <v>44496</v>
      </c>
      <c r="AN110" s="613"/>
      <c r="AO110" s="613">
        <f t="shared" ca="1" si="10"/>
        <v>44963</v>
      </c>
      <c r="AP110" s="600">
        <f t="shared" ca="1" si="11"/>
        <v>467</v>
      </c>
      <c r="AQ110" s="613">
        <f t="shared" ca="1" si="16"/>
        <v>346</v>
      </c>
      <c r="AR110" s="605"/>
      <c r="AS110" s="605" t="s">
        <v>2915</v>
      </c>
      <c r="AT110" s="605">
        <v>10.54</v>
      </c>
      <c r="AU110" s="605">
        <v>10.55</v>
      </c>
      <c r="AV110" s="605">
        <v>10.574999999999999</v>
      </c>
      <c r="AW110" s="605">
        <v>10.58</v>
      </c>
      <c r="AX110" s="600">
        <f t="shared" ca="1" si="14"/>
        <v>347</v>
      </c>
      <c r="AY110" s="599"/>
      <c r="AZ110" s="599"/>
      <c r="BA110" s="599" t="s">
        <v>136</v>
      </c>
    </row>
    <row r="111" spans="1:53" s="583" customFormat="1" ht="21.75" customHeight="1" x14ac:dyDescent="0.35">
      <c r="A111" s="583">
        <v>421</v>
      </c>
      <c r="B111" s="584" t="str">
        <f t="shared" si="15"/>
        <v>0-304L/2B-001X770</v>
      </c>
      <c r="C111" s="585" t="s">
        <v>3687</v>
      </c>
      <c r="D111" s="584" t="s">
        <v>403</v>
      </c>
      <c r="E111" s="584" t="s">
        <v>2913</v>
      </c>
      <c r="F111" s="586" t="s">
        <v>2962</v>
      </c>
      <c r="G111" s="584" t="s">
        <v>230</v>
      </c>
      <c r="H111" s="584" t="s">
        <v>116</v>
      </c>
      <c r="I111" s="587">
        <v>2.76</v>
      </c>
      <c r="J111" s="587">
        <v>0.6</v>
      </c>
      <c r="K111" s="587"/>
      <c r="L111" s="584"/>
      <c r="M111" s="588">
        <v>770</v>
      </c>
      <c r="N111" s="835"/>
      <c r="O111" s="590">
        <v>5.01</v>
      </c>
      <c r="P111" s="590"/>
      <c r="Q111" s="589"/>
      <c r="R111" s="589"/>
      <c r="S111" s="591" t="e">
        <f t="shared" si="12"/>
        <v>#DIV/0!</v>
      </c>
      <c r="T111" s="589"/>
      <c r="U111" s="591" t="e">
        <f t="shared" si="13"/>
        <v>#DIV/0!</v>
      </c>
      <c r="V111" s="591"/>
      <c r="W111" s="588">
        <v>762</v>
      </c>
      <c r="X111" s="592" t="s">
        <v>116</v>
      </c>
      <c r="Y111" s="593"/>
      <c r="Z111" s="594" t="s">
        <v>1206</v>
      </c>
      <c r="AA111" s="594"/>
      <c r="AB111" s="595"/>
      <c r="AC111" s="596">
        <v>44615</v>
      </c>
      <c r="AD111" s="596">
        <v>44616</v>
      </c>
      <c r="AE111" s="596">
        <v>44617</v>
      </c>
      <c r="AF111" s="596">
        <v>44617</v>
      </c>
      <c r="AG111" s="596"/>
      <c r="AH111" s="597"/>
      <c r="AI111" s="584" t="s">
        <v>64</v>
      </c>
      <c r="AJ111" s="584" t="s">
        <v>154</v>
      </c>
      <c r="AK111" s="598" t="s">
        <v>1190</v>
      </c>
      <c r="AL111" s="598"/>
      <c r="AM111" s="598">
        <v>44496</v>
      </c>
      <c r="AN111" s="598"/>
      <c r="AO111" s="598">
        <f t="shared" ca="1" si="10"/>
        <v>44963</v>
      </c>
      <c r="AP111" s="584">
        <f t="shared" ca="1" si="11"/>
        <v>467</v>
      </c>
      <c r="AQ111" s="598">
        <f t="shared" ca="1" si="16"/>
        <v>346</v>
      </c>
      <c r="AR111" s="589"/>
      <c r="AS111" s="589" t="s">
        <v>2915</v>
      </c>
      <c r="AT111" s="589">
        <v>10.54</v>
      </c>
      <c r="AU111" s="589">
        <v>10.55</v>
      </c>
      <c r="AV111" s="589">
        <v>10.574999999999999</v>
      </c>
      <c r="AW111" s="589">
        <v>10.58</v>
      </c>
      <c r="AX111" s="584">
        <f t="shared" ca="1" si="14"/>
        <v>347</v>
      </c>
      <c r="BA111" s="583" t="s">
        <v>136</v>
      </c>
    </row>
    <row r="112" spans="1:53" s="614" customFormat="1" ht="21.75" customHeight="1" x14ac:dyDescent="0.35">
      <c r="A112" s="614">
        <v>424</v>
      </c>
      <c r="B112" s="615" t="str">
        <f t="shared" si="15"/>
        <v>0-304L/2B-002X764</v>
      </c>
      <c r="C112" s="616" t="s">
        <v>3681</v>
      </c>
      <c r="D112" s="615" t="s">
        <v>3026</v>
      </c>
      <c r="E112" s="615" t="s">
        <v>2876</v>
      </c>
      <c r="F112" s="617" t="s">
        <v>3435</v>
      </c>
      <c r="G112" s="615" t="s">
        <v>230</v>
      </c>
      <c r="H112" s="615" t="s">
        <v>116</v>
      </c>
      <c r="I112" s="618">
        <v>3.78</v>
      </c>
      <c r="J112" s="618">
        <v>1.5</v>
      </c>
      <c r="K112" s="618">
        <v>1.47</v>
      </c>
      <c r="L112" s="615">
        <v>1.49</v>
      </c>
      <c r="M112" s="619">
        <v>764</v>
      </c>
      <c r="N112" s="818">
        <v>5.67</v>
      </c>
      <c r="O112" s="621">
        <v>4.9800000000000004</v>
      </c>
      <c r="P112" s="621"/>
      <c r="Q112" s="620"/>
      <c r="R112" s="620"/>
      <c r="S112" s="622">
        <f t="shared" si="12"/>
        <v>0</v>
      </c>
      <c r="T112" s="620"/>
      <c r="U112" s="622">
        <f t="shared" si="13"/>
        <v>0</v>
      </c>
      <c r="V112" s="622"/>
      <c r="W112" s="619">
        <v>760</v>
      </c>
      <c r="X112" s="623" t="s">
        <v>116</v>
      </c>
      <c r="Y112" s="624" t="s">
        <v>3434</v>
      </c>
      <c r="Z112" s="625" t="s">
        <v>1206</v>
      </c>
      <c r="AA112" s="625"/>
      <c r="AB112" s="626" t="s">
        <v>3436</v>
      </c>
      <c r="AC112" s="627">
        <v>44612</v>
      </c>
      <c r="AD112" s="627">
        <v>44613</v>
      </c>
      <c r="AE112" s="627">
        <v>44614</v>
      </c>
      <c r="AF112" s="627">
        <v>44617</v>
      </c>
      <c r="AG112" s="627"/>
      <c r="AH112" s="628" t="s">
        <v>1395</v>
      </c>
      <c r="AI112" s="615" t="s">
        <v>64</v>
      </c>
      <c r="AJ112" s="615" t="s">
        <v>154</v>
      </c>
      <c r="AK112" s="629" t="s">
        <v>1330</v>
      </c>
      <c r="AL112" s="629"/>
      <c r="AM112" s="629">
        <v>44554</v>
      </c>
      <c r="AN112" s="629"/>
      <c r="AO112" s="629">
        <f t="shared" ca="1" si="10"/>
        <v>44963</v>
      </c>
      <c r="AP112" s="615">
        <f t="shared" ca="1" si="11"/>
        <v>409</v>
      </c>
      <c r="AQ112" s="629">
        <f t="shared" ca="1" si="16"/>
        <v>349</v>
      </c>
      <c r="AR112" s="620"/>
      <c r="AS112" s="620" t="s">
        <v>1396</v>
      </c>
      <c r="AT112" s="620">
        <v>10.210000000000001</v>
      </c>
      <c r="AU112" s="620">
        <v>10.220000000000001</v>
      </c>
      <c r="AV112" s="620">
        <v>10.244999999999999</v>
      </c>
      <c r="AW112" s="620">
        <v>10.25</v>
      </c>
      <c r="AX112" s="615">
        <f t="shared" ca="1" si="14"/>
        <v>350</v>
      </c>
      <c r="BA112" s="614" t="s">
        <v>136</v>
      </c>
    </row>
    <row r="113" spans="1:53" s="614" customFormat="1" ht="21.75" customHeight="1" x14ac:dyDescent="0.35">
      <c r="A113" s="614">
        <v>424</v>
      </c>
      <c r="B113" s="615" t="str">
        <f t="shared" si="15"/>
        <v>0-304L/2B-002X764</v>
      </c>
      <c r="C113" s="616" t="s">
        <v>3684</v>
      </c>
      <c r="D113" s="615" t="s">
        <v>3495</v>
      </c>
      <c r="E113" s="615" t="s">
        <v>2876</v>
      </c>
      <c r="F113" s="617" t="s">
        <v>3690</v>
      </c>
      <c r="G113" s="615" t="s">
        <v>230</v>
      </c>
      <c r="H113" s="615" t="s">
        <v>116</v>
      </c>
      <c r="I113" s="618">
        <v>3.78</v>
      </c>
      <c r="J113" s="618">
        <v>1.5</v>
      </c>
      <c r="K113" s="618">
        <v>1.47</v>
      </c>
      <c r="L113" s="615">
        <v>1.49</v>
      </c>
      <c r="M113" s="619">
        <v>764</v>
      </c>
      <c r="N113" s="819"/>
      <c r="O113" s="621">
        <v>0.68500000000000005</v>
      </c>
      <c r="P113" s="621"/>
      <c r="Q113" s="620"/>
      <c r="R113" s="620"/>
      <c r="S113" s="622" t="e">
        <f t="shared" si="12"/>
        <v>#DIV/0!</v>
      </c>
      <c r="T113" s="620"/>
      <c r="U113" s="622" t="e">
        <f t="shared" si="13"/>
        <v>#DIV/0!</v>
      </c>
      <c r="V113" s="622"/>
      <c r="W113" s="619">
        <v>760</v>
      </c>
      <c r="X113" s="623" t="s">
        <v>116</v>
      </c>
      <c r="Y113" s="624"/>
      <c r="Z113" s="625" t="s">
        <v>3497</v>
      </c>
      <c r="AA113" s="625"/>
      <c r="AB113" s="626" t="s">
        <v>3436</v>
      </c>
      <c r="AC113" s="627">
        <v>44612</v>
      </c>
      <c r="AD113" s="627">
        <v>44613</v>
      </c>
      <c r="AE113" s="627">
        <v>44614</v>
      </c>
      <c r="AF113" s="627">
        <v>44617</v>
      </c>
      <c r="AG113" s="627"/>
      <c r="AH113" s="628" t="s">
        <v>1395</v>
      </c>
      <c r="AI113" s="615" t="s">
        <v>64</v>
      </c>
      <c r="AJ113" s="615" t="s">
        <v>154</v>
      </c>
      <c r="AK113" s="629" t="s">
        <v>1330</v>
      </c>
      <c r="AL113" s="629"/>
      <c r="AM113" s="629">
        <v>44554</v>
      </c>
      <c r="AN113" s="629"/>
      <c r="AO113" s="629">
        <f t="shared" ca="1" si="10"/>
        <v>44963</v>
      </c>
      <c r="AP113" s="615">
        <f t="shared" ca="1" si="11"/>
        <v>409</v>
      </c>
      <c r="AQ113" s="629">
        <f t="shared" ca="1" si="16"/>
        <v>349</v>
      </c>
      <c r="AR113" s="620"/>
      <c r="AS113" s="620" t="s">
        <v>1396</v>
      </c>
      <c r="AT113" s="620">
        <v>10.210000000000001</v>
      </c>
      <c r="AU113" s="620">
        <v>10.220000000000001</v>
      </c>
      <c r="AV113" s="620">
        <v>10.244999999999999</v>
      </c>
      <c r="AW113" s="620">
        <v>10.25</v>
      </c>
      <c r="AX113" s="615">
        <f t="shared" ca="1" si="14"/>
        <v>350</v>
      </c>
      <c r="BA113" s="614" t="s">
        <v>136</v>
      </c>
    </row>
    <row r="114" spans="1:53" s="99" customFormat="1" ht="21.75" customHeight="1" x14ac:dyDescent="0.35">
      <c r="A114" s="99">
        <v>421</v>
      </c>
      <c r="B114" s="126" t="str">
        <f t="shared" si="15"/>
        <v>0-304L/2B-000X765</v>
      </c>
      <c r="C114" s="294" t="s">
        <v>3681</v>
      </c>
      <c r="D114" s="126" t="s">
        <v>3026</v>
      </c>
      <c r="E114" s="126" t="s">
        <v>2884</v>
      </c>
      <c r="F114" s="143" t="s">
        <v>3691</v>
      </c>
      <c r="G114" s="126" t="s">
        <v>230</v>
      </c>
      <c r="H114" s="126" t="s">
        <v>116</v>
      </c>
      <c r="I114" s="127">
        <v>0.8</v>
      </c>
      <c r="J114" s="127">
        <v>0.4</v>
      </c>
      <c r="K114" s="127"/>
      <c r="L114" s="126"/>
      <c r="M114" s="295">
        <v>765</v>
      </c>
      <c r="N114" s="129">
        <v>11.85</v>
      </c>
      <c r="O114" s="296">
        <f>4.97+6.785</f>
        <v>11.754999999999999</v>
      </c>
      <c r="P114" s="297"/>
      <c r="Q114" s="129">
        <v>7.4999999999999997E-2</v>
      </c>
      <c r="R114" s="129"/>
      <c r="S114" s="298">
        <f t="shared" si="12"/>
        <v>0</v>
      </c>
      <c r="T114" s="129"/>
      <c r="U114" s="298">
        <f t="shared" si="13"/>
        <v>0</v>
      </c>
      <c r="V114" s="298"/>
      <c r="W114" s="295">
        <v>760</v>
      </c>
      <c r="X114" s="299" t="s">
        <v>116</v>
      </c>
      <c r="Y114" s="284" t="s">
        <v>3692</v>
      </c>
      <c r="Z114" s="282" t="s">
        <v>3693</v>
      </c>
      <c r="AA114" s="282"/>
      <c r="AB114" s="300"/>
      <c r="AC114" s="132" t="s">
        <v>2943</v>
      </c>
      <c r="AD114" s="132">
        <v>44614</v>
      </c>
      <c r="AE114" s="132" t="s">
        <v>1237</v>
      </c>
      <c r="AF114" s="132">
        <v>44616</v>
      </c>
      <c r="AG114" s="132"/>
      <c r="AH114" s="133"/>
      <c r="AI114" s="126" t="s">
        <v>64</v>
      </c>
      <c r="AJ114" s="126" t="s">
        <v>154</v>
      </c>
      <c r="AK114" s="134" t="s">
        <v>1190</v>
      </c>
      <c r="AL114" s="134"/>
      <c r="AM114" s="134">
        <v>44496</v>
      </c>
      <c r="AN114" s="134"/>
      <c r="AO114" s="134">
        <f t="shared" ca="1" si="10"/>
        <v>44963</v>
      </c>
      <c r="AP114" s="126">
        <f t="shared" ca="1" si="11"/>
        <v>467</v>
      </c>
      <c r="AQ114" s="134" t="e">
        <f t="shared" ca="1" si="16"/>
        <v>#VALUE!</v>
      </c>
      <c r="AR114" s="129"/>
      <c r="AS114" s="129" t="s">
        <v>2751</v>
      </c>
      <c r="AT114" s="129">
        <v>12.08</v>
      </c>
      <c r="AU114" s="129">
        <v>12.09</v>
      </c>
      <c r="AV114" s="129">
        <v>12.114999999999998</v>
      </c>
      <c r="AW114" s="129">
        <v>12.12</v>
      </c>
      <c r="AX114" s="126">
        <f t="shared" ca="1" si="14"/>
        <v>349</v>
      </c>
      <c r="BA114" s="99" t="s">
        <v>136</v>
      </c>
    </row>
    <row r="115" spans="1:53" s="634" customFormat="1" ht="21.75" customHeight="1" x14ac:dyDescent="0.35">
      <c r="A115" s="634">
        <v>421</v>
      </c>
      <c r="B115" s="635" t="str">
        <f t="shared" si="15"/>
        <v>0-304L/2B-000X765</v>
      </c>
      <c r="C115" s="636" t="s">
        <v>3681</v>
      </c>
      <c r="D115" s="635" t="s">
        <v>3026</v>
      </c>
      <c r="E115" s="635" t="s">
        <v>2940</v>
      </c>
      <c r="F115" s="637" t="s">
        <v>2941</v>
      </c>
      <c r="G115" s="635" t="s">
        <v>230</v>
      </c>
      <c r="H115" s="635" t="s">
        <v>116</v>
      </c>
      <c r="I115" s="638">
        <v>0.6</v>
      </c>
      <c r="J115" s="638">
        <v>0.3</v>
      </c>
      <c r="K115" s="638"/>
      <c r="L115" s="635"/>
      <c r="M115" s="639">
        <v>765</v>
      </c>
      <c r="N115" s="641">
        <v>4.5650000000000004</v>
      </c>
      <c r="O115" s="640">
        <v>4.46</v>
      </c>
      <c r="P115" s="640"/>
      <c r="Q115" s="641">
        <v>0.1</v>
      </c>
      <c r="R115" s="641"/>
      <c r="S115" s="642">
        <f t="shared" si="12"/>
        <v>0</v>
      </c>
      <c r="T115" s="641"/>
      <c r="U115" s="642">
        <f t="shared" si="13"/>
        <v>0</v>
      </c>
      <c r="V115" s="642"/>
      <c r="W115" s="639">
        <v>760</v>
      </c>
      <c r="X115" s="643" t="s">
        <v>116</v>
      </c>
      <c r="Y115" s="644" t="s">
        <v>3434</v>
      </c>
      <c r="Z115" s="645" t="s">
        <v>1206</v>
      </c>
      <c r="AA115" s="645" t="s">
        <v>1143</v>
      </c>
      <c r="AB115" s="646"/>
      <c r="AC115" s="647" t="s">
        <v>2942</v>
      </c>
      <c r="AD115" s="647" t="s">
        <v>3012</v>
      </c>
      <c r="AE115" s="647" t="s">
        <v>3462</v>
      </c>
      <c r="AF115" s="647">
        <v>44615</v>
      </c>
      <c r="AG115" s="647"/>
      <c r="AH115" s="648"/>
      <c r="AI115" s="635" t="s">
        <v>64</v>
      </c>
      <c r="AJ115" s="635" t="s">
        <v>154</v>
      </c>
      <c r="AK115" s="649" t="s">
        <v>1190</v>
      </c>
      <c r="AL115" s="649"/>
      <c r="AM115" s="649">
        <v>44496</v>
      </c>
      <c r="AN115" s="649"/>
      <c r="AO115" s="649">
        <f t="shared" ca="1" si="10"/>
        <v>44963</v>
      </c>
      <c r="AP115" s="635">
        <f t="shared" ca="1" si="11"/>
        <v>467</v>
      </c>
      <c r="AQ115" s="649" t="e">
        <f t="shared" ca="1" si="16"/>
        <v>#VALUE!</v>
      </c>
      <c r="AR115" s="641"/>
      <c r="AS115" s="641" t="s">
        <v>2915</v>
      </c>
      <c r="AT115" s="641">
        <v>10.555</v>
      </c>
      <c r="AU115" s="641">
        <v>10.565</v>
      </c>
      <c r="AV115" s="641">
        <v>10.589999999999998</v>
      </c>
      <c r="AW115" s="641">
        <v>10.594999999999999</v>
      </c>
      <c r="AX115" s="635" t="e">
        <f t="shared" ca="1" si="14"/>
        <v>#VALUE!</v>
      </c>
      <c r="BA115" s="634" t="s">
        <v>136</v>
      </c>
    </row>
    <row r="116" spans="1:53" s="99" customFormat="1" ht="21.75" customHeight="1" x14ac:dyDescent="0.35">
      <c r="A116" s="99">
        <v>421</v>
      </c>
      <c r="B116" s="126" t="str">
        <f t="shared" si="15"/>
        <v>0-304L/2B-001X762</v>
      </c>
      <c r="C116" s="294" t="s">
        <v>3681</v>
      </c>
      <c r="D116" s="126" t="s">
        <v>3026</v>
      </c>
      <c r="E116" s="126" t="s">
        <v>1235</v>
      </c>
      <c r="F116" s="143" t="s">
        <v>2961</v>
      </c>
      <c r="G116" s="126" t="s">
        <v>230</v>
      </c>
      <c r="H116" s="126" t="s">
        <v>116</v>
      </c>
      <c r="I116" s="127">
        <v>0.95</v>
      </c>
      <c r="J116" s="127">
        <v>0.5</v>
      </c>
      <c r="K116" s="127"/>
      <c r="L116" s="126"/>
      <c r="M116" s="295">
        <v>762</v>
      </c>
      <c r="N116" s="129">
        <v>4.7450000000000001</v>
      </c>
      <c r="O116" s="296">
        <v>4.4850000000000003</v>
      </c>
      <c r="P116" s="297"/>
      <c r="Q116" s="129">
        <v>0.255</v>
      </c>
      <c r="R116" s="129"/>
      <c r="S116" s="298">
        <f t="shared" si="12"/>
        <v>0</v>
      </c>
      <c r="T116" s="129"/>
      <c r="U116" s="298">
        <f t="shared" si="13"/>
        <v>0</v>
      </c>
      <c r="V116" s="298"/>
      <c r="W116" s="295">
        <v>760</v>
      </c>
      <c r="X116" s="299" t="s">
        <v>116</v>
      </c>
      <c r="Y116" s="284" t="s">
        <v>3694</v>
      </c>
      <c r="Z116" s="282" t="s">
        <v>1206</v>
      </c>
      <c r="AA116" s="282"/>
      <c r="AB116" s="300" t="s">
        <v>305</v>
      </c>
      <c r="AC116" s="132" t="s">
        <v>1237</v>
      </c>
      <c r="AD116" s="132" t="s">
        <v>1237</v>
      </c>
      <c r="AE116" s="132" t="s">
        <v>1238</v>
      </c>
      <c r="AF116" s="132">
        <v>44616</v>
      </c>
      <c r="AG116" s="132"/>
      <c r="AH116" s="133"/>
      <c r="AI116" s="126" t="s">
        <v>64</v>
      </c>
      <c r="AJ116" s="126" t="s">
        <v>154</v>
      </c>
      <c r="AK116" s="134" t="s">
        <v>1239</v>
      </c>
      <c r="AL116" s="134"/>
      <c r="AM116" s="134">
        <v>44496</v>
      </c>
      <c r="AN116" s="134"/>
      <c r="AO116" s="134">
        <f t="shared" ca="1" si="10"/>
        <v>44963</v>
      </c>
      <c r="AP116" s="126">
        <f t="shared" ca="1" si="11"/>
        <v>467</v>
      </c>
      <c r="AQ116" s="134" t="e">
        <f t="shared" ca="1" si="16"/>
        <v>#VALUE!</v>
      </c>
      <c r="AR116" s="129"/>
      <c r="AS116" s="129" t="s">
        <v>1240</v>
      </c>
      <c r="AT116" s="129">
        <v>10.484999999999999</v>
      </c>
      <c r="AU116" s="129">
        <v>10.494999999999999</v>
      </c>
      <c r="AV116" s="129">
        <v>10.519999999999998</v>
      </c>
      <c r="AW116" s="129">
        <v>10.524999999999999</v>
      </c>
      <c r="AX116" s="126" t="e">
        <f t="shared" ca="1" si="14"/>
        <v>#VALUE!</v>
      </c>
      <c r="BA116" s="99" t="s">
        <v>136</v>
      </c>
    </row>
    <row r="117" spans="1:53" s="99" customFormat="1" ht="21.75" customHeight="1" x14ac:dyDescent="0.35">
      <c r="A117" s="99">
        <v>380</v>
      </c>
      <c r="B117" s="126" t="str">
        <f t="shared" si="15"/>
        <v>0-J3/2B-001X595</v>
      </c>
      <c r="C117" s="294" t="s">
        <v>3681</v>
      </c>
      <c r="D117" s="126" t="s">
        <v>3026</v>
      </c>
      <c r="E117" s="126" t="s">
        <v>3162</v>
      </c>
      <c r="F117" s="143" t="s">
        <v>3695</v>
      </c>
      <c r="G117" s="126" t="s">
        <v>29</v>
      </c>
      <c r="H117" s="126" t="s">
        <v>116</v>
      </c>
      <c r="I117" s="127">
        <v>2.4</v>
      </c>
      <c r="J117" s="127">
        <v>0.92</v>
      </c>
      <c r="K117" s="127">
        <v>0.91</v>
      </c>
      <c r="L117" s="126">
        <v>0.93</v>
      </c>
      <c r="M117" s="295">
        <v>595</v>
      </c>
      <c r="N117" s="129">
        <v>8.18</v>
      </c>
      <c r="O117" s="296">
        <f>4.225+3.7</f>
        <v>7.9249999999999998</v>
      </c>
      <c r="P117" s="297"/>
      <c r="Q117" s="129">
        <v>5.5E-2</v>
      </c>
      <c r="R117" s="129">
        <v>0.02</v>
      </c>
      <c r="S117" s="298">
        <f t="shared" si="12"/>
        <v>2.4449877750611247E-3</v>
      </c>
      <c r="T117" s="129">
        <v>0.20499999999999999</v>
      </c>
      <c r="U117" s="298">
        <f t="shared" si="13"/>
        <v>2.5061124694376529E-2</v>
      </c>
      <c r="V117" s="298"/>
      <c r="W117" s="295" t="s">
        <v>3598</v>
      </c>
      <c r="X117" s="299" t="s">
        <v>116</v>
      </c>
      <c r="Y117" s="284" t="s">
        <v>3617</v>
      </c>
      <c r="Z117" s="282" t="s">
        <v>446</v>
      </c>
      <c r="AA117" s="282"/>
      <c r="AB117" s="300"/>
      <c r="AC117" s="132">
        <v>44573</v>
      </c>
      <c r="AD117" s="132">
        <v>44573</v>
      </c>
      <c r="AE117" s="132">
        <v>44598</v>
      </c>
      <c r="AF117" s="132"/>
      <c r="AG117" s="132"/>
      <c r="AH117" s="133"/>
      <c r="AI117" s="126" t="s">
        <v>64</v>
      </c>
      <c r="AJ117" s="126" t="s">
        <v>322</v>
      </c>
      <c r="AK117" s="134"/>
      <c r="AL117" s="134"/>
      <c r="AM117" s="134">
        <v>44309</v>
      </c>
      <c r="AN117" s="134"/>
      <c r="AO117" s="134">
        <f t="shared" ca="1" si="10"/>
        <v>44963</v>
      </c>
      <c r="AP117" s="126">
        <f t="shared" ca="1" si="11"/>
        <v>654</v>
      </c>
      <c r="AQ117" s="134">
        <f t="shared" ca="1" si="16"/>
        <v>365</v>
      </c>
      <c r="AR117" s="129" t="s">
        <v>436</v>
      </c>
      <c r="AS117" s="129" t="s">
        <v>437</v>
      </c>
      <c r="AT117" s="129">
        <v>8.2059999999999995</v>
      </c>
      <c r="AU117" s="129">
        <v>8.2459999999999987</v>
      </c>
      <c r="AV117" s="129">
        <v>8.2709999999999972</v>
      </c>
      <c r="AW117" s="129">
        <v>8.275999999999998</v>
      </c>
      <c r="AX117" s="126">
        <f t="shared" ca="1" si="14"/>
        <v>390</v>
      </c>
      <c r="BA117" s="99" t="s">
        <v>136</v>
      </c>
    </row>
    <row r="118" spans="1:53" s="99" customFormat="1" ht="21.75" customHeight="1" x14ac:dyDescent="0.35">
      <c r="A118" s="99">
        <v>380</v>
      </c>
      <c r="B118" s="126" t="str">
        <f t="shared" si="15"/>
        <v>0-J3/2B-001X595</v>
      </c>
      <c r="C118" s="294" t="s">
        <v>3696</v>
      </c>
      <c r="D118" s="126" t="s">
        <v>3026</v>
      </c>
      <c r="E118" s="126" t="s">
        <v>3159</v>
      </c>
      <c r="F118" s="143" t="s">
        <v>3697</v>
      </c>
      <c r="G118" s="126" t="s">
        <v>29</v>
      </c>
      <c r="H118" s="126" t="s">
        <v>116</v>
      </c>
      <c r="I118" s="127">
        <v>2.4</v>
      </c>
      <c r="J118" s="127">
        <v>0.92</v>
      </c>
      <c r="K118" s="127">
        <v>0.9</v>
      </c>
      <c r="L118" s="126">
        <v>0.92</v>
      </c>
      <c r="M118" s="295">
        <v>595</v>
      </c>
      <c r="N118" s="129">
        <v>8.0500000000000007</v>
      </c>
      <c r="O118" s="296">
        <f>3.97+3.765</f>
        <v>7.7350000000000003</v>
      </c>
      <c r="P118" s="297"/>
      <c r="Q118" s="129">
        <v>4.4999999999999998E-2</v>
      </c>
      <c r="R118" s="129">
        <v>0.01</v>
      </c>
      <c r="S118" s="298">
        <f t="shared" si="12"/>
        <v>1.2422360248447203E-3</v>
      </c>
      <c r="T118" s="129">
        <v>0.27500000000000002</v>
      </c>
      <c r="U118" s="298">
        <f t="shared" si="13"/>
        <v>3.4161490683229816E-2</v>
      </c>
      <c r="V118" s="298"/>
      <c r="W118" s="295" t="s">
        <v>3598</v>
      </c>
      <c r="X118" s="299" t="s">
        <v>116</v>
      </c>
      <c r="Y118" s="284" t="s">
        <v>3617</v>
      </c>
      <c r="Z118" s="282" t="s">
        <v>446</v>
      </c>
      <c r="AA118" s="282"/>
      <c r="AB118" s="300"/>
      <c r="AC118" s="132">
        <v>44573</v>
      </c>
      <c r="AD118" s="132">
        <v>44573</v>
      </c>
      <c r="AE118" s="132">
        <v>44598</v>
      </c>
      <c r="AF118" s="132"/>
      <c r="AG118" s="132"/>
      <c r="AH118" s="133"/>
      <c r="AI118" s="126" t="s">
        <v>64</v>
      </c>
      <c r="AJ118" s="126" t="s">
        <v>322</v>
      </c>
      <c r="AK118" s="134"/>
      <c r="AL118" s="134"/>
      <c r="AM118" s="134">
        <v>44309</v>
      </c>
      <c r="AN118" s="134"/>
      <c r="AO118" s="134">
        <f t="shared" ca="1" si="10"/>
        <v>44963</v>
      </c>
      <c r="AP118" s="126">
        <f t="shared" ca="1" si="11"/>
        <v>654</v>
      </c>
      <c r="AQ118" s="134">
        <f t="shared" ca="1" si="16"/>
        <v>365</v>
      </c>
      <c r="AR118" s="129" t="s">
        <v>443</v>
      </c>
      <c r="AS118" s="129" t="s">
        <v>3161</v>
      </c>
      <c r="AT118" s="129">
        <v>8.0760000000000005</v>
      </c>
      <c r="AU118" s="129">
        <v>8.1159999999999997</v>
      </c>
      <c r="AV118" s="129">
        <v>8.1409999999999982</v>
      </c>
      <c r="AW118" s="129">
        <v>8.145999999999999</v>
      </c>
      <c r="AX118" s="126">
        <f t="shared" ca="1" si="14"/>
        <v>390</v>
      </c>
      <c r="BA118" s="99" t="s">
        <v>136</v>
      </c>
    </row>
    <row r="119" spans="1:53" s="99" customFormat="1" ht="21.75" customHeight="1" x14ac:dyDescent="0.35">
      <c r="A119" s="583">
        <v>419</v>
      </c>
      <c r="B119" s="584" t="str">
        <f t="shared" si="15"/>
        <v>0-304/2B-000X761</v>
      </c>
      <c r="C119" s="585" t="s">
        <v>3698</v>
      </c>
      <c r="D119" s="584" t="s">
        <v>358</v>
      </c>
      <c r="E119" s="584" t="s">
        <v>2955</v>
      </c>
      <c r="F119" s="586" t="s">
        <v>2956</v>
      </c>
      <c r="G119" s="584">
        <v>304</v>
      </c>
      <c r="H119" s="584" t="s">
        <v>116</v>
      </c>
      <c r="I119" s="587">
        <v>0.6</v>
      </c>
      <c r="J119" s="587">
        <v>0.3</v>
      </c>
      <c r="K119" s="587"/>
      <c r="L119" s="584"/>
      <c r="M119" s="588">
        <v>761</v>
      </c>
      <c r="N119" s="589">
        <v>6.11</v>
      </c>
      <c r="O119" s="590">
        <v>6.11</v>
      </c>
      <c r="P119" s="590"/>
      <c r="Q119" s="589"/>
      <c r="R119" s="589"/>
      <c r="S119" s="591">
        <f t="shared" si="12"/>
        <v>0</v>
      </c>
      <c r="T119" s="589"/>
      <c r="U119" s="591">
        <f t="shared" si="13"/>
        <v>0</v>
      </c>
      <c r="V119" s="591"/>
      <c r="W119" s="588">
        <v>761</v>
      </c>
      <c r="X119" s="592" t="s">
        <v>116</v>
      </c>
      <c r="Y119" s="593"/>
      <c r="Z119" s="594" t="s">
        <v>1206</v>
      </c>
      <c r="AA119" s="594" t="s">
        <v>1134</v>
      </c>
      <c r="AB119" s="595" t="s">
        <v>2957</v>
      </c>
      <c r="AC119" s="596" t="s">
        <v>2958</v>
      </c>
      <c r="AD119" s="596" t="s">
        <v>2958</v>
      </c>
      <c r="AE119" s="596" t="s">
        <v>3463</v>
      </c>
      <c r="AF119" s="596" t="s">
        <v>3699</v>
      </c>
      <c r="AG119" s="596"/>
      <c r="AH119" s="597"/>
      <c r="AI119" s="584" t="s">
        <v>64</v>
      </c>
      <c r="AJ119" s="584" t="s">
        <v>154</v>
      </c>
      <c r="AK119" s="598" t="s">
        <v>793</v>
      </c>
      <c r="AL119" s="598"/>
      <c r="AM119" s="598">
        <v>44444</v>
      </c>
      <c r="AN119" s="598"/>
      <c r="AO119" s="598">
        <f t="shared" ca="1" si="10"/>
        <v>44963</v>
      </c>
      <c r="AP119" s="584">
        <f t="shared" ca="1" si="11"/>
        <v>519</v>
      </c>
      <c r="AQ119" s="598" t="e">
        <f t="shared" ca="1" si="16"/>
        <v>#VALUE!</v>
      </c>
      <c r="AR119" s="589"/>
      <c r="AS119" s="589" t="s">
        <v>2960</v>
      </c>
      <c r="AT119" s="589">
        <v>12.145</v>
      </c>
      <c r="AU119" s="589">
        <v>12.154999999999999</v>
      </c>
      <c r="AV119" s="589">
        <v>12.179999999999998</v>
      </c>
      <c r="AW119" s="589">
        <v>12.184999999999999</v>
      </c>
      <c r="AX119" s="584" t="e">
        <f t="shared" ca="1" si="14"/>
        <v>#VALUE!</v>
      </c>
      <c r="AY119" s="583"/>
      <c r="AZ119" s="583"/>
      <c r="BA119" s="583" t="s">
        <v>136</v>
      </c>
    </row>
    <row r="120" spans="1:53" s="99" customFormat="1" ht="21.75" customHeight="1" x14ac:dyDescent="0.35">
      <c r="A120" s="99">
        <v>386</v>
      </c>
      <c r="B120" s="126" t="str">
        <f t="shared" si="15"/>
        <v>0-J3/2B-001X595</v>
      </c>
      <c r="C120" s="294" t="s">
        <v>3696</v>
      </c>
      <c r="D120" s="126" t="s">
        <v>3026</v>
      </c>
      <c r="E120" s="126" t="s">
        <v>3139</v>
      </c>
      <c r="F120" s="143" t="s">
        <v>3700</v>
      </c>
      <c r="G120" s="126" t="s">
        <v>29</v>
      </c>
      <c r="H120" s="126" t="s">
        <v>116</v>
      </c>
      <c r="I120" s="127">
        <v>2.4</v>
      </c>
      <c r="J120" s="127">
        <v>0.92</v>
      </c>
      <c r="K120" s="127">
        <v>0.92</v>
      </c>
      <c r="L120" s="126">
        <v>0.94</v>
      </c>
      <c r="M120" s="295">
        <v>595</v>
      </c>
      <c r="N120" s="129">
        <v>8.18</v>
      </c>
      <c r="O120" s="296">
        <f>4.04+3.945</f>
        <v>7.9849999999999994</v>
      </c>
      <c r="P120" s="297"/>
      <c r="Q120" s="129">
        <v>0.04</v>
      </c>
      <c r="R120" s="129"/>
      <c r="S120" s="298">
        <f t="shared" si="12"/>
        <v>0</v>
      </c>
      <c r="T120" s="129">
        <v>0.155</v>
      </c>
      <c r="U120" s="298">
        <f t="shared" si="13"/>
        <v>1.8948655256723717E-2</v>
      </c>
      <c r="V120" s="298"/>
      <c r="W120" s="295" t="s">
        <v>3598</v>
      </c>
      <c r="X120" s="299" t="s">
        <v>116</v>
      </c>
      <c r="Y120" s="284" t="s">
        <v>3617</v>
      </c>
      <c r="Z120" s="282" t="s">
        <v>446</v>
      </c>
      <c r="AA120" s="282"/>
      <c r="AB120" s="300"/>
      <c r="AC120" s="132">
        <v>44573</v>
      </c>
      <c r="AD120" s="132">
        <v>44573</v>
      </c>
      <c r="AE120" s="132">
        <v>44597</v>
      </c>
      <c r="AF120" s="132"/>
      <c r="AG120" s="132"/>
      <c r="AH120" s="133"/>
      <c r="AI120" s="126" t="s">
        <v>64</v>
      </c>
      <c r="AJ120" s="126" t="s">
        <v>468</v>
      </c>
      <c r="AK120" s="134"/>
      <c r="AL120" s="134"/>
      <c r="AM120" s="134">
        <v>44322</v>
      </c>
      <c r="AN120" s="134"/>
      <c r="AO120" s="134">
        <f t="shared" ca="1" si="10"/>
        <v>44963</v>
      </c>
      <c r="AP120" s="126">
        <f t="shared" ca="1" si="11"/>
        <v>641</v>
      </c>
      <c r="AQ120" s="134">
        <f t="shared" ca="1" si="16"/>
        <v>366</v>
      </c>
      <c r="AR120" s="129" t="s">
        <v>512</v>
      </c>
      <c r="AS120" s="129" t="s">
        <v>513</v>
      </c>
      <c r="AT120" s="129">
        <v>8.2249999999999996</v>
      </c>
      <c r="AU120" s="129">
        <v>8.2649999999999988</v>
      </c>
      <c r="AV120" s="129">
        <v>8.2899999999999974</v>
      </c>
      <c r="AW120" s="129">
        <v>8.2949999999999982</v>
      </c>
      <c r="AX120" s="126">
        <f t="shared" ca="1" si="14"/>
        <v>390</v>
      </c>
      <c r="BA120" s="99" t="s">
        <v>136</v>
      </c>
    </row>
    <row r="121" spans="1:53" s="99" customFormat="1" ht="21.75" customHeight="1" x14ac:dyDescent="0.35">
      <c r="A121" s="99">
        <v>386</v>
      </c>
      <c r="B121" s="126" t="str">
        <f t="shared" si="15"/>
        <v>0-J3/2B-001X595</v>
      </c>
      <c r="C121" s="294" t="s">
        <v>3696</v>
      </c>
      <c r="D121" s="126" t="s">
        <v>3026</v>
      </c>
      <c r="E121" s="126" t="s">
        <v>3142</v>
      </c>
      <c r="F121" s="143" t="s">
        <v>3701</v>
      </c>
      <c r="G121" s="126" t="s">
        <v>29</v>
      </c>
      <c r="H121" s="126" t="s">
        <v>116</v>
      </c>
      <c r="I121" s="127">
        <v>2.4</v>
      </c>
      <c r="J121" s="127">
        <v>0.92</v>
      </c>
      <c r="K121" s="127">
        <v>0.91</v>
      </c>
      <c r="L121" s="126">
        <v>0.93</v>
      </c>
      <c r="M121" s="295">
        <v>595</v>
      </c>
      <c r="N121" s="129">
        <v>8.17</v>
      </c>
      <c r="O121" s="296">
        <f>3.985+3.995</f>
        <v>7.98</v>
      </c>
      <c r="P121" s="297"/>
      <c r="Q121" s="129">
        <v>0.06</v>
      </c>
      <c r="R121" s="129"/>
      <c r="S121" s="298">
        <f t="shared" si="12"/>
        <v>0</v>
      </c>
      <c r="T121" s="129"/>
      <c r="U121" s="298">
        <f t="shared" si="13"/>
        <v>0</v>
      </c>
      <c r="V121" s="298"/>
      <c r="W121" s="295" t="s">
        <v>3598</v>
      </c>
      <c r="X121" s="299" t="s">
        <v>116</v>
      </c>
      <c r="Y121" s="284" t="s">
        <v>3617</v>
      </c>
      <c r="Z121" s="282" t="s">
        <v>446</v>
      </c>
      <c r="AA121" s="282"/>
      <c r="AB121" s="300"/>
      <c r="AC121" s="132">
        <v>44573</v>
      </c>
      <c r="AD121" s="132">
        <v>44573</v>
      </c>
      <c r="AE121" s="132">
        <v>44598</v>
      </c>
      <c r="AF121" s="132"/>
      <c r="AG121" s="132"/>
      <c r="AH121" s="133"/>
      <c r="AI121" s="126" t="s">
        <v>64</v>
      </c>
      <c r="AJ121" s="126" t="s">
        <v>468</v>
      </c>
      <c r="AK121" s="134"/>
      <c r="AL121" s="134"/>
      <c r="AM121" s="134">
        <v>44322</v>
      </c>
      <c r="AN121" s="134"/>
      <c r="AO121" s="134">
        <f t="shared" ca="1" si="10"/>
        <v>44963</v>
      </c>
      <c r="AP121" s="126">
        <f t="shared" ca="1" si="11"/>
        <v>641</v>
      </c>
      <c r="AQ121" s="134">
        <f t="shared" ca="1" si="16"/>
        <v>365</v>
      </c>
      <c r="AR121" s="129" t="s">
        <v>516</v>
      </c>
      <c r="AS121" s="129" t="s">
        <v>3135</v>
      </c>
      <c r="AT121" s="129">
        <v>8.2050000000000001</v>
      </c>
      <c r="AU121" s="129">
        <v>8.2449999999999992</v>
      </c>
      <c r="AV121" s="129">
        <v>8.2699999999999978</v>
      </c>
      <c r="AW121" s="129">
        <v>8.2749999999999986</v>
      </c>
      <c r="AX121" s="126">
        <f t="shared" ca="1" si="14"/>
        <v>390</v>
      </c>
      <c r="BA121" s="99" t="s">
        <v>136</v>
      </c>
    </row>
    <row r="122" spans="1:53" s="99" customFormat="1" ht="21.75" customHeight="1" x14ac:dyDescent="0.35">
      <c r="A122" s="451">
        <v>419</v>
      </c>
      <c r="B122" s="452" t="str">
        <f t="shared" si="15"/>
        <v>0-304/2B-000X761</v>
      </c>
      <c r="C122" s="453" t="s">
        <v>3702</v>
      </c>
      <c r="D122" s="452" t="s">
        <v>3495</v>
      </c>
      <c r="E122" s="452" t="s">
        <v>2955</v>
      </c>
      <c r="F122" s="454" t="s">
        <v>3703</v>
      </c>
      <c r="G122" s="452">
        <v>304</v>
      </c>
      <c r="H122" s="452" t="s">
        <v>116</v>
      </c>
      <c r="I122" s="455">
        <v>0.6</v>
      </c>
      <c r="J122" s="455">
        <v>0.3</v>
      </c>
      <c r="K122" s="455"/>
      <c r="L122" s="452"/>
      <c r="M122" s="456">
        <v>761</v>
      </c>
      <c r="N122" s="828">
        <v>6.11</v>
      </c>
      <c r="O122" s="457">
        <v>2.1749999999999998</v>
      </c>
      <c r="P122" s="457"/>
      <c r="Q122" s="458"/>
      <c r="R122" s="458"/>
      <c r="S122" s="459">
        <f t="shared" si="12"/>
        <v>0</v>
      </c>
      <c r="T122" s="458"/>
      <c r="U122" s="459">
        <f t="shared" si="13"/>
        <v>0</v>
      </c>
      <c r="V122" s="459"/>
      <c r="W122" s="456">
        <v>760</v>
      </c>
      <c r="X122" s="461" t="s">
        <v>116</v>
      </c>
      <c r="Y122" s="462"/>
      <c r="Z122" s="463" t="s">
        <v>3497</v>
      </c>
      <c r="AA122" s="463" t="s">
        <v>1134</v>
      </c>
      <c r="AB122" s="464" t="s">
        <v>2957</v>
      </c>
      <c r="AC122" s="465" t="s">
        <v>2958</v>
      </c>
      <c r="AD122" s="465" t="s">
        <v>2958</v>
      </c>
      <c r="AE122" s="465" t="s">
        <v>3463</v>
      </c>
      <c r="AF122" s="465" t="s">
        <v>3699</v>
      </c>
      <c r="AG122" s="465"/>
      <c r="AH122" s="466"/>
      <c r="AI122" s="452" t="s">
        <v>64</v>
      </c>
      <c r="AJ122" s="452" t="s">
        <v>154</v>
      </c>
      <c r="AK122" s="467" t="s">
        <v>793</v>
      </c>
      <c r="AL122" s="467"/>
      <c r="AM122" s="467">
        <v>44444</v>
      </c>
      <c r="AN122" s="467"/>
      <c r="AO122" s="467">
        <f t="shared" ca="1" si="10"/>
        <v>44963</v>
      </c>
      <c r="AP122" s="452">
        <f t="shared" ca="1" si="11"/>
        <v>519</v>
      </c>
      <c r="AQ122" s="467" t="e">
        <f t="shared" ca="1" si="16"/>
        <v>#VALUE!</v>
      </c>
      <c r="AR122" s="458"/>
      <c r="AS122" s="458" t="s">
        <v>2960</v>
      </c>
      <c r="AT122" s="458">
        <v>12.145</v>
      </c>
      <c r="AU122" s="458">
        <v>12.154999999999999</v>
      </c>
      <c r="AV122" s="458">
        <v>12.179999999999998</v>
      </c>
      <c r="AW122" s="458">
        <v>12.184999999999999</v>
      </c>
      <c r="AX122" s="452" t="e">
        <f t="shared" ca="1" si="14"/>
        <v>#VALUE!</v>
      </c>
      <c r="AY122" s="451"/>
      <c r="AZ122" s="451"/>
      <c r="BA122" s="451" t="s">
        <v>136</v>
      </c>
    </row>
    <row r="123" spans="1:53" s="99" customFormat="1" ht="21.75" customHeight="1" x14ac:dyDescent="0.35">
      <c r="A123" s="451">
        <v>419</v>
      </c>
      <c r="B123" s="452" t="str">
        <f t="shared" si="15"/>
        <v>0-304/2B-000X761</v>
      </c>
      <c r="C123" s="453" t="s">
        <v>3696</v>
      </c>
      <c r="D123" s="452" t="s">
        <v>3026</v>
      </c>
      <c r="E123" s="452" t="s">
        <v>2955</v>
      </c>
      <c r="F123" s="454" t="s">
        <v>3704</v>
      </c>
      <c r="G123" s="452">
        <v>304</v>
      </c>
      <c r="H123" s="452" t="s">
        <v>116</v>
      </c>
      <c r="I123" s="455">
        <v>0.6</v>
      </c>
      <c r="J123" s="455">
        <v>0.3</v>
      </c>
      <c r="K123" s="455"/>
      <c r="L123" s="452"/>
      <c r="M123" s="456">
        <v>761</v>
      </c>
      <c r="N123" s="829"/>
      <c r="O123" s="457">
        <v>3.875</v>
      </c>
      <c r="P123" s="457"/>
      <c r="Q123" s="458"/>
      <c r="R123" s="458"/>
      <c r="S123" s="459" t="e">
        <f t="shared" si="12"/>
        <v>#DIV/0!</v>
      </c>
      <c r="T123" s="458"/>
      <c r="U123" s="459" t="e">
        <f t="shared" si="13"/>
        <v>#DIV/0!</v>
      </c>
      <c r="V123" s="459"/>
      <c r="W123" s="456">
        <v>760</v>
      </c>
      <c r="X123" s="461" t="s">
        <v>116</v>
      </c>
      <c r="Y123" s="462" t="s">
        <v>3434</v>
      </c>
      <c r="Z123" s="463" t="s">
        <v>1206</v>
      </c>
      <c r="AA123" s="463" t="s">
        <v>1134</v>
      </c>
      <c r="AB123" s="464" t="s">
        <v>2957</v>
      </c>
      <c r="AC123" s="465" t="s">
        <v>2958</v>
      </c>
      <c r="AD123" s="465" t="s">
        <v>2958</v>
      </c>
      <c r="AE123" s="465" t="s">
        <v>3463</v>
      </c>
      <c r="AF123" s="465" t="s">
        <v>3699</v>
      </c>
      <c r="AG123" s="465"/>
      <c r="AH123" s="466"/>
      <c r="AI123" s="452" t="s">
        <v>64</v>
      </c>
      <c r="AJ123" s="452" t="s">
        <v>154</v>
      </c>
      <c r="AK123" s="467" t="s">
        <v>793</v>
      </c>
      <c r="AL123" s="467"/>
      <c r="AM123" s="467">
        <v>44444</v>
      </c>
      <c r="AN123" s="467"/>
      <c r="AO123" s="467">
        <f t="shared" ca="1" si="10"/>
        <v>44963</v>
      </c>
      <c r="AP123" s="452">
        <f t="shared" ca="1" si="11"/>
        <v>519</v>
      </c>
      <c r="AQ123" s="467" t="e">
        <f t="shared" ca="1" si="16"/>
        <v>#VALUE!</v>
      </c>
      <c r="AR123" s="458"/>
      <c r="AS123" s="458" t="s">
        <v>2960</v>
      </c>
      <c r="AT123" s="458">
        <v>12.145</v>
      </c>
      <c r="AU123" s="458">
        <v>12.154999999999999</v>
      </c>
      <c r="AV123" s="458">
        <v>12.179999999999998</v>
      </c>
      <c r="AW123" s="458">
        <v>12.184999999999999</v>
      </c>
      <c r="AX123" s="452" t="e">
        <f t="shared" ca="1" si="14"/>
        <v>#VALUE!</v>
      </c>
      <c r="AY123" s="451"/>
      <c r="AZ123" s="451"/>
      <c r="BA123" s="451" t="s">
        <v>136</v>
      </c>
    </row>
    <row r="124" spans="1:53" s="634" customFormat="1" ht="21.75" customHeight="1" x14ac:dyDescent="0.35">
      <c r="A124" s="634">
        <v>421</v>
      </c>
      <c r="B124" s="635" t="str">
        <f t="shared" si="15"/>
        <v>0-304L/2B-000X765</v>
      </c>
      <c r="C124" s="636" t="s">
        <v>3705</v>
      </c>
      <c r="D124" s="635" t="s">
        <v>3495</v>
      </c>
      <c r="E124" s="635" t="s">
        <v>2940</v>
      </c>
      <c r="F124" s="637" t="s">
        <v>3706</v>
      </c>
      <c r="G124" s="635" t="s">
        <v>230</v>
      </c>
      <c r="H124" s="635" t="s">
        <v>116</v>
      </c>
      <c r="I124" s="638">
        <v>0.6</v>
      </c>
      <c r="J124" s="638">
        <v>0.3</v>
      </c>
      <c r="K124" s="638"/>
      <c r="L124" s="635"/>
      <c r="M124" s="639">
        <v>765</v>
      </c>
      <c r="N124" s="832">
        <v>4.46</v>
      </c>
      <c r="O124" s="640">
        <v>1.2050000000000001</v>
      </c>
      <c r="P124" s="640"/>
      <c r="Q124" s="641"/>
      <c r="R124" s="641"/>
      <c r="S124" s="642">
        <f t="shared" si="12"/>
        <v>0</v>
      </c>
      <c r="T124" s="641"/>
      <c r="U124" s="642">
        <f t="shared" si="13"/>
        <v>0</v>
      </c>
      <c r="V124" s="642"/>
      <c r="W124" s="639">
        <v>760</v>
      </c>
      <c r="X124" s="643" t="s">
        <v>116</v>
      </c>
      <c r="Y124" s="644"/>
      <c r="Z124" s="645" t="s">
        <v>3497</v>
      </c>
      <c r="AA124" s="645" t="s">
        <v>1143</v>
      </c>
      <c r="AB124" s="646"/>
      <c r="AC124" s="647" t="s">
        <v>2942</v>
      </c>
      <c r="AD124" s="647" t="s">
        <v>3012</v>
      </c>
      <c r="AE124" s="647" t="s">
        <v>3462</v>
      </c>
      <c r="AF124" s="647">
        <v>44615</v>
      </c>
      <c r="AG124" s="647"/>
      <c r="AH124" s="648"/>
      <c r="AI124" s="635" t="s">
        <v>64</v>
      </c>
      <c r="AJ124" s="635" t="s">
        <v>154</v>
      </c>
      <c r="AK124" s="649" t="s">
        <v>1190</v>
      </c>
      <c r="AL124" s="649"/>
      <c r="AM124" s="649">
        <v>44496</v>
      </c>
      <c r="AN124" s="649"/>
      <c r="AO124" s="649">
        <f t="shared" ca="1" si="10"/>
        <v>44963</v>
      </c>
      <c r="AP124" s="635">
        <f t="shared" ca="1" si="11"/>
        <v>467</v>
      </c>
      <c r="AQ124" s="649" t="e">
        <f t="shared" ca="1" si="16"/>
        <v>#VALUE!</v>
      </c>
      <c r="AR124" s="641"/>
      <c r="AS124" s="641" t="s">
        <v>2915</v>
      </c>
      <c r="AT124" s="641">
        <v>10.555</v>
      </c>
      <c r="AU124" s="641">
        <v>10.565</v>
      </c>
      <c r="AV124" s="641">
        <v>10.589999999999998</v>
      </c>
      <c r="AW124" s="641">
        <v>10.594999999999999</v>
      </c>
      <c r="AX124" s="635" t="e">
        <f t="shared" ca="1" si="14"/>
        <v>#VALUE!</v>
      </c>
      <c r="BA124" s="634" t="s">
        <v>136</v>
      </c>
    </row>
    <row r="125" spans="1:53" s="634" customFormat="1" ht="21.75" customHeight="1" x14ac:dyDescent="0.35">
      <c r="A125" s="634">
        <v>421</v>
      </c>
      <c r="B125" s="635" t="str">
        <f t="shared" si="15"/>
        <v>0-304L/2B-000X765</v>
      </c>
      <c r="C125" s="636" t="s">
        <v>3707</v>
      </c>
      <c r="D125" s="635" t="s">
        <v>3026</v>
      </c>
      <c r="E125" s="635" t="s">
        <v>2940</v>
      </c>
      <c r="F125" s="637" t="s">
        <v>3708</v>
      </c>
      <c r="G125" s="635" t="s">
        <v>230</v>
      </c>
      <c r="H125" s="635" t="s">
        <v>116</v>
      </c>
      <c r="I125" s="638">
        <v>0.6</v>
      </c>
      <c r="J125" s="638">
        <v>0.3</v>
      </c>
      <c r="K125" s="638"/>
      <c r="L125" s="635"/>
      <c r="M125" s="639">
        <v>765</v>
      </c>
      <c r="N125" s="833"/>
      <c r="O125" s="640">
        <v>3.25</v>
      </c>
      <c r="P125" s="640"/>
      <c r="Q125" s="641"/>
      <c r="R125" s="641"/>
      <c r="S125" s="642" t="e">
        <f t="shared" si="12"/>
        <v>#DIV/0!</v>
      </c>
      <c r="T125" s="641"/>
      <c r="U125" s="642" t="e">
        <f t="shared" si="13"/>
        <v>#DIV/0!</v>
      </c>
      <c r="V125" s="642"/>
      <c r="W125" s="639">
        <v>760</v>
      </c>
      <c r="X125" s="643" t="s">
        <v>116</v>
      </c>
      <c r="Y125" s="644" t="s">
        <v>3434</v>
      </c>
      <c r="Z125" s="645" t="s">
        <v>1206</v>
      </c>
      <c r="AA125" s="645" t="s">
        <v>1143</v>
      </c>
      <c r="AB125" s="646"/>
      <c r="AC125" s="647" t="s">
        <v>2942</v>
      </c>
      <c r="AD125" s="647" t="s">
        <v>3012</v>
      </c>
      <c r="AE125" s="647" t="s">
        <v>3462</v>
      </c>
      <c r="AF125" s="647">
        <v>44615</v>
      </c>
      <c r="AG125" s="647"/>
      <c r="AH125" s="648"/>
      <c r="AI125" s="635" t="s">
        <v>64</v>
      </c>
      <c r="AJ125" s="635" t="s">
        <v>154</v>
      </c>
      <c r="AK125" s="649" t="s">
        <v>1190</v>
      </c>
      <c r="AL125" s="649"/>
      <c r="AM125" s="649">
        <v>44496</v>
      </c>
      <c r="AN125" s="649"/>
      <c r="AO125" s="649">
        <f t="shared" ca="1" si="10"/>
        <v>44963</v>
      </c>
      <c r="AP125" s="635">
        <f t="shared" ca="1" si="11"/>
        <v>467</v>
      </c>
      <c r="AQ125" s="649" t="e">
        <f t="shared" ca="1" si="16"/>
        <v>#VALUE!</v>
      </c>
      <c r="AR125" s="641"/>
      <c r="AS125" s="641" t="s">
        <v>2915</v>
      </c>
      <c r="AT125" s="641">
        <v>10.555</v>
      </c>
      <c r="AU125" s="641">
        <v>10.565</v>
      </c>
      <c r="AV125" s="641">
        <v>10.589999999999998</v>
      </c>
      <c r="AW125" s="641">
        <v>10.594999999999999</v>
      </c>
      <c r="AX125" s="635" t="e">
        <f t="shared" ca="1" si="14"/>
        <v>#VALUE!</v>
      </c>
      <c r="BA125" s="634" t="s">
        <v>136</v>
      </c>
    </row>
    <row r="126" spans="1:53" s="99" customFormat="1" ht="21.75" customHeight="1" x14ac:dyDescent="0.35">
      <c r="A126" s="99">
        <v>397</v>
      </c>
      <c r="B126" s="126" t="str">
        <f t="shared" si="15"/>
        <v>0-J3/2B-001X595</v>
      </c>
      <c r="C126" s="294" t="s">
        <v>3696</v>
      </c>
      <c r="D126" s="126" t="s">
        <v>3026</v>
      </c>
      <c r="E126" s="126" t="s">
        <v>3136</v>
      </c>
      <c r="F126" s="143" t="s">
        <v>3709</v>
      </c>
      <c r="G126" s="126" t="s">
        <v>29</v>
      </c>
      <c r="H126" s="126" t="s">
        <v>116</v>
      </c>
      <c r="I126" s="127">
        <v>2.4</v>
      </c>
      <c r="J126" s="127">
        <v>0.92</v>
      </c>
      <c r="K126" s="127">
        <v>0.9</v>
      </c>
      <c r="L126" s="126">
        <v>0.92</v>
      </c>
      <c r="M126" s="295">
        <v>595</v>
      </c>
      <c r="N126" s="129">
        <v>8.0050000000000008</v>
      </c>
      <c r="O126" s="296">
        <f>3.89+3.97</f>
        <v>7.86</v>
      </c>
      <c r="P126" s="297"/>
      <c r="Q126" s="129"/>
      <c r="R126" s="129">
        <v>0.03</v>
      </c>
      <c r="S126" s="298">
        <f t="shared" si="12"/>
        <v>3.7476577139287938E-3</v>
      </c>
      <c r="T126" s="129">
        <v>0.13500000000000001</v>
      </c>
      <c r="U126" s="298">
        <f t="shared" si="13"/>
        <v>1.6864459712679573E-2</v>
      </c>
      <c r="V126" s="298"/>
      <c r="W126" s="295" t="s">
        <v>3598</v>
      </c>
      <c r="X126" s="299" t="s">
        <v>116</v>
      </c>
      <c r="Y126" s="284" t="s">
        <v>3617</v>
      </c>
      <c r="Z126" s="282" t="s">
        <v>446</v>
      </c>
      <c r="AA126" s="282"/>
      <c r="AB126" s="300"/>
      <c r="AC126" s="132">
        <v>44572</v>
      </c>
      <c r="AD126" s="132">
        <v>44572</v>
      </c>
      <c r="AE126" s="132">
        <v>44597</v>
      </c>
      <c r="AF126" s="132"/>
      <c r="AG126" s="132"/>
      <c r="AH126" s="133"/>
      <c r="AI126" s="126" t="s">
        <v>64</v>
      </c>
      <c r="AJ126" s="126" t="s">
        <v>468</v>
      </c>
      <c r="AK126" s="134"/>
      <c r="AL126" s="134"/>
      <c r="AM126" s="134">
        <v>44373</v>
      </c>
      <c r="AN126" s="134"/>
      <c r="AO126" s="134">
        <f t="shared" ca="1" si="10"/>
        <v>44963</v>
      </c>
      <c r="AP126" s="126">
        <f t="shared" ca="1" si="11"/>
        <v>590</v>
      </c>
      <c r="AQ126" s="134">
        <f t="shared" ca="1" si="16"/>
        <v>366</v>
      </c>
      <c r="AR126" s="129" t="s">
        <v>733</v>
      </c>
      <c r="AS126" s="129" t="s">
        <v>3138</v>
      </c>
      <c r="AT126" s="129">
        <v>8.0389999999999997</v>
      </c>
      <c r="AU126" s="129">
        <v>8.0790000000000006</v>
      </c>
      <c r="AV126" s="129">
        <v>8.1039999999999992</v>
      </c>
      <c r="AW126" s="129">
        <v>8.109</v>
      </c>
      <c r="AX126" s="126">
        <f t="shared" ca="1" si="14"/>
        <v>391</v>
      </c>
      <c r="BA126" s="99" t="s">
        <v>136</v>
      </c>
    </row>
    <row r="127" spans="1:53" s="99" customFormat="1" ht="21.75" customHeight="1" x14ac:dyDescent="0.35">
      <c r="A127" s="599">
        <v>421</v>
      </c>
      <c r="B127" s="600" t="str">
        <f t="shared" si="15"/>
        <v>0-304L/2B-000X762</v>
      </c>
      <c r="C127" s="601" t="s">
        <v>3696</v>
      </c>
      <c r="D127" s="600" t="s">
        <v>3026</v>
      </c>
      <c r="E127" s="600" t="s">
        <v>2913</v>
      </c>
      <c r="F127" s="602" t="s">
        <v>2962</v>
      </c>
      <c r="G127" s="600" t="s">
        <v>230</v>
      </c>
      <c r="H127" s="600" t="s">
        <v>116</v>
      </c>
      <c r="I127" s="603">
        <v>0.6</v>
      </c>
      <c r="J127" s="603">
        <v>0.3</v>
      </c>
      <c r="K127" s="603"/>
      <c r="L127" s="600"/>
      <c r="M127" s="604">
        <v>762</v>
      </c>
      <c r="N127" s="605">
        <v>4.97</v>
      </c>
      <c r="O127" s="367">
        <v>4.7750000000000004</v>
      </c>
      <c r="P127" s="367"/>
      <c r="Q127" s="605">
        <v>0.17499999999999999</v>
      </c>
      <c r="R127" s="605">
        <v>0.02</v>
      </c>
      <c r="S127" s="606">
        <f t="shared" si="12"/>
        <v>4.0241448692152921E-3</v>
      </c>
      <c r="T127" s="605"/>
      <c r="U127" s="606">
        <f t="shared" si="13"/>
        <v>0</v>
      </c>
      <c r="V127" s="606"/>
      <c r="W127" s="604">
        <v>760</v>
      </c>
      <c r="X127" s="607" t="s">
        <v>116</v>
      </c>
      <c r="Y127" s="608" t="s">
        <v>3434</v>
      </c>
      <c r="Z127" s="609" t="s">
        <v>1206</v>
      </c>
      <c r="AA127" s="609"/>
      <c r="AB127" s="610"/>
      <c r="AC127" s="611" t="s">
        <v>1237</v>
      </c>
      <c r="AD127" s="611" t="s">
        <v>3018</v>
      </c>
      <c r="AE127" s="611" t="s">
        <v>3473</v>
      </c>
      <c r="AF127" s="611">
        <v>44617</v>
      </c>
      <c r="AG127" s="611"/>
      <c r="AH127" s="612"/>
      <c r="AI127" s="600" t="s">
        <v>64</v>
      </c>
      <c r="AJ127" s="600" t="s">
        <v>154</v>
      </c>
      <c r="AK127" s="613" t="s">
        <v>1190</v>
      </c>
      <c r="AL127" s="613"/>
      <c r="AM127" s="613">
        <v>44496</v>
      </c>
      <c r="AN127" s="613"/>
      <c r="AO127" s="613">
        <f t="shared" ca="1" si="10"/>
        <v>44963</v>
      </c>
      <c r="AP127" s="600">
        <f t="shared" ca="1" si="11"/>
        <v>467</v>
      </c>
      <c r="AQ127" s="613" t="e">
        <f t="shared" ca="1" si="16"/>
        <v>#VALUE!</v>
      </c>
      <c r="AR127" s="605"/>
      <c r="AS127" s="605" t="s">
        <v>2915</v>
      </c>
      <c r="AT127" s="605">
        <v>10.54</v>
      </c>
      <c r="AU127" s="605">
        <v>10.55</v>
      </c>
      <c r="AV127" s="605">
        <v>10.574999999999999</v>
      </c>
      <c r="AW127" s="605">
        <v>10.58</v>
      </c>
      <c r="AX127" s="600" t="e">
        <f t="shared" ca="1" si="14"/>
        <v>#VALUE!</v>
      </c>
      <c r="AY127" s="599"/>
      <c r="AZ127" s="599"/>
      <c r="BA127" s="599" t="s">
        <v>136</v>
      </c>
    </row>
    <row r="128" spans="1:53" s="99" customFormat="1" ht="21.75" customHeight="1" x14ac:dyDescent="0.35">
      <c r="A128" s="99">
        <v>406</v>
      </c>
      <c r="B128" s="126" t="str">
        <f t="shared" si="15"/>
        <v>0-J3/2B-001X620</v>
      </c>
      <c r="C128" s="294" t="s">
        <v>3696</v>
      </c>
      <c r="D128" s="126" t="s">
        <v>3026</v>
      </c>
      <c r="E128" s="126" t="s">
        <v>3176</v>
      </c>
      <c r="F128" s="143" t="s">
        <v>3710</v>
      </c>
      <c r="G128" s="126" t="s">
        <v>29</v>
      </c>
      <c r="H128" s="126" t="s">
        <v>116</v>
      </c>
      <c r="I128" s="127">
        <v>2.2000000000000002</v>
      </c>
      <c r="J128" s="127">
        <v>0.73</v>
      </c>
      <c r="K128" s="127">
        <v>0.7</v>
      </c>
      <c r="L128" s="126">
        <v>0.72</v>
      </c>
      <c r="M128" s="295">
        <v>620</v>
      </c>
      <c r="N128" s="129">
        <v>9.92</v>
      </c>
      <c r="O128" s="296">
        <f>4.89+4.78</f>
        <v>9.67</v>
      </c>
      <c r="P128" s="297"/>
      <c r="Q128" s="129">
        <v>0.04</v>
      </c>
      <c r="R128" s="129"/>
      <c r="S128" s="298">
        <f t="shared" si="12"/>
        <v>0</v>
      </c>
      <c r="T128" s="129">
        <v>0.21</v>
      </c>
      <c r="U128" s="298">
        <f t="shared" si="13"/>
        <v>2.1169354838709676E-2</v>
      </c>
      <c r="V128" s="298"/>
      <c r="W128" s="295" t="s">
        <v>3598</v>
      </c>
      <c r="X128" s="299" t="s">
        <v>116</v>
      </c>
      <c r="Y128" s="284" t="s">
        <v>3617</v>
      </c>
      <c r="Z128" s="282" t="s">
        <v>446</v>
      </c>
      <c r="AA128" s="282"/>
      <c r="AB128" s="300"/>
      <c r="AC128" s="132">
        <v>44572</v>
      </c>
      <c r="AD128" s="132">
        <v>44574</v>
      </c>
      <c r="AE128" s="132">
        <v>44599</v>
      </c>
      <c r="AF128" s="132"/>
      <c r="AG128" s="132"/>
      <c r="AH128" s="133"/>
      <c r="AI128" s="126" t="s">
        <v>64</v>
      </c>
      <c r="AJ128" s="126" t="s">
        <v>322</v>
      </c>
      <c r="AK128" s="134"/>
      <c r="AL128" s="134"/>
      <c r="AM128" s="134">
        <v>44396</v>
      </c>
      <c r="AN128" s="134"/>
      <c r="AO128" s="134">
        <f t="shared" ca="1" si="10"/>
        <v>44963</v>
      </c>
      <c r="AP128" s="126">
        <f t="shared" ca="1" si="11"/>
        <v>567</v>
      </c>
      <c r="AQ128" s="134">
        <f t="shared" ca="1" si="16"/>
        <v>364</v>
      </c>
      <c r="AR128" s="129" t="s">
        <v>891</v>
      </c>
      <c r="AS128" s="129" t="s">
        <v>798</v>
      </c>
      <c r="AT128" s="129">
        <v>9.9649999999999999</v>
      </c>
      <c r="AU128" s="129">
        <v>10.005000000000001</v>
      </c>
      <c r="AV128" s="129">
        <v>10.029999999999999</v>
      </c>
      <c r="AW128" s="129">
        <v>10.035</v>
      </c>
      <c r="AX128" s="126">
        <f t="shared" ca="1" si="14"/>
        <v>389</v>
      </c>
      <c r="BA128" s="99" t="s">
        <v>136</v>
      </c>
    </row>
    <row r="129" spans="1:53" s="99" customFormat="1" ht="21.75" customHeight="1" x14ac:dyDescent="0.35">
      <c r="A129" s="99">
        <v>395</v>
      </c>
      <c r="B129" s="126" t="str">
        <f t="shared" si="15"/>
        <v>0-J3/2B-001X620</v>
      </c>
      <c r="C129" s="294" t="s">
        <v>3696</v>
      </c>
      <c r="D129" s="126" t="s">
        <v>3026</v>
      </c>
      <c r="E129" s="126" t="s">
        <v>3130</v>
      </c>
      <c r="F129" s="143" t="s">
        <v>3711</v>
      </c>
      <c r="G129" s="126" t="s">
        <v>29</v>
      </c>
      <c r="H129" s="126" t="s">
        <v>116</v>
      </c>
      <c r="I129" s="127">
        <v>2.4</v>
      </c>
      <c r="J129" s="127">
        <v>0.92</v>
      </c>
      <c r="K129" s="127">
        <v>0.9</v>
      </c>
      <c r="L129" s="126">
        <v>0.92</v>
      </c>
      <c r="M129" s="295">
        <v>620</v>
      </c>
      <c r="N129" s="129">
        <v>9.94</v>
      </c>
      <c r="O129" s="296">
        <f>4.82+4.8</f>
        <v>9.620000000000001</v>
      </c>
      <c r="P129" s="297"/>
      <c r="Q129" s="129"/>
      <c r="R129" s="129">
        <v>0.04</v>
      </c>
      <c r="S129" s="298">
        <f t="shared" si="12"/>
        <v>4.0241448692152921E-3</v>
      </c>
      <c r="T129" s="129">
        <v>0.22</v>
      </c>
      <c r="U129" s="298">
        <f t="shared" si="13"/>
        <v>2.2132796780684107E-2</v>
      </c>
      <c r="V129" s="298"/>
      <c r="W129" s="295" t="s">
        <v>3598</v>
      </c>
      <c r="X129" s="299" t="s">
        <v>116</v>
      </c>
      <c r="Y129" s="284" t="s">
        <v>3617</v>
      </c>
      <c r="Z129" s="282" t="s">
        <v>446</v>
      </c>
      <c r="AA129" s="282"/>
      <c r="AB129" s="300"/>
      <c r="AC129" s="132">
        <v>44573</v>
      </c>
      <c r="AD129" s="132">
        <v>44573</v>
      </c>
      <c r="AE129" s="132">
        <v>44597</v>
      </c>
      <c r="AF129" s="132"/>
      <c r="AG129" s="132"/>
      <c r="AH129" s="133"/>
      <c r="AI129" s="126" t="s">
        <v>64</v>
      </c>
      <c r="AJ129" s="126" t="s">
        <v>468</v>
      </c>
      <c r="AK129" s="134"/>
      <c r="AL129" s="134"/>
      <c r="AM129" s="134">
        <v>44370</v>
      </c>
      <c r="AN129" s="134"/>
      <c r="AO129" s="134">
        <f t="shared" ca="1" si="10"/>
        <v>44963</v>
      </c>
      <c r="AP129" s="126">
        <f t="shared" ca="1" si="11"/>
        <v>593</v>
      </c>
      <c r="AQ129" s="134">
        <f t="shared" ca="1" si="16"/>
        <v>366</v>
      </c>
      <c r="AR129" s="129" t="s">
        <v>3132</v>
      </c>
      <c r="AS129" s="129" t="s">
        <v>691</v>
      </c>
      <c r="AT129" s="129">
        <v>9.9649999999999999</v>
      </c>
      <c r="AU129" s="129">
        <v>10.004999999999999</v>
      </c>
      <c r="AV129" s="129">
        <v>10.029999999999998</v>
      </c>
      <c r="AW129" s="129">
        <v>10.034999999999998</v>
      </c>
      <c r="AX129" s="126">
        <f t="shared" ca="1" si="14"/>
        <v>390</v>
      </c>
      <c r="BA129" s="99" t="s">
        <v>136</v>
      </c>
    </row>
    <row r="130" spans="1:53" s="99" customFormat="1" ht="21.75" customHeight="1" x14ac:dyDescent="0.35">
      <c r="A130" s="99">
        <v>394</v>
      </c>
      <c r="B130" s="126" t="str">
        <f t="shared" si="15"/>
        <v>0-J3/2B-001X595</v>
      </c>
      <c r="C130" s="294" t="s">
        <v>3696</v>
      </c>
      <c r="D130" s="126" t="s">
        <v>3026</v>
      </c>
      <c r="E130" s="126" t="s">
        <v>3165</v>
      </c>
      <c r="F130" s="143" t="s">
        <v>3712</v>
      </c>
      <c r="G130" s="126" t="s">
        <v>29</v>
      </c>
      <c r="H130" s="126" t="s">
        <v>116</v>
      </c>
      <c r="I130" s="127">
        <v>2.4</v>
      </c>
      <c r="J130" s="127">
        <v>0.92</v>
      </c>
      <c r="K130" s="127">
        <v>0.9</v>
      </c>
      <c r="L130" s="126">
        <v>0.92</v>
      </c>
      <c r="M130" s="295">
        <v>595</v>
      </c>
      <c r="N130" s="129">
        <v>8.14</v>
      </c>
      <c r="O130" s="296">
        <f>3.995+3.985</f>
        <v>7.98</v>
      </c>
      <c r="P130" s="297"/>
      <c r="Q130" s="129">
        <v>2.5000000000000001E-2</v>
      </c>
      <c r="R130" s="129"/>
      <c r="S130" s="298">
        <f t="shared" si="12"/>
        <v>0</v>
      </c>
      <c r="T130" s="129"/>
      <c r="U130" s="298">
        <f t="shared" si="13"/>
        <v>0</v>
      </c>
      <c r="V130" s="298"/>
      <c r="W130" s="295" t="s">
        <v>3598</v>
      </c>
      <c r="X130" s="299" t="s">
        <v>116</v>
      </c>
      <c r="Y130" s="284" t="s">
        <v>3617</v>
      </c>
      <c r="Z130" s="282" t="s">
        <v>446</v>
      </c>
      <c r="AA130" s="282"/>
      <c r="AB130" s="300"/>
      <c r="AC130" s="132">
        <v>44573</v>
      </c>
      <c r="AD130" s="132">
        <v>44573</v>
      </c>
      <c r="AE130" s="132">
        <v>44599</v>
      </c>
      <c r="AF130" s="132"/>
      <c r="AG130" s="132"/>
      <c r="AH130" s="133"/>
      <c r="AI130" s="126" t="s">
        <v>64</v>
      </c>
      <c r="AJ130" s="126" t="s">
        <v>322</v>
      </c>
      <c r="AK130" s="134" t="s">
        <v>635</v>
      </c>
      <c r="AL130" s="134">
        <v>44315</v>
      </c>
      <c r="AM130" s="134">
        <v>44352</v>
      </c>
      <c r="AN130" s="134"/>
      <c r="AO130" s="134">
        <f t="shared" ca="1" si="10"/>
        <v>44963</v>
      </c>
      <c r="AP130" s="126">
        <f t="shared" ca="1" si="11"/>
        <v>611</v>
      </c>
      <c r="AQ130" s="134">
        <f t="shared" ca="1" si="16"/>
        <v>364</v>
      </c>
      <c r="AR130" s="129" t="s">
        <v>640</v>
      </c>
      <c r="AS130" s="129" t="s">
        <v>3167</v>
      </c>
      <c r="AT130" s="129">
        <v>8.1850000000000005</v>
      </c>
      <c r="AU130" s="129">
        <v>8.2249999999999996</v>
      </c>
      <c r="AV130" s="129">
        <v>8.2499999999999982</v>
      </c>
      <c r="AW130" s="129">
        <v>8.254999999999999</v>
      </c>
      <c r="AX130" s="126">
        <f t="shared" ca="1" si="14"/>
        <v>390</v>
      </c>
      <c r="BA130" s="99" t="s">
        <v>136</v>
      </c>
    </row>
    <row r="131" spans="1:53" s="99" customFormat="1" ht="21.75" customHeight="1" x14ac:dyDescent="0.35">
      <c r="A131" s="99">
        <v>422</v>
      </c>
      <c r="B131" s="126" t="str">
        <f t="shared" si="15"/>
        <v>0-304L/2B-001X768</v>
      </c>
      <c r="C131" s="294" t="s">
        <v>3713</v>
      </c>
      <c r="D131" s="126" t="s">
        <v>3026</v>
      </c>
      <c r="E131" s="126" t="s">
        <v>3127</v>
      </c>
      <c r="F131" s="143" t="s">
        <v>3714</v>
      </c>
      <c r="G131" s="126" t="s">
        <v>230</v>
      </c>
      <c r="H131" s="126" t="s">
        <v>116</v>
      </c>
      <c r="I131" s="127">
        <v>3.44</v>
      </c>
      <c r="J131" s="127">
        <v>1.1499999999999999</v>
      </c>
      <c r="K131" s="127">
        <v>1.1200000000000001</v>
      </c>
      <c r="L131" s="126">
        <v>1.1399999999999999</v>
      </c>
      <c r="M131" s="295">
        <v>768</v>
      </c>
      <c r="N131" s="129">
        <v>12.195</v>
      </c>
      <c r="O131" s="296">
        <f>4.08+4.065+3.76</f>
        <v>11.904999999999999</v>
      </c>
      <c r="P131" s="297"/>
      <c r="Q131" s="129">
        <v>0.08</v>
      </c>
      <c r="R131" s="129">
        <v>0.01</v>
      </c>
      <c r="S131" s="298">
        <f t="shared" si="12"/>
        <v>8.2000820008200077E-4</v>
      </c>
      <c r="T131" s="129">
        <v>0.19500000000000001</v>
      </c>
      <c r="U131" s="298">
        <f t="shared" si="13"/>
        <v>1.5990159901599015E-2</v>
      </c>
      <c r="V131" s="298"/>
      <c r="W131" s="295" t="s">
        <v>3598</v>
      </c>
      <c r="X131" s="299" t="s">
        <v>116</v>
      </c>
      <c r="Y131" s="284" t="s">
        <v>3715</v>
      </c>
      <c r="Z131" s="282" t="s">
        <v>446</v>
      </c>
      <c r="AA131" s="282"/>
      <c r="AB131" s="300"/>
      <c r="AC131" s="132">
        <v>44569</v>
      </c>
      <c r="AD131" s="132">
        <v>44570</v>
      </c>
      <c r="AE131" s="132">
        <v>44597</v>
      </c>
      <c r="AF131" s="132"/>
      <c r="AG131" s="132"/>
      <c r="AH131" s="133"/>
      <c r="AI131" s="126" t="s">
        <v>64</v>
      </c>
      <c r="AJ131" s="126" t="s">
        <v>154</v>
      </c>
      <c r="AK131" s="134" t="s">
        <v>1296</v>
      </c>
      <c r="AL131" s="134"/>
      <c r="AM131" s="134">
        <v>44516</v>
      </c>
      <c r="AN131" s="134"/>
      <c r="AO131" s="134">
        <f t="shared" ca="1" si="10"/>
        <v>44963</v>
      </c>
      <c r="AP131" s="126">
        <f t="shared" ca="1" si="11"/>
        <v>447</v>
      </c>
      <c r="AQ131" s="134">
        <f t="shared" ca="1" si="16"/>
        <v>366</v>
      </c>
      <c r="AR131" s="129"/>
      <c r="AS131" s="129" t="s">
        <v>3129</v>
      </c>
      <c r="AT131" s="129">
        <v>12.215</v>
      </c>
      <c r="AU131" s="129">
        <v>12.225</v>
      </c>
      <c r="AV131" s="129">
        <v>12.249999999999998</v>
      </c>
      <c r="AW131" s="129">
        <v>12.254999999999999</v>
      </c>
      <c r="AX131" s="126">
        <f t="shared" ca="1" si="14"/>
        <v>393</v>
      </c>
      <c r="BA131" s="99" t="s">
        <v>136</v>
      </c>
    </row>
    <row r="132" spans="1:53" s="99" customFormat="1" ht="21.75" customHeight="1" x14ac:dyDescent="0.35">
      <c r="A132" s="99">
        <v>424</v>
      </c>
      <c r="B132" s="126" t="str">
        <f t="shared" si="15"/>
        <v>0-304/2B-001X770</v>
      </c>
      <c r="C132" s="294" t="s">
        <v>3713</v>
      </c>
      <c r="D132" s="126" t="s">
        <v>3026</v>
      </c>
      <c r="E132" s="126" t="s">
        <v>2918</v>
      </c>
      <c r="F132" s="143" t="s">
        <v>3716</v>
      </c>
      <c r="G132" s="126">
        <v>304</v>
      </c>
      <c r="H132" s="126" t="s">
        <v>116</v>
      </c>
      <c r="I132" s="127">
        <v>3.25</v>
      </c>
      <c r="J132" s="127">
        <v>1.1599999999999999</v>
      </c>
      <c r="K132" s="127">
        <v>1.1299999999999999</v>
      </c>
      <c r="L132" s="126">
        <v>1.1499999999999999</v>
      </c>
      <c r="M132" s="295">
        <v>770</v>
      </c>
      <c r="N132" s="129">
        <v>10.555</v>
      </c>
      <c r="O132" s="296">
        <f>3.17+3.17+3.93</f>
        <v>10.27</v>
      </c>
      <c r="P132" s="297"/>
      <c r="Q132" s="129"/>
      <c r="R132" s="129">
        <v>4.4999999999999998E-2</v>
      </c>
      <c r="S132" s="298">
        <f t="shared" si="12"/>
        <v>4.2633822832780673E-3</v>
      </c>
      <c r="T132" s="129">
        <v>0.17499999999999999</v>
      </c>
      <c r="U132" s="298">
        <f t="shared" si="13"/>
        <v>1.6579819990525817E-2</v>
      </c>
      <c r="V132" s="298"/>
      <c r="W132" s="295" t="s">
        <v>3598</v>
      </c>
      <c r="X132" s="299" t="s">
        <v>116</v>
      </c>
      <c r="Y132" s="284" t="s">
        <v>3717</v>
      </c>
      <c r="Z132" s="282" t="s">
        <v>284</v>
      </c>
      <c r="AA132" s="282"/>
      <c r="AB132" s="300"/>
      <c r="AC132" s="132">
        <v>44615</v>
      </c>
      <c r="AD132" s="132">
        <v>44616</v>
      </c>
      <c r="AE132" s="132">
        <v>44618</v>
      </c>
      <c r="AF132" s="132"/>
      <c r="AG132" s="132"/>
      <c r="AH132" s="133" t="s">
        <v>1395</v>
      </c>
      <c r="AI132" s="126" t="s">
        <v>64</v>
      </c>
      <c r="AJ132" s="126" t="s">
        <v>154</v>
      </c>
      <c r="AK132" s="134" t="s">
        <v>1330</v>
      </c>
      <c r="AL132" s="134"/>
      <c r="AM132" s="134">
        <v>44554</v>
      </c>
      <c r="AN132" s="134"/>
      <c r="AO132" s="134">
        <f ca="1">TODAY()</f>
        <v>44963</v>
      </c>
      <c r="AP132" s="126">
        <f ca="1">IF(AM132&lt;&gt;0,AO132-AM132,0)</f>
        <v>409</v>
      </c>
      <c r="AQ132" s="134">
        <f t="shared" ca="1" si="16"/>
        <v>345</v>
      </c>
      <c r="AR132" s="129"/>
      <c r="AS132" s="129" t="s">
        <v>1424</v>
      </c>
      <c r="AT132" s="129">
        <v>10.565</v>
      </c>
      <c r="AU132" s="129">
        <v>10.574999999999999</v>
      </c>
      <c r="AV132" s="129">
        <v>10.599999999999998</v>
      </c>
      <c r="AW132" s="129">
        <v>10.604999999999999</v>
      </c>
      <c r="AX132" s="126">
        <f t="shared" ca="1" si="14"/>
        <v>347</v>
      </c>
      <c r="BA132" s="99" t="s">
        <v>136</v>
      </c>
    </row>
    <row r="133" spans="1:53" s="99" customFormat="1" ht="21.75" customHeight="1" x14ac:dyDescent="0.35">
      <c r="A133" s="99">
        <v>422</v>
      </c>
      <c r="B133" s="126" t="str">
        <f t="shared" si="15"/>
        <v>0-304L/2B-001X768</v>
      </c>
      <c r="C133" s="294" t="s">
        <v>3713</v>
      </c>
      <c r="D133" s="126" t="s">
        <v>3026</v>
      </c>
      <c r="E133" s="126" t="s">
        <v>2891</v>
      </c>
      <c r="F133" s="143" t="s">
        <v>3718</v>
      </c>
      <c r="G133" s="126" t="s">
        <v>230</v>
      </c>
      <c r="H133" s="126" t="s">
        <v>116</v>
      </c>
      <c r="I133" s="127">
        <v>3.23</v>
      </c>
      <c r="J133" s="127">
        <v>1.1599999999999999</v>
      </c>
      <c r="K133" s="127">
        <v>1.1299999999999999</v>
      </c>
      <c r="L133" s="126">
        <v>1.1499999999999999</v>
      </c>
      <c r="M133" s="295">
        <v>768</v>
      </c>
      <c r="N133" s="129">
        <v>11.69</v>
      </c>
      <c r="O133" s="296">
        <f>3.63+3.575+4.18</f>
        <v>11.385</v>
      </c>
      <c r="P133" s="297"/>
      <c r="Q133" s="129">
        <v>6.5000000000000002E-2</v>
      </c>
      <c r="R133" s="129"/>
      <c r="S133" s="298">
        <f t="shared" si="12"/>
        <v>0</v>
      </c>
      <c r="T133" s="129">
        <v>0.23499999999999999</v>
      </c>
      <c r="U133" s="298">
        <f t="shared" si="13"/>
        <v>2.0102651839178785E-2</v>
      </c>
      <c r="V133" s="298"/>
      <c r="W133" s="295" t="s">
        <v>3598</v>
      </c>
      <c r="X133" s="299" t="s">
        <v>116</v>
      </c>
      <c r="Y133" s="284" t="s">
        <v>3719</v>
      </c>
      <c r="Z133" s="282" t="s">
        <v>284</v>
      </c>
      <c r="AA133" s="282"/>
      <c r="AB133" s="300"/>
      <c r="AC133" s="132">
        <v>44614</v>
      </c>
      <c r="AD133" s="132">
        <v>44614</v>
      </c>
      <c r="AE133" s="132">
        <v>44618</v>
      </c>
      <c r="AF133" s="132"/>
      <c r="AG133" s="132"/>
      <c r="AH133" s="133"/>
      <c r="AI133" s="126" t="s">
        <v>64</v>
      </c>
      <c r="AJ133" s="126" t="s">
        <v>154</v>
      </c>
      <c r="AK133" s="134" t="s">
        <v>1330</v>
      </c>
      <c r="AL133" s="134"/>
      <c r="AM133" s="134">
        <v>44516</v>
      </c>
      <c r="AN133" s="134"/>
      <c r="AO133" s="134">
        <f ca="1">TODAY()</f>
        <v>44963</v>
      </c>
      <c r="AP133" s="126">
        <f ca="1">IF(AM133&lt;&gt;0,AO133-AM133,0)</f>
        <v>447</v>
      </c>
      <c r="AQ133" s="134">
        <f t="shared" ca="1" si="16"/>
        <v>345</v>
      </c>
      <c r="AR133" s="129"/>
      <c r="AS133" s="129" t="s">
        <v>2893</v>
      </c>
      <c r="AT133" s="129">
        <v>11.71</v>
      </c>
      <c r="AU133" s="129">
        <v>11.72</v>
      </c>
      <c r="AV133" s="129">
        <v>11.744999999999999</v>
      </c>
      <c r="AW133" s="129">
        <v>11.75</v>
      </c>
      <c r="AX133" s="126">
        <f t="shared" ca="1" si="14"/>
        <v>349</v>
      </c>
      <c r="BA133" s="99" t="s">
        <v>136</v>
      </c>
    </row>
    <row r="134" spans="1:53" s="274" customFormat="1" x14ac:dyDescent="0.35">
      <c r="A134" s="260"/>
      <c r="B134" s="260"/>
      <c r="C134" s="260"/>
      <c r="D134" s="260"/>
      <c r="E134" s="260"/>
      <c r="F134" s="260"/>
    </row>
    <row r="135" spans="1:53" s="274" customFormat="1" x14ac:dyDescent="0.35">
      <c r="A135" s="260"/>
      <c r="B135" s="260"/>
      <c r="C135" s="260"/>
      <c r="D135" s="260"/>
      <c r="E135" s="260"/>
      <c r="F135" s="260"/>
    </row>
    <row r="136" spans="1:53" s="274" customFormat="1" x14ac:dyDescent="0.35">
      <c r="A136" s="260"/>
      <c r="B136" s="260"/>
      <c r="C136" s="260"/>
      <c r="D136" s="260"/>
      <c r="E136" s="260"/>
      <c r="F136" s="260"/>
    </row>
    <row r="137" spans="1:53" s="274" customFormat="1" x14ac:dyDescent="0.35">
      <c r="A137" s="260"/>
      <c r="B137" s="260"/>
      <c r="C137" s="260"/>
      <c r="D137" s="260"/>
      <c r="E137" s="260"/>
      <c r="F137" s="260"/>
    </row>
    <row r="138" spans="1:53" s="274" customFormat="1" x14ac:dyDescent="0.35">
      <c r="A138" s="260"/>
      <c r="B138" s="260"/>
      <c r="C138" s="260"/>
      <c r="D138" s="260"/>
      <c r="E138" s="260"/>
      <c r="F138" s="260"/>
    </row>
    <row r="139" spans="1:53" s="274" customFormat="1" x14ac:dyDescent="0.35">
      <c r="A139" s="260"/>
      <c r="B139" s="260"/>
      <c r="C139" s="260"/>
      <c r="D139" s="260"/>
      <c r="E139" s="260"/>
      <c r="F139" s="260"/>
    </row>
    <row r="140" spans="1:53" s="274" customFormat="1" x14ac:dyDescent="0.35">
      <c r="A140" s="260"/>
      <c r="B140" s="260"/>
      <c r="C140" s="260"/>
      <c r="D140" s="260"/>
      <c r="E140" s="260"/>
      <c r="F140" s="260"/>
    </row>
    <row r="141" spans="1:53" s="274" customFormat="1" x14ac:dyDescent="0.35">
      <c r="A141" s="260"/>
      <c r="B141" s="260"/>
      <c r="C141" s="260"/>
      <c r="D141" s="260"/>
      <c r="E141" s="260"/>
      <c r="F141" s="260"/>
    </row>
    <row r="142" spans="1:53" s="274" customFormat="1" x14ac:dyDescent="0.35">
      <c r="A142" s="260"/>
      <c r="B142" s="260"/>
      <c r="C142" s="260"/>
      <c r="D142" s="260"/>
      <c r="E142" s="260"/>
      <c r="F142" s="260"/>
    </row>
    <row r="143" spans="1:53" s="274" customFormat="1" x14ac:dyDescent="0.35">
      <c r="A143" s="260"/>
      <c r="B143" s="260"/>
      <c r="C143" s="260"/>
      <c r="D143" s="260"/>
      <c r="E143" s="260"/>
      <c r="F143" s="260"/>
    </row>
    <row r="144" spans="1:53" s="274" customFormat="1" x14ac:dyDescent="0.35">
      <c r="A144" s="260"/>
      <c r="B144" s="260"/>
      <c r="C144" s="260"/>
      <c r="D144" s="260"/>
      <c r="E144" s="260"/>
      <c r="F144" s="260"/>
    </row>
    <row r="145" spans="1:6" s="274" customFormat="1" x14ac:dyDescent="0.35">
      <c r="A145" s="260"/>
      <c r="B145" s="260"/>
      <c r="C145" s="260"/>
      <c r="D145" s="260"/>
      <c r="E145" s="260"/>
      <c r="F145" s="260"/>
    </row>
    <row r="146" spans="1:6" s="274" customFormat="1" x14ac:dyDescent="0.35">
      <c r="A146" s="260"/>
      <c r="B146" s="260"/>
      <c r="C146" s="260"/>
      <c r="D146" s="260"/>
      <c r="E146" s="260"/>
      <c r="F146" s="260"/>
    </row>
    <row r="147" spans="1:6" s="274" customFormat="1" x14ac:dyDescent="0.35">
      <c r="A147" s="260"/>
      <c r="B147" s="260"/>
      <c r="C147" s="260"/>
      <c r="D147" s="260"/>
      <c r="E147" s="260"/>
      <c r="F147" s="260"/>
    </row>
    <row r="148" spans="1:6" s="274" customFormat="1" x14ac:dyDescent="0.35">
      <c r="A148" s="260"/>
      <c r="B148" s="260"/>
      <c r="C148" s="260"/>
      <c r="D148" s="260"/>
      <c r="E148" s="260"/>
      <c r="F148" s="260"/>
    </row>
    <row r="149" spans="1:6" s="274" customFormat="1" x14ac:dyDescent="0.35">
      <c r="A149" s="260"/>
      <c r="B149" s="260"/>
      <c r="C149" s="260"/>
      <c r="D149" s="260"/>
      <c r="E149" s="260"/>
      <c r="F149" s="260"/>
    </row>
    <row r="150" spans="1:6" s="274" customFormat="1" x14ac:dyDescent="0.35">
      <c r="A150" s="260"/>
      <c r="B150" s="260"/>
      <c r="C150" s="260"/>
      <c r="D150" s="260"/>
      <c r="E150" s="260"/>
      <c r="F150" s="260"/>
    </row>
    <row r="151" spans="1:6" s="274" customFormat="1" x14ac:dyDescent="0.35">
      <c r="A151" s="260"/>
      <c r="B151" s="260"/>
      <c r="C151" s="260"/>
      <c r="D151" s="260"/>
      <c r="E151" s="260"/>
      <c r="F151" s="260"/>
    </row>
    <row r="152" spans="1:6" s="274" customFormat="1" x14ac:dyDescent="0.35">
      <c r="A152" s="260"/>
      <c r="B152" s="260"/>
      <c r="C152" s="260"/>
      <c r="D152" s="260"/>
      <c r="E152" s="260"/>
      <c r="F152" s="260"/>
    </row>
    <row r="153" spans="1:6" s="274" customFormat="1" x14ac:dyDescent="0.35">
      <c r="A153" s="260"/>
      <c r="B153" s="260"/>
      <c r="C153" s="260"/>
      <c r="D153" s="260"/>
      <c r="E153" s="260"/>
      <c r="F153" s="260"/>
    </row>
    <row r="154" spans="1:6" s="274" customFormat="1" x14ac:dyDescent="0.35">
      <c r="A154" s="260"/>
      <c r="B154" s="260"/>
      <c r="C154" s="260"/>
      <c r="D154" s="260"/>
      <c r="E154" s="260"/>
      <c r="F154" s="260"/>
    </row>
    <row r="155" spans="1:6" s="274" customFormat="1" x14ac:dyDescent="0.35">
      <c r="A155" s="260"/>
      <c r="B155" s="260"/>
      <c r="C155" s="260"/>
      <c r="D155" s="260"/>
      <c r="E155" s="260"/>
      <c r="F155" s="260"/>
    </row>
    <row r="156" spans="1:6" s="274" customFormat="1" x14ac:dyDescent="0.35">
      <c r="A156" s="260"/>
      <c r="B156" s="260"/>
      <c r="C156" s="260"/>
      <c r="D156" s="260"/>
      <c r="E156" s="260"/>
      <c r="F156" s="260"/>
    </row>
    <row r="157" spans="1:6" s="274" customFormat="1" x14ac:dyDescent="0.35">
      <c r="A157" s="260"/>
      <c r="B157" s="260"/>
      <c r="C157" s="260"/>
      <c r="D157" s="260"/>
      <c r="E157" s="260"/>
      <c r="F157" s="260"/>
    </row>
    <row r="158" spans="1:6" s="274" customFormat="1" x14ac:dyDescent="0.35">
      <c r="A158" s="260"/>
      <c r="B158" s="260"/>
      <c r="C158" s="260"/>
      <c r="D158" s="260"/>
      <c r="E158" s="260"/>
      <c r="F158" s="260"/>
    </row>
    <row r="159" spans="1:6" s="274" customFormat="1" x14ac:dyDescent="0.35">
      <c r="A159" s="260"/>
      <c r="B159" s="260"/>
      <c r="C159" s="260"/>
      <c r="D159" s="260"/>
      <c r="E159" s="260"/>
      <c r="F159" s="260"/>
    </row>
    <row r="160" spans="1:6" s="274" customFormat="1" x14ac:dyDescent="0.35">
      <c r="A160" s="260"/>
      <c r="B160" s="260"/>
      <c r="C160" s="260"/>
      <c r="D160" s="260"/>
      <c r="E160" s="260"/>
      <c r="F160" s="260"/>
    </row>
    <row r="161" spans="1:6" s="274" customFormat="1" x14ac:dyDescent="0.35">
      <c r="A161" s="260"/>
      <c r="B161" s="260"/>
      <c r="C161" s="260"/>
      <c r="D161" s="260"/>
      <c r="E161" s="260"/>
      <c r="F161" s="260"/>
    </row>
    <row r="162" spans="1:6" s="274" customFormat="1" x14ac:dyDescent="0.35">
      <c r="A162" s="260"/>
      <c r="B162" s="260"/>
      <c r="C162" s="260"/>
      <c r="D162" s="260"/>
      <c r="E162" s="260"/>
      <c r="F162" s="260"/>
    </row>
    <row r="163" spans="1:6" s="274" customFormat="1" x14ac:dyDescent="0.35">
      <c r="A163" s="260"/>
      <c r="B163" s="260"/>
      <c r="C163" s="260"/>
      <c r="D163" s="260"/>
      <c r="E163" s="260"/>
      <c r="F163" s="260"/>
    </row>
    <row r="164" spans="1:6" s="274" customFormat="1" x14ac:dyDescent="0.35">
      <c r="A164" s="260"/>
      <c r="B164" s="260"/>
      <c r="C164" s="260"/>
      <c r="D164" s="260"/>
      <c r="E164" s="260"/>
      <c r="F164" s="260"/>
    </row>
    <row r="165" spans="1:6" s="274" customFormat="1" x14ac:dyDescent="0.35">
      <c r="A165" s="260"/>
      <c r="B165" s="260"/>
      <c r="C165" s="260"/>
      <c r="D165" s="260"/>
      <c r="E165" s="260"/>
      <c r="F165" s="260"/>
    </row>
    <row r="166" spans="1:6" s="274" customFormat="1" x14ac:dyDescent="0.35">
      <c r="A166" s="260"/>
      <c r="B166" s="260"/>
      <c r="C166" s="260"/>
      <c r="D166" s="260"/>
      <c r="E166" s="260"/>
      <c r="F166" s="260"/>
    </row>
    <row r="167" spans="1:6" s="274" customFormat="1" x14ac:dyDescent="0.35">
      <c r="A167" s="260"/>
      <c r="B167" s="260"/>
      <c r="C167" s="260"/>
      <c r="D167" s="260"/>
      <c r="E167" s="260"/>
      <c r="F167" s="260"/>
    </row>
    <row r="168" spans="1:6" s="274" customFormat="1" x14ac:dyDescent="0.35">
      <c r="A168" s="260"/>
      <c r="B168" s="260"/>
      <c r="C168" s="260"/>
      <c r="D168" s="260"/>
      <c r="E168" s="260"/>
      <c r="F168" s="260"/>
    </row>
    <row r="169" spans="1:6" s="274" customFormat="1" x14ac:dyDescent="0.35">
      <c r="A169" s="260"/>
      <c r="B169" s="260"/>
      <c r="C169" s="260"/>
      <c r="D169" s="260"/>
      <c r="E169" s="260"/>
      <c r="F169" s="260"/>
    </row>
    <row r="170" spans="1:6" s="274" customFormat="1" x14ac:dyDescent="0.35">
      <c r="A170" s="260"/>
      <c r="B170" s="260"/>
      <c r="C170" s="260"/>
      <c r="D170" s="260"/>
      <c r="E170" s="260"/>
      <c r="F170" s="260"/>
    </row>
    <row r="171" spans="1:6" s="274" customFormat="1" x14ac:dyDescent="0.35">
      <c r="A171" s="260"/>
      <c r="B171" s="260"/>
      <c r="C171" s="260"/>
      <c r="D171" s="260"/>
      <c r="E171" s="260"/>
      <c r="F171" s="260"/>
    </row>
    <row r="172" spans="1:6" s="274" customFormat="1" x14ac:dyDescent="0.35">
      <c r="A172" s="260"/>
      <c r="B172" s="260"/>
      <c r="C172" s="260"/>
      <c r="D172" s="260"/>
      <c r="E172" s="260"/>
      <c r="F172" s="260"/>
    </row>
    <row r="173" spans="1:6" s="274" customFormat="1" x14ac:dyDescent="0.35">
      <c r="A173" s="260"/>
      <c r="B173" s="260"/>
      <c r="C173" s="260"/>
      <c r="D173" s="260"/>
      <c r="E173" s="260"/>
      <c r="F173" s="260"/>
    </row>
    <row r="174" spans="1:6" s="274" customFormat="1" x14ac:dyDescent="0.35">
      <c r="A174" s="260"/>
      <c r="B174" s="260"/>
      <c r="C174" s="260"/>
      <c r="D174" s="260"/>
      <c r="E174" s="260"/>
      <c r="F174" s="260"/>
    </row>
    <row r="175" spans="1:6" s="274" customFormat="1" x14ac:dyDescent="0.35">
      <c r="A175" s="260"/>
      <c r="B175" s="260"/>
      <c r="C175" s="260"/>
      <c r="D175" s="260"/>
      <c r="E175" s="260"/>
      <c r="F175" s="260"/>
    </row>
    <row r="176" spans="1:6" s="274" customFormat="1" x14ac:dyDescent="0.35">
      <c r="A176" s="260"/>
      <c r="B176" s="260"/>
      <c r="C176" s="260"/>
      <c r="D176" s="260"/>
      <c r="E176" s="260"/>
      <c r="F176" s="260"/>
    </row>
    <row r="177" spans="1:6" s="274" customFormat="1" x14ac:dyDescent="0.35">
      <c r="A177" s="260"/>
      <c r="B177" s="260"/>
      <c r="C177" s="260"/>
      <c r="D177" s="260"/>
      <c r="E177" s="260"/>
      <c r="F177" s="260"/>
    </row>
    <row r="178" spans="1:6" s="274" customFormat="1" x14ac:dyDescent="0.35">
      <c r="A178" s="260"/>
      <c r="B178" s="260"/>
      <c r="C178" s="260"/>
      <c r="D178" s="260"/>
      <c r="E178" s="260"/>
      <c r="F178" s="260"/>
    </row>
    <row r="179" spans="1:6" s="274" customFormat="1" x14ac:dyDescent="0.35">
      <c r="A179" s="260"/>
      <c r="B179" s="260"/>
      <c r="C179" s="260"/>
      <c r="D179" s="260"/>
      <c r="E179" s="260"/>
      <c r="F179" s="260"/>
    </row>
    <row r="180" spans="1:6" s="274" customFormat="1" x14ac:dyDescent="0.35">
      <c r="A180" s="260"/>
      <c r="B180" s="260"/>
      <c r="C180" s="260"/>
      <c r="D180" s="260"/>
      <c r="E180" s="260"/>
      <c r="F180" s="260"/>
    </row>
    <row r="181" spans="1:6" s="274" customFormat="1" x14ac:dyDescent="0.35">
      <c r="A181" s="260"/>
      <c r="B181" s="260"/>
      <c r="C181" s="260"/>
      <c r="D181" s="260"/>
      <c r="E181" s="260"/>
      <c r="F181" s="260"/>
    </row>
    <row r="182" spans="1:6" s="274" customFormat="1" x14ac:dyDescent="0.35">
      <c r="A182" s="260"/>
      <c r="B182" s="260"/>
      <c r="C182" s="260"/>
      <c r="D182" s="260"/>
      <c r="E182" s="260"/>
      <c r="F182" s="260"/>
    </row>
    <row r="183" spans="1:6" s="274" customFormat="1" x14ac:dyDescent="0.35">
      <c r="A183" s="260"/>
      <c r="B183" s="260"/>
      <c r="C183" s="260"/>
      <c r="D183" s="260"/>
      <c r="E183" s="260"/>
      <c r="F183" s="260"/>
    </row>
    <row r="184" spans="1:6" s="274" customFormat="1" x14ac:dyDescent="0.35">
      <c r="A184" s="260"/>
      <c r="B184" s="260"/>
      <c r="C184" s="260"/>
      <c r="D184" s="260"/>
      <c r="E184" s="260"/>
      <c r="F184" s="260"/>
    </row>
    <row r="185" spans="1:6" s="274" customFormat="1" x14ac:dyDescent="0.35">
      <c r="A185" s="260"/>
      <c r="B185" s="260"/>
      <c r="C185" s="260"/>
      <c r="D185" s="260"/>
      <c r="E185" s="260"/>
      <c r="F185" s="260"/>
    </row>
    <row r="186" spans="1:6" s="274" customFormat="1" x14ac:dyDescent="0.35">
      <c r="A186" s="260"/>
      <c r="B186" s="260"/>
      <c r="C186" s="260"/>
      <c r="D186" s="260"/>
      <c r="E186" s="260"/>
      <c r="F186" s="260"/>
    </row>
    <row r="187" spans="1:6" s="274" customFormat="1" x14ac:dyDescent="0.35">
      <c r="A187" s="260"/>
      <c r="B187" s="260"/>
      <c r="C187" s="260"/>
      <c r="D187" s="260"/>
      <c r="E187" s="260"/>
      <c r="F187" s="260"/>
    </row>
    <row r="188" spans="1:6" s="274" customFormat="1" x14ac:dyDescent="0.35">
      <c r="A188" s="260"/>
      <c r="B188" s="260"/>
      <c r="C188" s="260"/>
      <c r="D188" s="260"/>
      <c r="E188" s="260"/>
      <c r="F188" s="260"/>
    </row>
    <row r="189" spans="1:6" s="274" customFormat="1" x14ac:dyDescent="0.35">
      <c r="A189" s="260"/>
      <c r="B189" s="260"/>
      <c r="C189" s="260"/>
      <c r="D189" s="260"/>
      <c r="E189" s="260"/>
      <c r="F189" s="260"/>
    </row>
    <row r="190" spans="1:6" s="274" customFormat="1" x14ac:dyDescent="0.35">
      <c r="A190" s="260"/>
      <c r="B190" s="260"/>
      <c r="C190" s="260"/>
      <c r="D190" s="260"/>
      <c r="E190" s="260"/>
      <c r="F190" s="260"/>
    </row>
    <row r="191" spans="1:6" s="274" customFormat="1" x14ac:dyDescent="0.35">
      <c r="A191" s="260"/>
      <c r="B191" s="260"/>
      <c r="C191" s="260"/>
      <c r="D191" s="260"/>
      <c r="E191" s="260"/>
      <c r="F191" s="260"/>
    </row>
    <row r="192" spans="1:6" s="274" customFormat="1" x14ac:dyDescent="0.35">
      <c r="A192" s="260"/>
      <c r="B192" s="260"/>
      <c r="C192" s="260"/>
      <c r="D192" s="260"/>
      <c r="E192" s="260"/>
      <c r="F192" s="260"/>
    </row>
    <row r="193" spans="1:6" s="274" customFormat="1" x14ac:dyDescent="0.35">
      <c r="A193" s="260"/>
      <c r="B193" s="260"/>
      <c r="C193" s="260"/>
      <c r="D193" s="260"/>
      <c r="E193" s="260"/>
      <c r="F193" s="260"/>
    </row>
    <row r="194" spans="1:6" s="274" customFormat="1" x14ac:dyDescent="0.35">
      <c r="A194" s="260"/>
      <c r="B194" s="260"/>
      <c r="C194" s="260"/>
      <c r="D194" s="260"/>
      <c r="E194" s="260"/>
      <c r="F194" s="260"/>
    </row>
    <row r="195" spans="1:6" s="274" customFormat="1" x14ac:dyDescent="0.35">
      <c r="A195" s="260"/>
      <c r="B195" s="260"/>
      <c r="C195" s="260"/>
      <c r="D195" s="260"/>
      <c r="E195" s="260"/>
      <c r="F195" s="260"/>
    </row>
    <row r="196" spans="1:6" s="274" customFormat="1" x14ac:dyDescent="0.35">
      <c r="A196" s="260"/>
      <c r="B196" s="260"/>
      <c r="C196" s="260"/>
      <c r="D196" s="260"/>
      <c r="E196" s="260"/>
      <c r="F196" s="260"/>
    </row>
    <row r="197" spans="1:6" s="274" customFormat="1" x14ac:dyDescent="0.35">
      <c r="A197" s="260"/>
      <c r="B197" s="260"/>
      <c r="C197" s="260"/>
      <c r="D197" s="260"/>
      <c r="E197" s="260"/>
      <c r="F197" s="260"/>
    </row>
    <row r="198" spans="1:6" s="274" customFormat="1" x14ac:dyDescent="0.35">
      <c r="A198" s="260"/>
      <c r="B198" s="260"/>
      <c r="C198" s="260"/>
      <c r="D198" s="260"/>
      <c r="E198" s="260"/>
      <c r="F198" s="260"/>
    </row>
    <row r="199" spans="1:6" s="274" customFormat="1" x14ac:dyDescent="0.35">
      <c r="A199" s="260"/>
      <c r="B199" s="260"/>
      <c r="C199" s="260"/>
      <c r="D199" s="260"/>
      <c r="E199" s="260"/>
      <c r="F199" s="260"/>
    </row>
    <row r="200" spans="1:6" s="274" customFormat="1" x14ac:dyDescent="0.35">
      <c r="A200" s="260"/>
      <c r="B200" s="260"/>
      <c r="C200" s="260"/>
      <c r="D200" s="260"/>
      <c r="E200" s="260"/>
      <c r="F200" s="260"/>
    </row>
    <row r="201" spans="1:6" s="274" customFormat="1" x14ac:dyDescent="0.35">
      <c r="A201" s="260"/>
      <c r="B201" s="260"/>
      <c r="C201" s="260"/>
      <c r="D201" s="260"/>
      <c r="E201" s="260"/>
      <c r="F201" s="260"/>
    </row>
    <row r="202" spans="1:6" s="274" customFormat="1" x14ac:dyDescent="0.35">
      <c r="A202" s="260"/>
      <c r="B202" s="260"/>
      <c r="C202" s="260"/>
      <c r="D202" s="260"/>
      <c r="E202" s="260"/>
      <c r="F202" s="260"/>
    </row>
    <row r="203" spans="1:6" s="274" customFormat="1" x14ac:dyDescent="0.35">
      <c r="A203" s="260"/>
      <c r="B203" s="260"/>
      <c r="C203" s="260"/>
      <c r="D203" s="260"/>
      <c r="E203" s="260"/>
      <c r="F203" s="260"/>
    </row>
    <row r="204" spans="1:6" s="274" customFormat="1" x14ac:dyDescent="0.35">
      <c r="A204" s="260"/>
      <c r="B204" s="260"/>
      <c r="C204" s="260"/>
      <c r="D204" s="260"/>
      <c r="E204" s="260"/>
      <c r="F204" s="260"/>
    </row>
    <row r="205" spans="1:6" s="274" customFormat="1" x14ac:dyDescent="0.35">
      <c r="A205" s="260"/>
      <c r="B205" s="260"/>
      <c r="C205" s="260"/>
      <c r="D205" s="260"/>
      <c r="E205" s="260"/>
      <c r="F205" s="260"/>
    </row>
    <row r="206" spans="1:6" s="274" customFormat="1" x14ac:dyDescent="0.35">
      <c r="A206" s="260"/>
      <c r="B206" s="260"/>
      <c r="C206" s="260"/>
      <c r="D206" s="260"/>
      <c r="E206" s="260"/>
      <c r="F206" s="260"/>
    </row>
    <row r="207" spans="1:6" s="274" customFormat="1" x14ac:dyDescent="0.35">
      <c r="A207" s="260"/>
      <c r="B207" s="260"/>
      <c r="C207" s="260"/>
      <c r="D207" s="260"/>
      <c r="E207" s="260"/>
      <c r="F207" s="260"/>
    </row>
    <row r="208" spans="1:6" s="274" customFormat="1" x14ac:dyDescent="0.35">
      <c r="A208" s="260"/>
      <c r="B208" s="260"/>
      <c r="C208" s="260"/>
      <c r="D208" s="260"/>
      <c r="E208" s="260"/>
      <c r="F208" s="260"/>
    </row>
    <row r="209" spans="1:6" s="274" customFormat="1" x14ac:dyDescent="0.35">
      <c r="A209" s="260"/>
      <c r="B209" s="260"/>
      <c r="C209" s="260"/>
      <c r="D209" s="260"/>
      <c r="E209" s="260"/>
      <c r="F209" s="260"/>
    </row>
    <row r="210" spans="1:6" s="274" customFormat="1" x14ac:dyDescent="0.35">
      <c r="A210" s="260"/>
      <c r="B210" s="260"/>
      <c r="C210" s="260"/>
      <c r="D210" s="260"/>
      <c r="E210" s="260"/>
      <c r="F210" s="260"/>
    </row>
    <row r="211" spans="1:6" s="274" customFormat="1" x14ac:dyDescent="0.35">
      <c r="A211" s="260"/>
      <c r="B211" s="260"/>
      <c r="C211" s="260"/>
      <c r="D211" s="260"/>
      <c r="E211" s="260"/>
      <c r="F211" s="260"/>
    </row>
    <row r="212" spans="1:6" s="274" customFormat="1" x14ac:dyDescent="0.35">
      <c r="A212" s="260"/>
      <c r="B212" s="260"/>
      <c r="C212" s="260"/>
      <c r="D212" s="260"/>
      <c r="E212" s="260"/>
      <c r="F212" s="260"/>
    </row>
    <row r="213" spans="1:6" s="274" customFormat="1" x14ac:dyDescent="0.35">
      <c r="A213" s="260"/>
      <c r="B213" s="260"/>
      <c r="C213" s="260"/>
      <c r="D213" s="260"/>
      <c r="E213" s="260"/>
      <c r="F213" s="260"/>
    </row>
    <row r="214" spans="1:6" s="274" customFormat="1" x14ac:dyDescent="0.35">
      <c r="A214" s="260"/>
      <c r="B214" s="260"/>
      <c r="C214" s="260"/>
      <c r="D214" s="260"/>
      <c r="E214" s="260"/>
      <c r="F214" s="260"/>
    </row>
    <row r="215" spans="1:6" s="274" customFormat="1" x14ac:dyDescent="0.35">
      <c r="A215" s="260"/>
      <c r="B215" s="260"/>
      <c r="C215" s="260"/>
      <c r="D215" s="260"/>
      <c r="E215" s="260"/>
      <c r="F215" s="260"/>
    </row>
    <row r="216" spans="1:6" s="274" customFormat="1" x14ac:dyDescent="0.35">
      <c r="A216" s="260"/>
      <c r="B216" s="260"/>
      <c r="C216" s="260"/>
      <c r="D216" s="260"/>
      <c r="E216" s="260"/>
      <c r="F216" s="260"/>
    </row>
    <row r="217" spans="1:6" s="274" customFormat="1" x14ac:dyDescent="0.35">
      <c r="A217" s="260"/>
      <c r="B217" s="260"/>
      <c r="C217" s="260"/>
      <c r="D217" s="260"/>
      <c r="E217" s="260"/>
      <c r="F217" s="260"/>
    </row>
    <row r="218" spans="1:6" s="274" customFormat="1" x14ac:dyDescent="0.35">
      <c r="A218" s="260"/>
      <c r="B218" s="260"/>
      <c r="C218" s="260"/>
      <c r="D218" s="260"/>
      <c r="E218" s="260"/>
      <c r="F218" s="260"/>
    </row>
    <row r="219" spans="1:6" s="274" customFormat="1" x14ac:dyDescent="0.35">
      <c r="A219" s="260"/>
      <c r="B219" s="260"/>
      <c r="C219" s="260"/>
      <c r="D219" s="260"/>
      <c r="E219" s="260"/>
      <c r="F219" s="260"/>
    </row>
    <row r="220" spans="1:6" s="274" customFormat="1" x14ac:dyDescent="0.35">
      <c r="A220" s="260"/>
      <c r="B220" s="260"/>
      <c r="C220" s="260"/>
      <c r="D220" s="260"/>
      <c r="E220" s="260"/>
      <c r="F220" s="260"/>
    </row>
    <row r="221" spans="1:6" s="274" customFormat="1" x14ac:dyDescent="0.35">
      <c r="A221" s="260"/>
      <c r="B221" s="260"/>
      <c r="C221" s="260"/>
      <c r="D221" s="260"/>
      <c r="E221" s="260"/>
      <c r="F221" s="260"/>
    </row>
    <row r="222" spans="1:6" s="274" customFormat="1" x14ac:dyDescent="0.35">
      <c r="A222" s="260"/>
      <c r="B222" s="260"/>
      <c r="C222" s="260"/>
      <c r="D222" s="260"/>
      <c r="E222" s="260"/>
      <c r="F222" s="260"/>
    </row>
    <row r="223" spans="1:6" s="274" customFormat="1" x14ac:dyDescent="0.35">
      <c r="A223" s="260"/>
      <c r="B223" s="260"/>
      <c r="C223" s="260"/>
      <c r="D223" s="260"/>
      <c r="E223" s="260"/>
      <c r="F223" s="260"/>
    </row>
    <row r="224" spans="1:6" s="274" customFormat="1" x14ac:dyDescent="0.35">
      <c r="A224" s="260"/>
      <c r="B224" s="260"/>
      <c r="C224" s="260"/>
      <c r="D224" s="260"/>
      <c r="E224" s="260"/>
      <c r="F224" s="260"/>
    </row>
    <row r="225" spans="1:6" s="274" customFormat="1" x14ac:dyDescent="0.35">
      <c r="A225" s="260"/>
      <c r="B225" s="260"/>
      <c r="C225" s="260"/>
      <c r="D225" s="260"/>
      <c r="E225" s="260"/>
      <c r="F225" s="260"/>
    </row>
    <row r="226" spans="1:6" s="274" customFormat="1" x14ac:dyDescent="0.35">
      <c r="A226" s="260"/>
      <c r="B226" s="260"/>
      <c r="C226" s="260"/>
      <c r="D226" s="260"/>
      <c r="E226" s="260"/>
      <c r="F226" s="260"/>
    </row>
    <row r="227" spans="1:6" s="274" customFormat="1" x14ac:dyDescent="0.35">
      <c r="A227" s="260"/>
      <c r="B227" s="260"/>
      <c r="C227" s="260"/>
      <c r="D227" s="260"/>
      <c r="E227" s="260"/>
      <c r="F227" s="260"/>
    </row>
    <row r="228" spans="1:6" s="274" customFormat="1" x14ac:dyDescent="0.35">
      <c r="A228" s="260"/>
      <c r="B228" s="260"/>
      <c r="C228" s="260"/>
      <c r="D228" s="260"/>
      <c r="E228" s="260"/>
      <c r="F228" s="260"/>
    </row>
    <row r="229" spans="1:6" s="274" customFormat="1" x14ac:dyDescent="0.35">
      <c r="A229" s="260"/>
      <c r="B229" s="260"/>
      <c r="C229" s="260"/>
      <c r="D229" s="260"/>
      <c r="E229" s="260"/>
      <c r="F229" s="260"/>
    </row>
    <row r="230" spans="1:6" s="274" customFormat="1" x14ac:dyDescent="0.35">
      <c r="A230" s="260"/>
      <c r="B230" s="260"/>
      <c r="C230" s="260"/>
      <c r="D230" s="260"/>
      <c r="E230" s="260"/>
      <c r="F230" s="260"/>
    </row>
    <row r="231" spans="1:6" s="274" customFormat="1" x14ac:dyDescent="0.35">
      <c r="A231" s="260"/>
      <c r="B231" s="260"/>
      <c r="C231" s="260"/>
      <c r="D231" s="260"/>
      <c r="E231" s="260"/>
      <c r="F231" s="260"/>
    </row>
    <row r="232" spans="1:6" s="274" customFormat="1" x14ac:dyDescent="0.35">
      <c r="A232" s="260"/>
      <c r="B232" s="260"/>
      <c r="C232" s="260"/>
      <c r="D232" s="260"/>
      <c r="E232" s="260"/>
      <c r="F232" s="260"/>
    </row>
    <row r="233" spans="1:6" s="274" customFormat="1" x14ac:dyDescent="0.35">
      <c r="A233" s="260"/>
      <c r="B233" s="260"/>
      <c r="C233" s="260"/>
      <c r="D233" s="260"/>
      <c r="E233" s="260"/>
      <c r="F233" s="260"/>
    </row>
    <row r="234" spans="1:6" s="274" customFormat="1" x14ac:dyDescent="0.35">
      <c r="A234" s="260"/>
      <c r="B234" s="260"/>
      <c r="C234" s="260"/>
      <c r="D234" s="260"/>
      <c r="E234" s="260"/>
      <c r="F234" s="260"/>
    </row>
    <row r="235" spans="1:6" s="274" customFormat="1" x14ac:dyDescent="0.35">
      <c r="A235" s="260"/>
      <c r="B235" s="260"/>
      <c r="C235" s="260"/>
      <c r="D235" s="260"/>
      <c r="E235" s="260"/>
      <c r="F235" s="260"/>
    </row>
    <row r="236" spans="1:6" s="274" customFormat="1" x14ac:dyDescent="0.35">
      <c r="A236" s="260"/>
      <c r="B236" s="260"/>
      <c r="C236" s="260"/>
      <c r="D236" s="260"/>
      <c r="E236" s="260"/>
      <c r="F236" s="260"/>
    </row>
    <row r="237" spans="1:6" s="274" customFormat="1" x14ac:dyDescent="0.35">
      <c r="A237" s="260"/>
      <c r="B237" s="260"/>
      <c r="C237" s="260"/>
      <c r="D237" s="260"/>
      <c r="E237" s="260"/>
      <c r="F237" s="260"/>
    </row>
    <row r="238" spans="1:6" s="274" customFormat="1" x14ac:dyDescent="0.35">
      <c r="A238" s="260"/>
      <c r="B238" s="260"/>
      <c r="C238" s="260"/>
      <c r="D238" s="260"/>
      <c r="E238" s="260"/>
      <c r="F238" s="260"/>
    </row>
    <row r="239" spans="1:6" s="274" customFormat="1" x14ac:dyDescent="0.35">
      <c r="A239" s="260"/>
      <c r="B239" s="260"/>
      <c r="C239" s="260"/>
      <c r="D239" s="260"/>
      <c r="E239" s="260"/>
      <c r="F239" s="260"/>
    </row>
    <row r="240" spans="1:6" s="274" customFormat="1" x14ac:dyDescent="0.35">
      <c r="A240" s="260"/>
      <c r="B240" s="260"/>
      <c r="C240" s="260"/>
      <c r="D240" s="260"/>
      <c r="E240" s="260"/>
      <c r="F240" s="260"/>
    </row>
    <row r="241" spans="1:6" s="274" customFormat="1" x14ac:dyDescent="0.35">
      <c r="A241" s="260"/>
      <c r="B241" s="260"/>
      <c r="C241" s="260"/>
      <c r="D241" s="260"/>
      <c r="E241" s="260"/>
      <c r="F241" s="260"/>
    </row>
    <row r="242" spans="1:6" s="274" customFormat="1" x14ac:dyDescent="0.35">
      <c r="A242" s="260"/>
      <c r="B242" s="260"/>
      <c r="C242" s="260"/>
      <c r="D242" s="260"/>
      <c r="E242" s="260"/>
      <c r="F242" s="260"/>
    </row>
    <row r="243" spans="1:6" s="274" customFormat="1" x14ac:dyDescent="0.35">
      <c r="A243" s="260"/>
      <c r="B243" s="260"/>
      <c r="C243" s="260"/>
      <c r="D243" s="260"/>
      <c r="E243" s="260"/>
      <c r="F243" s="260"/>
    </row>
    <row r="244" spans="1:6" s="274" customFormat="1" x14ac:dyDescent="0.35">
      <c r="A244" s="260"/>
      <c r="B244" s="260"/>
      <c r="C244" s="260"/>
      <c r="D244" s="260"/>
      <c r="E244" s="260"/>
      <c r="F244" s="260"/>
    </row>
    <row r="245" spans="1:6" s="274" customFormat="1" x14ac:dyDescent="0.35">
      <c r="A245" s="260"/>
      <c r="B245" s="260"/>
      <c r="C245" s="260"/>
      <c r="D245" s="260"/>
      <c r="E245" s="260"/>
      <c r="F245" s="260"/>
    </row>
    <row r="246" spans="1:6" s="274" customFormat="1" x14ac:dyDescent="0.35">
      <c r="A246" s="260"/>
      <c r="B246" s="260"/>
      <c r="C246" s="260"/>
      <c r="D246" s="260"/>
      <c r="E246" s="260"/>
      <c r="F246" s="260"/>
    </row>
    <row r="247" spans="1:6" s="274" customFormat="1" x14ac:dyDescent="0.35">
      <c r="A247" s="260"/>
      <c r="B247" s="260"/>
      <c r="C247" s="260"/>
      <c r="D247" s="260"/>
      <c r="E247" s="260"/>
      <c r="F247" s="260"/>
    </row>
    <row r="248" spans="1:6" s="274" customFormat="1" x14ac:dyDescent="0.35">
      <c r="A248" s="260"/>
      <c r="B248" s="260"/>
      <c r="C248" s="260"/>
      <c r="D248" s="260"/>
      <c r="E248" s="260"/>
      <c r="F248" s="260"/>
    </row>
    <row r="249" spans="1:6" s="274" customFormat="1" x14ac:dyDescent="0.35">
      <c r="A249" s="260"/>
      <c r="B249" s="260"/>
      <c r="C249" s="260"/>
      <c r="D249" s="260"/>
      <c r="E249" s="260"/>
      <c r="F249" s="260"/>
    </row>
    <row r="250" spans="1:6" s="274" customFormat="1" x14ac:dyDescent="0.35">
      <c r="A250" s="260"/>
      <c r="B250" s="260"/>
      <c r="C250" s="260"/>
      <c r="D250" s="260"/>
      <c r="E250" s="260"/>
      <c r="F250" s="260"/>
    </row>
    <row r="251" spans="1:6" s="274" customFormat="1" x14ac:dyDescent="0.35">
      <c r="A251" s="260"/>
      <c r="B251" s="260"/>
      <c r="C251" s="260"/>
      <c r="D251" s="260"/>
      <c r="E251" s="260"/>
      <c r="F251" s="260"/>
    </row>
    <row r="252" spans="1:6" s="274" customFormat="1" x14ac:dyDescent="0.35">
      <c r="A252" s="260"/>
      <c r="B252" s="260"/>
      <c r="C252" s="260"/>
      <c r="D252" s="260"/>
      <c r="E252" s="260"/>
      <c r="F252" s="260"/>
    </row>
    <row r="253" spans="1:6" s="274" customFormat="1" x14ac:dyDescent="0.35">
      <c r="A253" s="260"/>
      <c r="B253" s="260"/>
      <c r="C253" s="260"/>
      <c r="D253" s="260"/>
      <c r="E253" s="260"/>
      <c r="F253" s="260"/>
    </row>
    <row r="254" spans="1:6" s="274" customFormat="1" x14ac:dyDescent="0.35">
      <c r="A254" s="260"/>
      <c r="B254" s="260"/>
      <c r="C254" s="260"/>
      <c r="D254" s="260"/>
      <c r="E254" s="260"/>
      <c r="F254" s="260"/>
    </row>
    <row r="255" spans="1:6" s="274" customFormat="1" x14ac:dyDescent="0.35">
      <c r="A255" s="260"/>
      <c r="B255" s="260"/>
      <c r="C255" s="260"/>
      <c r="D255" s="260"/>
      <c r="E255" s="260"/>
      <c r="F255" s="260"/>
    </row>
    <row r="256" spans="1:6" s="274" customFormat="1" x14ac:dyDescent="0.35">
      <c r="A256" s="260"/>
      <c r="B256" s="260"/>
      <c r="C256" s="260"/>
      <c r="D256" s="260"/>
      <c r="E256" s="260"/>
      <c r="F256" s="260"/>
    </row>
    <row r="257" spans="1:6" s="274" customFormat="1" x14ac:dyDescent="0.35">
      <c r="A257" s="260"/>
      <c r="B257" s="260"/>
      <c r="C257" s="260"/>
      <c r="D257" s="260"/>
      <c r="E257" s="260"/>
      <c r="F257" s="260"/>
    </row>
    <row r="258" spans="1:6" s="274" customFormat="1" x14ac:dyDescent="0.35">
      <c r="A258" s="260"/>
      <c r="B258" s="260"/>
      <c r="C258" s="260"/>
      <c r="D258" s="260"/>
      <c r="E258" s="260"/>
      <c r="F258" s="260"/>
    </row>
    <row r="259" spans="1:6" s="274" customFormat="1" x14ac:dyDescent="0.35">
      <c r="A259" s="260"/>
      <c r="B259" s="260"/>
      <c r="C259" s="260"/>
      <c r="D259" s="260"/>
      <c r="E259" s="260"/>
      <c r="F259" s="260"/>
    </row>
    <row r="260" spans="1:6" s="274" customFormat="1" x14ac:dyDescent="0.35">
      <c r="A260" s="260"/>
      <c r="B260" s="260"/>
      <c r="C260" s="260"/>
      <c r="D260" s="260"/>
      <c r="E260" s="260"/>
      <c r="F260" s="260"/>
    </row>
    <row r="261" spans="1:6" s="274" customFormat="1" x14ac:dyDescent="0.35">
      <c r="A261" s="260"/>
      <c r="B261" s="260"/>
      <c r="C261" s="260"/>
      <c r="D261" s="260"/>
      <c r="E261" s="260"/>
      <c r="F261" s="260"/>
    </row>
    <row r="262" spans="1:6" s="274" customFormat="1" x14ac:dyDescent="0.35">
      <c r="A262" s="260"/>
      <c r="B262" s="260"/>
      <c r="C262" s="260"/>
      <c r="D262" s="260"/>
      <c r="E262" s="260"/>
      <c r="F262" s="260"/>
    </row>
    <row r="263" spans="1:6" s="274" customFormat="1" x14ac:dyDescent="0.35">
      <c r="A263" s="260"/>
      <c r="B263" s="260"/>
      <c r="C263" s="260"/>
      <c r="D263" s="260"/>
      <c r="E263" s="260"/>
      <c r="F263" s="260"/>
    </row>
    <row r="264" spans="1:6" s="274" customFormat="1" x14ac:dyDescent="0.35">
      <c r="A264" s="260"/>
      <c r="B264" s="260"/>
      <c r="C264" s="260"/>
      <c r="D264" s="260"/>
      <c r="E264" s="260"/>
      <c r="F264" s="260"/>
    </row>
    <row r="265" spans="1:6" s="274" customFormat="1" x14ac:dyDescent="0.35">
      <c r="A265" s="260"/>
      <c r="B265" s="260"/>
      <c r="C265" s="260"/>
      <c r="D265" s="260"/>
      <c r="E265" s="260"/>
      <c r="F265" s="260"/>
    </row>
    <row r="266" spans="1:6" s="274" customFormat="1" x14ac:dyDescent="0.35">
      <c r="A266" s="260"/>
      <c r="B266" s="260"/>
      <c r="C266" s="260"/>
      <c r="D266" s="260"/>
      <c r="E266" s="260"/>
      <c r="F266" s="260"/>
    </row>
    <row r="267" spans="1:6" s="274" customFormat="1" x14ac:dyDescent="0.35">
      <c r="A267" s="260"/>
      <c r="B267" s="260"/>
      <c r="C267" s="260"/>
      <c r="D267" s="260"/>
      <c r="E267" s="260"/>
      <c r="F267" s="260"/>
    </row>
    <row r="268" spans="1:6" s="274" customFormat="1" x14ac:dyDescent="0.35">
      <c r="A268" s="260"/>
      <c r="B268" s="260"/>
      <c r="C268" s="260"/>
      <c r="D268" s="260"/>
      <c r="E268" s="260"/>
      <c r="F268" s="260"/>
    </row>
    <row r="269" spans="1:6" s="274" customFormat="1" x14ac:dyDescent="0.35">
      <c r="A269" s="260"/>
      <c r="B269" s="260"/>
      <c r="C269" s="260"/>
      <c r="D269" s="260"/>
      <c r="E269" s="260"/>
      <c r="F269" s="260"/>
    </row>
    <row r="270" spans="1:6" s="274" customFormat="1" x14ac:dyDescent="0.35">
      <c r="A270" s="260"/>
      <c r="B270" s="260"/>
      <c r="C270" s="260"/>
      <c r="D270" s="260"/>
      <c r="E270" s="260"/>
      <c r="F270" s="260"/>
    </row>
    <row r="271" spans="1:6" s="274" customFormat="1" x14ac:dyDescent="0.35">
      <c r="A271" s="260"/>
      <c r="B271" s="260"/>
      <c r="C271" s="260"/>
      <c r="D271" s="260"/>
      <c r="E271" s="260"/>
      <c r="F271" s="260"/>
    </row>
    <row r="272" spans="1:6" s="274" customFormat="1" x14ac:dyDescent="0.35">
      <c r="A272" s="260"/>
      <c r="B272" s="260"/>
      <c r="C272" s="260"/>
      <c r="D272" s="260"/>
      <c r="E272" s="260"/>
      <c r="F272" s="260"/>
    </row>
    <row r="273" spans="1:29" s="274" customFormat="1" x14ac:dyDescent="0.35">
      <c r="A273" s="260"/>
      <c r="B273" s="260"/>
      <c r="C273" s="260"/>
      <c r="D273" s="260"/>
      <c r="E273" s="260"/>
      <c r="F273" s="260"/>
    </row>
    <row r="274" spans="1:29" s="274" customFormat="1" x14ac:dyDescent="0.35">
      <c r="A274" s="260"/>
      <c r="B274" s="260"/>
      <c r="C274" s="260"/>
      <c r="D274" s="260"/>
      <c r="E274" s="260"/>
      <c r="F274" s="260"/>
    </row>
    <row r="275" spans="1:29" s="274" customFormat="1" x14ac:dyDescent="0.35">
      <c r="A275" s="260"/>
      <c r="B275" s="260"/>
      <c r="C275" s="260"/>
      <c r="D275" s="260"/>
      <c r="E275" s="260"/>
      <c r="F275" s="260"/>
    </row>
    <row r="276" spans="1:29" s="274" customFormat="1" x14ac:dyDescent="0.35">
      <c r="A276" s="260"/>
      <c r="B276" s="260"/>
      <c r="C276" s="260"/>
      <c r="D276" s="260"/>
      <c r="E276" s="260"/>
      <c r="F276" s="260"/>
    </row>
    <row r="277" spans="1:29" s="274" customFormat="1" x14ac:dyDescent="0.35">
      <c r="A277" s="260"/>
      <c r="B277" s="260"/>
      <c r="C277" s="260"/>
      <c r="D277" s="260"/>
      <c r="E277" s="260"/>
      <c r="F277" s="260"/>
    </row>
    <row r="278" spans="1:29" s="274" customFormat="1" x14ac:dyDescent="0.35">
      <c r="A278" s="260"/>
      <c r="B278" s="260"/>
      <c r="C278" s="260"/>
      <c r="D278" s="260"/>
      <c r="E278" s="260"/>
      <c r="F278" s="260"/>
    </row>
    <row r="279" spans="1:29" s="274" customFormat="1" x14ac:dyDescent="0.35">
      <c r="A279" s="260"/>
      <c r="B279" s="260"/>
      <c r="C279" s="260"/>
      <c r="D279" s="260"/>
      <c r="E279" s="260"/>
      <c r="F279" s="260"/>
    </row>
    <row r="280" spans="1:29" s="274" customFormat="1" x14ac:dyDescent="0.35">
      <c r="A280" s="260"/>
      <c r="B280" s="260"/>
      <c r="C280" s="260"/>
      <c r="D280" s="260"/>
      <c r="E280" s="260"/>
      <c r="F280" s="260"/>
    </row>
    <row r="281" spans="1:29" s="274" customFormat="1" x14ac:dyDescent="0.35">
      <c r="A281" s="260"/>
      <c r="B281" s="260"/>
      <c r="C281" s="260"/>
      <c r="D281" s="260"/>
      <c r="E281" s="260"/>
      <c r="F281" s="260"/>
    </row>
    <row r="282" spans="1:29" s="274" customFormat="1" x14ac:dyDescent="0.35">
      <c r="A282" s="260"/>
      <c r="B282" s="260"/>
      <c r="C282" s="260"/>
      <c r="D282" s="260"/>
      <c r="E282" s="260"/>
      <c r="F282" s="260"/>
    </row>
    <row r="283" spans="1:29" x14ac:dyDescent="0.35">
      <c r="I283" s="260"/>
      <c r="J283" s="260"/>
      <c r="K283" s="260"/>
      <c r="L283" s="260"/>
      <c r="M283" s="260"/>
      <c r="N283" s="260"/>
      <c r="O283" s="260"/>
      <c r="P283" s="260"/>
      <c r="Q283" s="260"/>
      <c r="R283" s="260"/>
      <c r="S283" s="260"/>
      <c r="T283" s="260"/>
      <c r="U283" s="260"/>
      <c r="V283" s="260"/>
      <c r="W283" s="260"/>
      <c r="X283" s="260"/>
      <c r="Y283" s="260"/>
      <c r="Z283" s="260"/>
      <c r="AA283" s="260"/>
      <c r="AC283" s="260"/>
    </row>
    <row r="284" spans="1:29" x14ac:dyDescent="0.35">
      <c r="I284" s="260"/>
      <c r="J284" s="260"/>
      <c r="K284" s="260"/>
      <c r="L284" s="260"/>
      <c r="M284" s="260"/>
      <c r="N284" s="260"/>
      <c r="O284" s="260"/>
      <c r="P284" s="260"/>
      <c r="Q284" s="260"/>
      <c r="R284" s="260"/>
      <c r="S284" s="260"/>
      <c r="T284" s="260"/>
      <c r="U284" s="260"/>
      <c r="V284" s="260"/>
      <c r="W284" s="260"/>
      <c r="X284" s="260"/>
      <c r="Y284" s="260"/>
      <c r="Z284" s="260"/>
      <c r="AA284" s="260"/>
      <c r="AC284" s="260"/>
    </row>
    <row r="285" spans="1:29" x14ac:dyDescent="0.35"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260"/>
      <c r="X285" s="260"/>
      <c r="Y285" s="260"/>
      <c r="Z285" s="260"/>
      <c r="AA285" s="260"/>
      <c r="AC285" s="260"/>
    </row>
    <row r="286" spans="1:29" x14ac:dyDescent="0.35">
      <c r="I286" s="260"/>
      <c r="J286" s="260"/>
      <c r="K286" s="260"/>
      <c r="L286" s="260"/>
      <c r="M286" s="260"/>
      <c r="N286" s="260"/>
      <c r="O286" s="260"/>
      <c r="P286" s="260"/>
      <c r="Q286" s="260"/>
      <c r="R286" s="260"/>
      <c r="S286" s="260"/>
      <c r="T286" s="260"/>
      <c r="U286" s="260"/>
      <c r="V286" s="260"/>
      <c r="W286" s="260"/>
      <c r="X286" s="260"/>
      <c r="Y286" s="260"/>
      <c r="Z286" s="260"/>
      <c r="AA286" s="260"/>
      <c r="AC286" s="260"/>
    </row>
    <row r="287" spans="1:29" x14ac:dyDescent="0.35"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260"/>
      <c r="X287" s="260"/>
      <c r="Y287" s="260"/>
      <c r="Z287" s="260"/>
      <c r="AA287" s="260"/>
      <c r="AC287" s="260"/>
    </row>
    <row r="288" spans="1:29" x14ac:dyDescent="0.35">
      <c r="I288" s="260"/>
      <c r="J288" s="260"/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260"/>
      <c r="X288" s="260"/>
      <c r="Y288" s="260"/>
      <c r="Z288" s="260"/>
      <c r="AA288" s="260"/>
      <c r="AC288" s="260"/>
    </row>
    <row r="289" s="260" customFormat="1" x14ac:dyDescent="0.35"/>
    <row r="290" s="260" customFormat="1" x14ac:dyDescent="0.35"/>
    <row r="291" s="260" customFormat="1" x14ac:dyDescent="0.35"/>
    <row r="292" s="260" customFormat="1" x14ac:dyDescent="0.35"/>
    <row r="293" s="260" customFormat="1" x14ac:dyDescent="0.35"/>
    <row r="294" s="260" customFormat="1" x14ac:dyDescent="0.35"/>
    <row r="295" s="260" customFormat="1" x14ac:dyDescent="0.35"/>
    <row r="296" s="260" customFormat="1" x14ac:dyDescent="0.35"/>
    <row r="297" s="260" customFormat="1" x14ac:dyDescent="0.35"/>
    <row r="298" s="260" customFormat="1" x14ac:dyDescent="0.35"/>
    <row r="299" s="260" customFormat="1" x14ac:dyDescent="0.35"/>
    <row r="300" s="260" customFormat="1" x14ac:dyDescent="0.35"/>
    <row r="301" s="260" customFormat="1" x14ac:dyDescent="0.35"/>
    <row r="302" s="260" customFormat="1" x14ac:dyDescent="0.35"/>
    <row r="303" s="260" customFormat="1" x14ac:dyDescent="0.35"/>
    <row r="304" s="260" customFormat="1" x14ac:dyDescent="0.35"/>
    <row r="305" s="260" customFormat="1" x14ac:dyDescent="0.35"/>
    <row r="306" s="260" customFormat="1" x14ac:dyDescent="0.35"/>
    <row r="307" s="260" customFormat="1" x14ac:dyDescent="0.35"/>
    <row r="308" s="260" customFormat="1" x14ac:dyDescent="0.35"/>
    <row r="309" s="260" customFormat="1" x14ac:dyDescent="0.35"/>
    <row r="310" s="260" customFormat="1" x14ac:dyDescent="0.35"/>
    <row r="311" s="260" customFormat="1" x14ac:dyDescent="0.35"/>
    <row r="312" s="260" customFormat="1" x14ac:dyDescent="0.35"/>
    <row r="313" s="260" customFormat="1" x14ac:dyDescent="0.35"/>
    <row r="314" s="260" customFormat="1" x14ac:dyDescent="0.35"/>
    <row r="315" s="260" customFormat="1" x14ac:dyDescent="0.35"/>
    <row r="316" s="260" customFormat="1" x14ac:dyDescent="0.35"/>
    <row r="317" s="260" customFormat="1" x14ac:dyDescent="0.35"/>
    <row r="318" s="260" customFormat="1" x14ac:dyDescent="0.35"/>
    <row r="319" s="260" customFormat="1" x14ac:dyDescent="0.35"/>
    <row r="320" s="260" customFormat="1" x14ac:dyDescent="0.35"/>
    <row r="321" s="260" customFormat="1" x14ac:dyDescent="0.35"/>
    <row r="322" s="260" customFormat="1" x14ac:dyDescent="0.35"/>
    <row r="323" s="260" customFormat="1" x14ac:dyDescent="0.35"/>
    <row r="324" s="260" customFormat="1" x14ac:dyDescent="0.35"/>
    <row r="325" s="260" customFormat="1" x14ac:dyDescent="0.35"/>
    <row r="326" s="260" customFormat="1" x14ac:dyDescent="0.35"/>
    <row r="327" s="260" customFormat="1" x14ac:dyDescent="0.35"/>
    <row r="328" s="260" customFormat="1" x14ac:dyDescent="0.35"/>
    <row r="329" s="260" customFormat="1" x14ac:dyDescent="0.35"/>
    <row r="330" s="260" customFormat="1" x14ac:dyDescent="0.35"/>
    <row r="331" s="260" customFormat="1" x14ac:dyDescent="0.35"/>
    <row r="332" s="260" customFormat="1" x14ac:dyDescent="0.35"/>
    <row r="333" s="260" customFormat="1" x14ac:dyDescent="0.35"/>
    <row r="334" s="260" customFormat="1" x14ac:dyDescent="0.35"/>
    <row r="335" s="260" customFormat="1" x14ac:dyDescent="0.35"/>
    <row r="336" s="260" customFormat="1" x14ac:dyDescent="0.35"/>
    <row r="337" s="260" customFormat="1" x14ac:dyDescent="0.35"/>
    <row r="338" s="260" customFormat="1" x14ac:dyDescent="0.35"/>
    <row r="339" s="260" customFormat="1" x14ac:dyDescent="0.35"/>
    <row r="340" s="260" customFormat="1" x14ac:dyDescent="0.35"/>
    <row r="341" s="260" customFormat="1" x14ac:dyDescent="0.35"/>
    <row r="342" s="260" customFormat="1" x14ac:dyDescent="0.35"/>
    <row r="343" s="260" customFormat="1" x14ac:dyDescent="0.35"/>
    <row r="344" s="260" customFormat="1" x14ac:dyDescent="0.35"/>
    <row r="345" s="260" customFormat="1" x14ac:dyDescent="0.35"/>
    <row r="346" s="260" customFormat="1" x14ac:dyDescent="0.35"/>
    <row r="347" s="260" customFormat="1" x14ac:dyDescent="0.35"/>
    <row r="348" s="260" customFormat="1" x14ac:dyDescent="0.35"/>
    <row r="349" s="260" customFormat="1" x14ac:dyDescent="0.35"/>
    <row r="350" s="260" customFormat="1" x14ac:dyDescent="0.35"/>
    <row r="351" s="260" customFormat="1" x14ac:dyDescent="0.35"/>
    <row r="352" s="260" customFormat="1" x14ac:dyDescent="0.35"/>
    <row r="353" s="260" customFormat="1" x14ac:dyDescent="0.35"/>
    <row r="354" s="260" customFormat="1" x14ac:dyDescent="0.35"/>
    <row r="355" s="260" customFormat="1" x14ac:dyDescent="0.35"/>
    <row r="356" s="260" customFormat="1" x14ac:dyDescent="0.35"/>
    <row r="357" s="260" customFormat="1" x14ac:dyDescent="0.35"/>
    <row r="358" s="260" customFormat="1" x14ac:dyDescent="0.35"/>
    <row r="359" s="260" customFormat="1" x14ac:dyDescent="0.35"/>
    <row r="360" s="260" customFormat="1" x14ac:dyDescent="0.35"/>
    <row r="361" s="260" customFormat="1" x14ac:dyDescent="0.35"/>
    <row r="362" s="260" customFormat="1" x14ac:dyDescent="0.35"/>
    <row r="363" s="260" customFormat="1" x14ac:dyDescent="0.35"/>
    <row r="364" s="260" customFormat="1" x14ac:dyDescent="0.35"/>
    <row r="365" s="260" customFormat="1" x14ac:dyDescent="0.35"/>
    <row r="366" s="260" customFormat="1" x14ac:dyDescent="0.35"/>
    <row r="367" s="260" customFormat="1" x14ac:dyDescent="0.35"/>
    <row r="368" s="260" customFormat="1" x14ac:dyDescent="0.35"/>
    <row r="369" s="260" customFormat="1" x14ac:dyDescent="0.35"/>
    <row r="370" s="260" customFormat="1" x14ac:dyDescent="0.35"/>
    <row r="371" s="260" customFormat="1" x14ac:dyDescent="0.35"/>
    <row r="372" s="260" customFormat="1" x14ac:dyDescent="0.35"/>
    <row r="373" s="260" customFormat="1" x14ac:dyDescent="0.35"/>
    <row r="374" s="260" customFormat="1" x14ac:dyDescent="0.35"/>
    <row r="375" s="260" customFormat="1" x14ac:dyDescent="0.35"/>
    <row r="376" s="260" customFormat="1" x14ac:dyDescent="0.35"/>
    <row r="377" s="260" customFormat="1" x14ac:dyDescent="0.35"/>
    <row r="378" s="260" customFormat="1" x14ac:dyDescent="0.35"/>
    <row r="379" s="260" customFormat="1" x14ac:dyDescent="0.35"/>
    <row r="380" s="260" customFormat="1" x14ac:dyDescent="0.35"/>
    <row r="381" s="260" customFormat="1" x14ac:dyDescent="0.35"/>
    <row r="382" s="260" customFormat="1" x14ac:dyDescent="0.35"/>
    <row r="383" s="260" customFormat="1" x14ac:dyDescent="0.35"/>
    <row r="384" s="260" customFormat="1" x14ac:dyDescent="0.35"/>
    <row r="385" s="260" customFormat="1" x14ac:dyDescent="0.35"/>
    <row r="386" s="260" customFormat="1" x14ac:dyDescent="0.35"/>
    <row r="387" s="260" customFormat="1" x14ac:dyDescent="0.35"/>
    <row r="388" s="260" customFormat="1" x14ac:dyDescent="0.35"/>
    <row r="389" s="260" customFormat="1" x14ac:dyDescent="0.35"/>
    <row r="390" s="260" customFormat="1" x14ac:dyDescent="0.35"/>
    <row r="391" s="260" customFormat="1" x14ac:dyDescent="0.35"/>
    <row r="392" s="260" customFormat="1" x14ac:dyDescent="0.35"/>
    <row r="393" s="260" customFormat="1" x14ac:dyDescent="0.35"/>
    <row r="394" s="260" customFormat="1" x14ac:dyDescent="0.35"/>
    <row r="395" s="260" customFormat="1" x14ac:dyDescent="0.35"/>
    <row r="396" s="260" customFormat="1" x14ac:dyDescent="0.35"/>
    <row r="397" s="260" customFormat="1" x14ac:dyDescent="0.35"/>
    <row r="398" s="260" customFormat="1" x14ac:dyDescent="0.35"/>
    <row r="399" s="260" customFormat="1" x14ac:dyDescent="0.35"/>
    <row r="400" s="260" customFormat="1" x14ac:dyDescent="0.35"/>
    <row r="401" s="260" customFormat="1" x14ac:dyDescent="0.35"/>
    <row r="402" s="260" customFormat="1" x14ac:dyDescent="0.35"/>
    <row r="403" s="260" customFormat="1" x14ac:dyDescent="0.35"/>
    <row r="404" s="260" customFormat="1" x14ac:dyDescent="0.35"/>
    <row r="405" s="260" customFormat="1" x14ac:dyDescent="0.35"/>
    <row r="406" s="260" customFormat="1" x14ac:dyDescent="0.35"/>
    <row r="407" s="260" customFormat="1" x14ac:dyDescent="0.35"/>
    <row r="408" s="260" customFormat="1" x14ac:dyDescent="0.35"/>
    <row r="409" s="260" customFormat="1" x14ac:dyDescent="0.35"/>
    <row r="410" s="260" customFormat="1" x14ac:dyDescent="0.35"/>
    <row r="411" s="260" customFormat="1" x14ac:dyDescent="0.35"/>
    <row r="412" s="260" customFormat="1" x14ac:dyDescent="0.35"/>
    <row r="413" s="260" customFormat="1" x14ac:dyDescent="0.35"/>
    <row r="414" s="260" customFormat="1" x14ac:dyDescent="0.35"/>
    <row r="415" s="260" customFormat="1" x14ac:dyDescent="0.35"/>
    <row r="416" s="260" customFormat="1" x14ac:dyDescent="0.35"/>
    <row r="417" s="260" customFormat="1" x14ac:dyDescent="0.35"/>
    <row r="418" s="260" customFormat="1" x14ac:dyDescent="0.35"/>
    <row r="419" s="260" customFormat="1" x14ac:dyDescent="0.35"/>
    <row r="420" s="260" customFormat="1" x14ac:dyDescent="0.35"/>
    <row r="421" s="260" customFormat="1" x14ac:dyDescent="0.35"/>
    <row r="422" s="260" customFormat="1" x14ac:dyDescent="0.35"/>
    <row r="423" s="260" customFormat="1" x14ac:dyDescent="0.35"/>
    <row r="424" s="260" customFormat="1" x14ac:dyDescent="0.35"/>
    <row r="425" s="260" customFormat="1" x14ac:dyDescent="0.35"/>
    <row r="426" s="260" customFormat="1" x14ac:dyDescent="0.35"/>
    <row r="427" s="260" customFormat="1" x14ac:dyDescent="0.35"/>
    <row r="428" s="260" customFormat="1" x14ac:dyDescent="0.35"/>
    <row r="429" s="260" customFormat="1" x14ac:dyDescent="0.35"/>
    <row r="430" s="260" customFormat="1" x14ac:dyDescent="0.35"/>
    <row r="431" s="260" customFormat="1" x14ac:dyDescent="0.35"/>
    <row r="432" s="260" customFormat="1" x14ac:dyDescent="0.35"/>
    <row r="433" s="260" customFormat="1" x14ac:dyDescent="0.35"/>
    <row r="434" s="260" customFormat="1" x14ac:dyDescent="0.35"/>
    <row r="435" s="260" customFormat="1" x14ac:dyDescent="0.35"/>
    <row r="436" s="260" customFormat="1" x14ac:dyDescent="0.35"/>
    <row r="437" s="260" customFormat="1" x14ac:dyDescent="0.35"/>
    <row r="438" s="260" customFormat="1" x14ac:dyDescent="0.35"/>
    <row r="439" s="260" customFormat="1" x14ac:dyDescent="0.35"/>
    <row r="440" s="260" customFormat="1" x14ac:dyDescent="0.35"/>
    <row r="441" s="260" customFormat="1" x14ac:dyDescent="0.35"/>
    <row r="442" s="260" customFormat="1" x14ac:dyDescent="0.35"/>
    <row r="443" s="260" customFormat="1" x14ac:dyDescent="0.35"/>
    <row r="444" s="260" customFormat="1" x14ac:dyDescent="0.35"/>
    <row r="445" s="260" customFormat="1" x14ac:dyDescent="0.35"/>
    <row r="446" s="260" customFormat="1" x14ac:dyDescent="0.35"/>
    <row r="447" s="260" customFormat="1" x14ac:dyDescent="0.35"/>
    <row r="448" s="260" customFormat="1" x14ac:dyDescent="0.35"/>
    <row r="449" s="260" customFormat="1" x14ac:dyDescent="0.35"/>
    <row r="450" s="260" customFormat="1" x14ac:dyDescent="0.35"/>
    <row r="451" s="260" customFormat="1" x14ac:dyDescent="0.35"/>
    <row r="452" s="260" customFormat="1" x14ac:dyDescent="0.35"/>
    <row r="453" s="260" customFormat="1" x14ac:dyDescent="0.35"/>
    <row r="454" s="260" customFormat="1" x14ac:dyDescent="0.35"/>
    <row r="455" s="260" customFormat="1" x14ac:dyDescent="0.35"/>
    <row r="456" s="260" customFormat="1" x14ac:dyDescent="0.35"/>
    <row r="457" s="260" customFormat="1" x14ac:dyDescent="0.35"/>
    <row r="458" s="260" customFormat="1" x14ac:dyDescent="0.35"/>
    <row r="459" s="260" customFormat="1" x14ac:dyDescent="0.35"/>
    <row r="460" s="260" customFormat="1" x14ac:dyDescent="0.35"/>
    <row r="461" s="260" customFormat="1" x14ac:dyDescent="0.35"/>
    <row r="462" s="260" customFormat="1" x14ac:dyDescent="0.35"/>
    <row r="463" s="260" customFormat="1" x14ac:dyDescent="0.35"/>
    <row r="464" s="260" customFormat="1" x14ac:dyDescent="0.35"/>
    <row r="465" s="260" customFormat="1" x14ac:dyDescent="0.35"/>
    <row r="466" s="260" customFormat="1" x14ac:dyDescent="0.35"/>
    <row r="467" s="260" customFormat="1" x14ac:dyDescent="0.35"/>
    <row r="468" s="260" customFormat="1" x14ac:dyDescent="0.35"/>
    <row r="469" s="260" customFormat="1" x14ac:dyDescent="0.35"/>
    <row r="470" s="260" customFormat="1" x14ac:dyDescent="0.35"/>
    <row r="471" s="260" customFormat="1" x14ac:dyDescent="0.35"/>
    <row r="472" s="260" customFormat="1" x14ac:dyDescent="0.35"/>
    <row r="473" s="260" customFormat="1" x14ac:dyDescent="0.35"/>
    <row r="474" s="260" customFormat="1" x14ac:dyDescent="0.35"/>
    <row r="475" s="260" customFormat="1" x14ac:dyDescent="0.35"/>
    <row r="476" s="260" customFormat="1" x14ac:dyDescent="0.35"/>
    <row r="477" s="260" customFormat="1" x14ac:dyDescent="0.35"/>
    <row r="478" s="260" customFormat="1" x14ac:dyDescent="0.35"/>
    <row r="479" s="260" customFormat="1" x14ac:dyDescent="0.35"/>
    <row r="480" s="260" customFormat="1" x14ac:dyDescent="0.35"/>
    <row r="481" s="260" customFormat="1" x14ac:dyDescent="0.35"/>
    <row r="482" s="260" customFormat="1" x14ac:dyDescent="0.35"/>
    <row r="483" s="260" customFormat="1" x14ac:dyDescent="0.35"/>
    <row r="484" s="260" customFormat="1" x14ac:dyDescent="0.35"/>
    <row r="485" s="260" customFormat="1" x14ac:dyDescent="0.35"/>
    <row r="486" s="260" customFormat="1" x14ac:dyDescent="0.35"/>
    <row r="487" s="260" customFormat="1" x14ac:dyDescent="0.35"/>
    <row r="488" s="260" customFormat="1" x14ac:dyDescent="0.35"/>
    <row r="489" s="260" customFormat="1" x14ac:dyDescent="0.35"/>
    <row r="490" s="260" customFormat="1" x14ac:dyDescent="0.35"/>
    <row r="491" s="260" customFormat="1" x14ac:dyDescent="0.35"/>
    <row r="492" s="260" customFormat="1" x14ac:dyDescent="0.35"/>
    <row r="493" s="260" customFormat="1" x14ac:dyDescent="0.35"/>
    <row r="494" s="260" customFormat="1" x14ac:dyDescent="0.35"/>
    <row r="495" s="260" customFormat="1" x14ac:dyDescent="0.35"/>
    <row r="496" s="260" customFormat="1" x14ac:dyDescent="0.35"/>
    <row r="497" s="260" customFormat="1" x14ac:dyDescent="0.35"/>
    <row r="498" s="260" customFormat="1" x14ac:dyDescent="0.35"/>
    <row r="499" s="260" customFormat="1" x14ac:dyDescent="0.35"/>
    <row r="500" s="260" customFormat="1" x14ac:dyDescent="0.35"/>
    <row r="501" s="260" customFormat="1" x14ac:dyDescent="0.35"/>
    <row r="502" s="260" customFormat="1" x14ac:dyDescent="0.35"/>
    <row r="503" s="260" customFormat="1" x14ac:dyDescent="0.35"/>
    <row r="504" s="260" customFormat="1" x14ac:dyDescent="0.35"/>
    <row r="505" s="260" customFormat="1" x14ac:dyDescent="0.35"/>
    <row r="506" s="260" customFormat="1" x14ac:dyDescent="0.35"/>
    <row r="507" s="260" customFormat="1" x14ac:dyDescent="0.35"/>
    <row r="508" s="260" customFormat="1" x14ac:dyDescent="0.35"/>
    <row r="509" s="260" customFormat="1" x14ac:dyDescent="0.35"/>
    <row r="510" s="260" customFormat="1" x14ac:dyDescent="0.35"/>
    <row r="511" s="260" customFormat="1" x14ac:dyDescent="0.35"/>
    <row r="512" s="260" customFormat="1" x14ac:dyDescent="0.35"/>
    <row r="513" s="260" customFormat="1" x14ac:dyDescent="0.35"/>
    <row r="514" s="260" customFormat="1" x14ac:dyDescent="0.35"/>
    <row r="515" s="260" customFormat="1" x14ac:dyDescent="0.35"/>
    <row r="516" s="260" customFormat="1" x14ac:dyDescent="0.35"/>
    <row r="517" s="260" customFormat="1" x14ac:dyDescent="0.35"/>
    <row r="518" s="260" customFormat="1" x14ac:dyDescent="0.35"/>
    <row r="519" s="260" customFormat="1" x14ac:dyDescent="0.35"/>
    <row r="520" s="260" customFormat="1" x14ac:dyDescent="0.35"/>
    <row r="521" s="260" customFormat="1" x14ac:dyDescent="0.35"/>
    <row r="522" s="260" customFormat="1" x14ac:dyDescent="0.35"/>
    <row r="523" s="260" customFormat="1" x14ac:dyDescent="0.35"/>
    <row r="524" s="260" customFormat="1" x14ac:dyDescent="0.35"/>
    <row r="525" s="260" customFormat="1" x14ac:dyDescent="0.35"/>
    <row r="526" s="260" customFormat="1" x14ac:dyDescent="0.35"/>
    <row r="527" s="260" customFormat="1" x14ac:dyDescent="0.35"/>
    <row r="528" s="260" customFormat="1" x14ac:dyDescent="0.35"/>
    <row r="529" s="260" customFormat="1" x14ac:dyDescent="0.35"/>
    <row r="530" s="260" customFormat="1" x14ac:dyDescent="0.35"/>
    <row r="531" s="260" customFormat="1" x14ac:dyDescent="0.35"/>
    <row r="532" s="260" customFormat="1" x14ac:dyDescent="0.35"/>
    <row r="533" s="260" customFormat="1" x14ac:dyDescent="0.35"/>
    <row r="534" s="260" customFormat="1" x14ac:dyDescent="0.35"/>
    <row r="535" s="260" customFormat="1" x14ac:dyDescent="0.35"/>
    <row r="536" s="260" customFormat="1" x14ac:dyDescent="0.35"/>
    <row r="537" s="260" customFormat="1" x14ac:dyDescent="0.35"/>
    <row r="538" s="260" customFormat="1" x14ac:dyDescent="0.35"/>
    <row r="539" s="260" customFormat="1" x14ac:dyDescent="0.35"/>
    <row r="540" s="260" customFormat="1" x14ac:dyDescent="0.35"/>
    <row r="541" s="260" customFormat="1" x14ac:dyDescent="0.35"/>
    <row r="542" s="260" customFormat="1" x14ac:dyDescent="0.35"/>
    <row r="543" s="260" customFormat="1" x14ac:dyDescent="0.35"/>
    <row r="544" s="260" customFormat="1" x14ac:dyDescent="0.35"/>
    <row r="545" s="260" customFormat="1" x14ac:dyDescent="0.35"/>
    <row r="546" s="260" customFormat="1" x14ac:dyDescent="0.35"/>
    <row r="547" s="260" customFormat="1" x14ac:dyDescent="0.35"/>
    <row r="548" s="260" customFormat="1" x14ac:dyDescent="0.35"/>
    <row r="549" s="260" customFormat="1" x14ac:dyDescent="0.35"/>
    <row r="550" s="260" customFormat="1" x14ac:dyDescent="0.35"/>
    <row r="551" s="260" customFormat="1" x14ac:dyDescent="0.35"/>
    <row r="552" s="260" customFormat="1" x14ac:dyDescent="0.35"/>
    <row r="553" s="260" customFormat="1" x14ac:dyDescent="0.35"/>
    <row r="554" s="260" customFormat="1" x14ac:dyDescent="0.35"/>
    <row r="555" s="260" customFormat="1" x14ac:dyDescent="0.35"/>
    <row r="556" s="260" customFormat="1" x14ac:dyDescent="0.35"/>
    <row r="557" s="260" customFormat="1" x14ac:dyDescent="0.35"/>
    <row r="558" s="260" customFormat="1" x14ac:dyDescent="0.35"/>
    <row r="559" s="260" customFormat="1" x14ac:dyDescent="0.35"/>
    <row r="560" s="260" customFormat="1" x14ac:dyDescent="0.35"/>
    <row r="561" s="260" customFormat="1" x14ac:dyDescent="0.35"/>
    <row r="562" s="260" customFormat="1" x14ac:dyDescent="0.35"/>
    <row r="563" s="260" customFormat="1" x14ac:dyDescent="0.35"/>
    <row r="564" s="260" customFormat="1" x14ac:dyDescent="0.35"/>
    <row r="565" s="260" customFormat="1" x14ac:dyDescent="0.35"/>
    <row r="566" s="260" customFormat="1" x14ac:dyDescent="0.35"/>
    <row r="567" s="260" customFormat="1" x14ac:dyDescent="0.35"/>
    <row r="568" s="260" customFormat="1" x14ac:dyDescent="0.35"/>
    <row r="569" s="260" customFormat="1" x14ac:dyDescent="0.35"/>
    <row r="570" s="260" customFormat="1" x14ac:dyDescent="0.35"/>
    <row r="571" s="260" customFormat="1" x14ac:dyDescent="0.35"/>
    <row r="572" s="260" customFormat="1" x14ac:dyDescent="0.35"/>
    <row r="573" s="260" customFormat="1" x14ac:dyDescent="0.35"/>
    <row r="574" s="260" customFormat="1" x14ac:dyDescent="0.35"/>
    <row r="575" s="260" customFormat="1" x14ac:dyDescent="0.35"/>
    <row r="576" s="260" customFormat="1" x14ac:dyDescent="0.35"/>
    <row r="577" s="260" customFormat="1" x14ac:dyDescent="0.35"/>
    <row r="578" s="260" customFormat="1" x14ac:dyDescent="0.35"/>
    <row r="579" s="260" customFormat="1" x14ac:dyDescent="0.35"/>
    <row r="580" s="260" customFormat="1" x14ac:dyDescent="0.35"/>
    <row r="581" s="260" customFormat="1" x14ac:dyDescent="0.35"/>
    <row r="582" s="260" customFormat="1" x14ac:dyDescent="0.35"/>
    <row r="583" s="260" customFormat="1" x14ac:dyDescent="0.35"/>
    <row r="584" s="260" customFormat="1" x14ac:dyDescent="0.35"/>
    <row r="585" s="260" customFormat="1" x14ac:dyDescent="0.35"/>
    <row r="586" s="260" customFormat="1" x14ac:dyDescent="0.35"/>
    <row r="587" s="260" customFormat="1" x14ac:dyDescent="0.35"/>
    <row r="588" s="260" customFormat="1" x14ac:dyDescent="0.35"/>
    <row r="589" s="260" customFormat="1" x14ac:dyDescent="0.35"/>
    <row r="590" s="260" customFormat="1" x14ac:dyDescent="0.35"/>
    <row r="591" s="260" customFormat="1" x14ac:dyDescent="0.35"/>
    <row r="592" s="260" customFormat="1" x14ac:dyDescent="0.35"/>
    <row r="593" s="260" customFormat="1" x14ac:dyDescent="0.35"/>
    <row r="594" s="260" customFormat="1" x14ac:dyDescent="0.35"/>
    <row r="595" s="260" customFormat="1" x14ac:dyDescent="0.35"/>
    <row r="596" s="260" customFormat="1" x14ac:dyDescent="0.35"/>
    <row r="597" s="260" customFormat="1" x14ac:dyDescent="0.35"/>
    <row r="598" s="260" customFormat="1" x14ac:dyDescent="0.35"/>
    <row r="599" s="260" customFormat="1" x14ac:dyDescent="0.35"/>
    <row r="600" s="260" customFormat="1" x14ac:dyDescent="0.35"/>
    <row r="601" s="260" customFormat="1" x14ac:dyDescent="0.35"/>
    <row r="602" s="260" customFormat="1" x14ac:dyDescent="0.35"/>
    <row r="603" s="260" customFormat="1" x14ac:dyDescent="0.35"/>
    <row r="604" s="260" customFormat="1" x14ac:dyDescent="0.35"/>
    <row r="605" s="260" customFormat="1" x14ac:dyDescent="0.35"/>
    <row r="606" s="260" customFormat="1" x14ac:dyDescent="0.35"/>
    <row r="607" s="260" customFormat="1" x14ac:dyDescent="0.35"/>
    <row r="608" s="260" customFormat="1" x14ac:dyDescent="0.35"/>
    <row r="609" s="260" customFormat="1" x14ac:dyDescent="0.35"/>
    <row r="610" s="260" customFormat="1" x14ac:dyDescent="0.35"/>
    <row r="611" s="260" customFormat="1" x14ac:dyDescent="0.35"/>
    <row r="612" s="260" customFormat="1" x14ac:dyDescent="0.35"/>
    <row r="613" s="260" customFormat="1" x14ac:dyDescent="0.35"/>
    <row r="614" s="260" customFormat="1" x14ac:dyDescent="0.35"/>
    <row r="615" s="260" customFormat="1" x14ac:dyDescent="0.35"/>
    <row r="616" s="260" customFormat="1" x14ac:dyDescent="0.35"/>
    <row r="617" s="260" customFormat="1" x14ac:dyDescent="0.35"/>
    <row r="618" s="260" customFormat="1" x14ac:dyDescent="0.35"/>
    <row r="619" s="260" customFormat="1" x14ac:dyDescent="0.35"/>
    <row r="620" s="260" customFormat="1" x14ac:dyDescent="0.35"/>
    <row r="621" s="260" customFormat="1" x14ac:dyDescent="0.35"/>
    <row r="622" s="260" customFormat="1" x14ac:dyDescent="0.35"/>
    <row r="623" s="260" customFormat="1" x14ac:dyDescent="0.35"/>
    <row r="624" s="260" customFormat="1" x14ac:dyDescent="0.35"/>
    <row r="625" s="260" customFormat="1" x14ac:dyDescent="0.35"/>
    <row r="626" s="260" customFormat="1" x14ac:dyDescent="0.35"/>
    <row r="627" s="260" customFormat="1" x14ac:dyDescent="0.35"/>
    <row r="628" s="260" customFormat="1" x14ac:dyDescent="0.35"/>
    <row r="629" s="260" customFormat="1" x14ac:dyDescent="0.35"/>
    <row r="630" s="260" customFormat="1" x14ac:dyDescent="0.35"/>
    <row r="631" s="260" customFormat="1" x14ac:dyDescent="0.35"/>
    <row r="632" s="260" customFormat="1" x14ac:dyDescent="0.35"/>
    <row r="633" s="260" customFormat="1" x14ac:dyDescent="0.35"/>
    <row r="634" s="260" customFormat="1" x14ac:dyDescent="0.35"/>
    <row r="635" s="260" customFormat="1" x14ac:dyDescent="0.35"/>
    <row r="636" s="260" customFormat="1" x14ac:dyDescent="0.35"/>
    <row r="637" s="260" customFormat="1" x14ac:dyDescent="0.35"/>
    <row r="638" s="260" customFormat="1" x14ac:dyDescent="0.35"/>
    <row r="639" s="260" customFormat="1" x14ac:dyDescent="0.35"/>
    <row r="640" s="260" customFormat="1" x14ac:dyDescent="0.35"/>
    <row r="641" s="260" customFormat="1" x14ac:dyDescent="0.35"/>
    <row r="642" s="260" customFormat="1" x14ac:dyDescent="0.35"/>
    <row r="643" s="260" customFormat="1" x14ac:dyDescent="0.35"/>
    <row r="644" s="260" customFormat="1" x14ac:dyDescent="0.35"/>
    <row r="645" s="260" customFormat="1" x14ac:dyDescent="0.35"/>
    <row r="646" s="260" customFormat="1" x14ac:dyDescent="0.35"/>
    <row r="647" s="260" customFormat="1" x14ac:dyDescent="0.35"/>
    <row r="648" s="260" customFormat="1" x14ac:dyDescent="0.35"/>
    <row r="649" s="260" customFormat="1" x14ac:dyDescent="0.35"/>
    <row r="650" s="260" customFormat="1" x14ac:dyDescent="0.35"/>
    <row r="651" s="260" customFormat="1" x14ac:dyDescent="0.35"/>
    <row r="652" s="260" customFormat="1" x14ac:dyDescent="0.35"/>
    <row r="653" s="260" customFormat="1" x14ac:dyDescent="0.35"/>
    <row r="654" s="260" customFormat="1" x14ac:dyDescent="0.35"/>
    <row r="655" s="260" customFormat="1" x14ac:dyDescent="0.35"/>
    <row r="656" s="260" customFormat="1" x14ac:dyDescent="0.35"/>
    <row r="657" s="260" customFormat="1" x14ac:dyDescent="0.35"/>
    <row r="658" s="260" customFormat="1" x14ac:dyDescent="0.35"/>
    <row r="659" s="260" customFormat="1" x14ac:dyDescent="0.35"/>
    <row r="660" s="260" customFormat="1" x14ac:dyDescent="0.35"/>
    <row r="661" s="260" customFormat="1" x14ac:dyDescent="0.35"/>
    <row r="662" s="260" customFormat="1" x14ac:dyDescent="0.35"/>
    <row r="663" s="260" customFormat="1" x14ac:dyDescent="0.35"/>
    <row r="664" s="260" customFormat="1" x14ac:dyDescent="0.35"/>
    <row r="665" s="260" customFormat="1" x14ac:dyDescent="0.35"/>
    <row r="666" s="260" customFormat="1" x14ac:dyDescent="0.35"/>
    <row r="667" s="260" customFormat="1" x14ac:dyDescent="0.35"/>
    <row r="668" s="260" customFormat="1" x14ac:dyDescent="0.35"/>
    <row r="669" s="260" customFormat="1" x14ac:dyDescent="0.35"/>
    <row r="670" s="260" customFormat="1" x14ac:dyDescent="0.35"/>
    <row r="671" s="260" customFormat="1" x14ac:dyDescent="0.35"/>
    <row r="672" s="260" customFormat="1" x14ac:dyDescent="0.35"/>
    <row r="673" s="260" customFormat="1" x14ac:dyDescent="0.35"/>
    <row r="674" s="260" customFormat="1" x14ac:dyDescent="0.35"/>
    <row r="675" s="260" customFormat="1" x14ac:dyDescent="0.35"/>
    <row r="676" s="260" customFormat="1" x14ac:dyDescent="0.35"/>
    <row r="677" s="260" customFormat="1" x14ac:dyDescent="0.35"/>
    <row r="678" s="260" customFormat="1" x14ac:dyDescent="0.35"/>
    <row r="679" s="260" customFormat="1" x14ac:dyDescent="0.35"/>
    <row r="680" s="260" customFormat="1" x14ac:dyDescent="0.35"/>
    <row r="681" s="260" customFormat="1" x14ac:dyDescent="0.35"/>
    <row r="682" s="260" customFormat="1" x14ac:dyDescent="0.35"/>
    <row r="683" s="260" customFormat="1" x14ac:dyDescent="0.35"/>
    <row r="684" s="260" customFormat="1" x14ac:dyDescent="0.35"/>
    <row r="685" s="260" customFormat="1" x14ac:dyDescent="0.35"/>
    <row r="686" s="260" customFormat="1" x14ac:dyDescent="0.35"/>
    <row r="687" s="260" customFormat="1" x14ac:dyDescent="0.35"/>
    <row r="688" s="260" customFormat="1" x14ac:dyDescent="0.35"/>
    <row r="689" s="260" customFormat="1" x14ac:dyDescent="0.35"/>
    <row r="690" s="260" customFormat="1" x14ac:dyDescent="0.35"/>
    <row r="691" s="260" customFormat="1" x14ac:dyDescent="0.35"/>
    <row r="692" s="260" customFormat="1" x14ac:dyDescent="0.35"/>
    <row r="693" s="260" customFormat="1" x14ac:dyDescent="0.35"/>
    <row r="694" s="260" customFormat="1" x14ac:dyDescent="0.35"/>
    <row r="695" s="260" customFormat="1" x14ac:dyDescent="0.35"/>
    <row r="696" s="260" customFormat="1" x14ac:dyDescent="0.35"/>
    <row r="697" s="260" customFormat="1" x14ac:dyDescent="0.35"/>
    <row r="698" s="260" customFormat="1" x14ac:dyDescent="0.35"/>
    <row r="699" s="260" customFormat="1" x14ac:dyDescent="0.35"/>
    <row r="700" s="260" customFormat="1" x14ac:dyDescent="0.35"/>
    <row r="701" s="260" customFormat="1" x14ac:dyDescent="0.35"/>
    <row r="702" s="260" customFormat="1" x14ac:dyDescent="0.35"/>
    <row r="703" s="260" customFormat="1" x14ac:dyDescent="0.35"/>
    <row r="704" s="260" customFormat="1" x14ac:dyDescent="0.35"/>
    <row r="705" s="260" customFormat="1" x14ac:dyDescent="0.35"/>
    <row r="706" s="260" customFormat="1" x14ac:dyDescent="0.35"/>
    <row r="707" s="260" customFormat="1" x14ac:dyDescent="0.35"/>
    <row r="708" s="260" customFormat="1" x14ac:dyDescent="0.35"/>
    <row r="709" s="260" customFormat="1" x14ac:dyDescent="0.35"/>
    <row r="710" s="260" customFormat="1" x14ac:dyDescent="0.35"/>
    <row r="711" s="260" customFormat="1" x14ac:dyDescent="0.35"/>
    <row r="712" s="260" customFormat="1" x14ac:dyDescent="0.35"/>
    <row r="713" s="260" customFormat="1" x14ac:dyDescent="0.35"/>
    <row r="714" s="260" customFormat="1" x14ac:dyDescent="0.35"/>
    <row r="715" s="260" customFormat="1" x14ac:dyDescent="0.35"/>
    <row r="716" s="260" customFormat="1" x14ac:dyDescent="0.35"/>
    <row r="717" s="260" customFormat="1" x14ac:dyDescent="0.35"/>
    <row r="718" s="260" customFormat="1" x14ac:dyDescent="0.35"/>
    <row r="719" s="260" customFormat="1" x14ac:dyDescent="0.35"/>
    <row r="720" s="260" customFormat="1" x14ac:dyDescent="0.35"/>
    <row r="721" s="260" customFormat="1" x14ac:dyDescent="0.35"/>
    <row r="722" s="260" customFormat="1" x14ac:dyDescent="0.35"/>
    <row r="723" s="260" customFormat="1" x14ac:dyDescent="0.35"/>
    <row r="724" s="260" customFormat="1" x14ac:dyDescent="0.35"/>
    <row r="725" s="260" customFormat="1" x14ac:dyDescent="0.35"/>
    <row r="726" s="260" customFormat="1" x14ac:dyDescent="0.35"/>
    <row r="727" s="260" customFormat="1" x14ac:dyDescent="0.35"/>
    <row r="728" s="260" customFormat="1" x14ac:dyDescent="0.35"/>
    <row r="729" s="260" customFormat="1" x14ac:dyDescent="0.35"/>
    <row r="730" s="260" customFormat="1" x14ac:dyDescent="0.35"/>
    <row r="731" s="260" customFormat="1" x14ac:dyDescent="0.35"/>
    <row r="732" s="260" customFormat="1" x14ac:dyDescent="0.35"/>
    <row r="733" s="260" customFormat="1" x14ac:dyDescent="0.35"/>
    <row r="734" s="260" customFormat="1" x14ac:dyDescent="0.35"/>
    <row r="735" s="260" customFormat="1" x14ac:dyDescent="0.35"/>
    <row r="736" s="260" customFormat="1" x14ac:dyDescent="0.35"/>
    <row r="737" s="260" customFormat="1" x14ac:dyDescent="0.35"/>
    <row r="738" s="260" customFormat="1" x14ac:dyDescent="0.35"/>
    <row r="739" s="260" customFormat="1" x14ac:dyDescent="0.35"/>
    <row r="740" s="260" customFormat="1" x14ac:dyDescent="0.35"/>
    <row r="741" s="260" customFormat="1" x14ac:dyDescent="0.35"/>
    <row r="742" s="260" customFormat="1" x14ac:dyDescent="0.35"/>
    <row r="743" s="260" customFormat="1" x14ac:dyDescent="0.35"/>
    <row r="744" s="260" customFormat="1" x14ac:dyDescent="0.35"/>
    <row r="745" s="260" customFormat="1" x14ac:dyDescent="0.35"/>
    <row r="746" s="260" customFormat="1" x14ac:dyDescent="0.35"/>
    <row r="747" s="260" customFormat="1" x14ac:dyDescent="0.35"/>
    <row r="748" s="260" customFormat="1" x14ac:dyDescent="0.35"/>
    <row r="749" s="260" customFormat="1" x14ac:dyDescent="0.35"/>
    <row r="750" s="260" customFormat="1" x14ac:dyDescent="0.35"/>
    <row r="751" s="260" customFormat="1" x14ac:dyDescent="0.35"/>
    <row r="752" s="260" customFormat="1" x14ac:dyDescent="0.35"/>
    <row r="753" s="260" customFormat="1" x14ac:dyDescent="0.35"/>
    <row r="754" s="260" customFormat="1" x14ac:dyDescent="0.35"/>
    <row r="755" s="260" customFormat="1" x14ac:dyDescent="0.35"/>
    <row r="756" s="260" customFormat="1" x14ac:dyDescent="0.35"/>
    <row r="757" s="260" customFormat="1" x14ac:dyDescent="0.35"/>
    <row r="758" s="260" customFormat="1" x14ac:dyDescent="0.35"/>
    <row r="759" s="260" customFormat="1" x14ac:dyDescent="0.35"/>
    <row r="760" s="260" customFormat="1" x14ac:dyDescent="0.35"/>
    <row r="761" s="260" customFormat="1" x14ac:dyDescent="0.35"/>
    <row r="762" s="260" customFormat="1" x14ac:dyDescent="0.35"/>
    <row r="763" s="260" customFormat="1" x14ac:dyDescent="0.35"/>
    <row r="764" s="260" customFormat="1" x14ac:dyDescent="0.35"/>
    <row r="765" s="260" customFormat="1" x14ac:dyDescent="0.35"/>
    <row r="766" s="260" customFormat="1" x14ac:dyDescent="0.35"/>
    <row r="767" s="260" customFormat="1" x14ac:dyDescent="0.35"/>
    <row r="768" s="260" customFormat="1" x14ac:dyDescent="0.35"/>
    <row r="769" s="260" customFormat="1" x14ac:dyDescent="0.35"/>
    <row r="770" s="260" customFormat="1" x14ac:dyDescent="0.35"/>
    <row r="771" s="260" customFormat="1" x14ac:dyDescent="0.35"/>
    <row r="772" s="260" customFormat="1" x14ac:dyDescent="0.35"/>
    <row r="773" s="260" customFormat="1" x14ac:dyDescent="0.35"/>
    <row r="774" s="260" customFormat="1" x14ac:dyDescent="0.35"/>
    <row r="775" s="260" customFormat="1" x14ac:dyDescent="0.35"/>
  </sheetData>
  <autoFilter ref="A3:AW133" xr:uid="{00000000-0009-0000-0000-000003000000}"/>
  <mergeCells count="11">
    <mergeCell ref="N105:N106"/>
    <mergeCell ref="N110:N111"/>
    <mergeCell ref="N112:N113"/>
    <mergeCell ref="N122:N123"/>
    <mergeCell ref="N124:N125"/>
    <mergeCell ref="N96:N97"/>
    <mergeCell ref="N5:N6"/>
    <mergeCell ref="N34:N35"/>
    <mergeCell ref="N43:N44"/>
    <mergeCell ref="N60:N61"/>
    <mergeCell ref="N84:N85"/>
  </mergeCells>
  <pageMargins left="0" right="0" top="0.75" bottom="0" header="0.3" footer="0.3"/>
  <pageSetup scale="55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872C-B46A-4031-A531-A0D256A5D477}">
  <dimension ref="A1:AW111"/>
  <sheetViews>
    <sheetView zoomScale="70" zoomScaleNormal="70" workbookViewId="0">
      <pane ySplit="3" topLeftCell="A4" activePane="bottomLeft" state="frozen"/>
      <selection activeCell="J367" sqref="J367"/>
      <selection pane="bottomLeft" activeCell="F18" sqref="F18"/>
    </sheetView>
  </sheetViews>
  <sheetFormatPr defaultColWidth="9.1796875" defaultRowHeight="14" x14ac:dyDescent="0.35"/>
  <cols>
    <col min="1" max="2" width="8.54296875" style="260" customWidth="1"/>
    <col min="3" max="4" width="26.7265625" style="260" customWidth="1"/>
    <col min="5" max="5" width="20.453125" style="260" customWidth="1"/>
    <col min="6" max="6" width="25" style="260" customWidth="1"/>
    <col min="7" max="7" width="9.7265625" style="260" customWidth="1"/>
    <col min="8" max="8" width="9.1796875" style="260"/>
    <col min="9" max="12" width="12.453125" style="274" customWidth="1"/>
    <col min="13" max="14" width="9.7265625" style="275" customWidth="1"/>
    <col min="15" max="15" width="12.1796875" style="276" customWidth="1"/>
    <col min="16" max="16" width="14.453125" style="274" customWidth="1"/>
    <col min="17" max="18" width="13" style="274" customWidth="1"/>
    <col min="19" max="19" width="29.26953125" style="274" customWidth="1"/>
    <col min="20" max="20" width="28.453125" style="275" customWidth="1"/>
    <col min="21" max="21" width="36" style="289" customWidth="1"/>
    <col min="22" max="22" width="19.1796875" style="289" customWidth="1"/>
    <col min="23" max="23" width="11" style="260" customWidth="1"/>
    <col min="24" max="24" width="12.1796875" style="276" customWidth="1"/>
    <col min="25" max="26" width="11.54296875" style="260" customWidth="1"/>
    <col min="27" max="27" width="12.54296875" style="260" customWidth="1"/>
    <col min="28" max="28" width="14.1796875" style="260" customWidth="1"/>
    <col min="29" max="29" width="14.7265625" style="260" customWidth="1"/>
    <col min="30" max="30" width="11.1796875" style="260" customWidth="1"/>
    <col min="31" max="31" width="19" style="260" customWidth="1"/>
    <col min="32" max="32" width="14.54296875" style="260" customWidth="1"/>
    <col min="33" max="33" width="14" style="260" customWidth="1"/>
    <col min="34" max="34" width="11.26953125" style="260" customWidth="1"/>
    <col min="35" max="38" width="13.453125" style="260" customWidth="1"/>
    <col min="39" max="40" width="17.1796875" style="260" customWidth="1"/>
    <col min="41" max="41" width="16.26953125" style="260" customWidth="1"/>
    <col min="42" max="42" width="12" style="260" customWidth="1"/>
    <col min="43" max="16384" width="9.1796875" style="260"/>
  </cols>
  <sheetData>
    <row r="1" spans="1:42" ht="20" x14ac:dyDescent="0.35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X1" s="258"/>
      <c r="Y1" s="258"/>
      <c r="Z1" s="258"/>
      <c r="AI1" s="258"/>
      <c r="AJ1" s="258"/>
      <c r="AK1" s="258"/>
      <c r="AL1" s="258"/>
    </row>
    <row r="3" spans="1:42" ht="42" x14ac:dyDescent="0.35">
      <c r="A3" s="261" t="s">
        <v>2541</v>
      </c>
      <c r="B3" s="109" t="s">
        <v>69</v>
      </c>
      <c r="C3" s="110" t="s">
        <v>4</v>
      </c>
      <c r="D3" s="111" t="s">
        <v>2542</v>
      </c>
      <c r="E3" s="261" t="s">
        <v>71</v>
      </c>
      <c r="F3" s="261" t="s">
        <v>72</v>
      </c>
      <c r="G3" s="261" t="s">
        <v>73</v>
      </c>
      <c r="H3" s="261" t="s">
        <v>74</v>
      </c>
      <c r="I3" s="262" t="s">
        <v>3485</v>
      </c>
      <c r="J3" s="262" t="s">
        <v>76</v>
      </c>
      <c r="K3" s="303" t="s">
        <v>3720</v>
      </c>
      <c r="L3" s="303" t="s">
        <v>3721</v>
      </c>
      <c r="M3" s="264" t="s">
        <v>79</v>
      </c>
      <c r="N3" s="264"/>
      <c r="O3" s="292" t="s">
        <v>3486</v>
      </c>
      <c r="P3" s="262" t="s">
        <v>3722</v>
      </c>
      <c r="Q3" s="262" t="s">
        <v>3723</v>
      </c>
      <c r="R3" s="262" t="s">
        <v>3724</v>
      </c>
      <c r="S3" s="262" t="s">
        <v>83</v>
      </c>
      <c r="T3" s="262"/>
      <c r="U3" s="262"/>
      <c r="V3" s="266" t="s">
        <v>10</v>
      </c>
      <c r="W3" s="267" t="s">
        <v>11</v>
      </c>
      <c r="X3" s="268" t="s">
        <v>13</v>
      </c>
      <c r="Y3" s="269" t="s">
        <v>14</v>
      </c>
      <c r="Z3" s="270" t="s">
        <v>16</v>
      </c>
      <c r="AA3" s="262" t="s">
        <v>86</v>
      </c>
      <c r="AB3" s="262" t="s">
        <v>87</v>
      </c>
      <c r="AC3" s="261" t="s">
        <v>88</v>
      </c>
      <c r="AD3" s="261" t="s">
        <v>89</v>
      </c>
      <c r="AE3" s="271" t="s">
        <v>90</v>
      </c>
      <c r="AF3" s="271" t="s">
        <v>91</v>
      </c>
      <c r="AK3" s="261" t="s">
        <v>95</v>
      </c>
      <c r="AL3" s="261" t="s">
        <v>96</v>
      </c>
      <c r="AM3" s="272" t="s">
        <v>3725</v>
      </c>
      <c r="AN3" s="272" t="s">
        <v>2557</v>
      </c>
      <c r="AO3" s="272" t="s">
        <v>2977</v>
      </c>
      <c r="AP3" s="272" t="s">
        <v>2559</v>
      </c>
    </row>
    <row r="4" spans="1:42" s="99" customFormat="1" ht="20.25" customHeight="1" x14ac:dyDescent="0.35">
      <c r="I4" s="140"/>
      <c r="J4" s="140"/>
      <c r="K4" s="140"/>
      <c r="L4" s="140"/>
      <c r="M4" s="141"/>
      <c r="N4" s="106"/>
      <c r="O4" s="106"/>
      <c r="P4" s="106"/>
      <c r="Q4" s="154"/>
      <c r="R4" s="155"/>
      <c r="S4" s="155"/>
      <c r="T4" s="156"/>
      <c r="U4" s="156"/>
      <c r="V4" s="156"/>
      <c r="W4" s="156"/>
      <c r="X4" s="156"/>
      <c r="Y4" s="157"/>
      <c r="AA4" s="158"/>
      <c r="AB4" s="158"/>
      <c r="AC4" s="158"/>
      <c r="AD4" s="158"/>
      <c r="AE4" s="158"/>
      <c r="AF4" s="158"/>
      <c r="AI4" s="158"/>
      <c r="AJ4" s="152"/>
      <c r="AK4" s="106"/>
      <c r="AL4" s="106"/>
      <c r="AM4" s="106"/>
      <c r="AN4" s="106"/>
    </row>
    <row r="6" spans="1:42" x14ac:dyDescent="0.35">
      <c r="N6" s="286">
        <f>SUBTOTAL(9,N4:N5)</f>
        <v>0</v>
      </c>
      <c r="O6" s="286">
        <f>SUBTOTAL(9,O4:O5)</f>
        <v>0</v>
      </c>
    </row>
    <row r="48" spans="1:49" s="274" customFormat="1" x14ac:dyDescent="0.35">
      <c r="A48" s="260"/>
      <c r="B48" s="260"/>
      <c r="C48" s="260"/>
      <c r="D48" s="260"/>
      <c r="E48" s="260"/>
      <c r="F48" s="260"/>
      <c r="G48" s="260"/>
      <c r="H48" s="260"/>
      <c r="M48" s="275"/>
      <c r="N48" s="275"/>
      <c r="O48" s="276"/>
      <c r="T48" s="275"/>
      <c r="U48" s="289"/>
      <c r="V48" s="289"/>
      <c r="W48" s="260"/>
      <c r="X48" s="276"/>
      <c r="Y48" s="260"/>
      <c r="Z48" s="260"/>
      <c r="AA48" s="260"/>
      <c r="AB48" s="260"/>
      <c r="AC48" s="260"/>
      <c r="AD48" s="260"/>
      <c r="AE48" s="260"/>
      <c r="AF48" s="260"/>
      <c r="AG48" s="260"/>
      <c r="AH48" s="260"/>
      <c r="AI48" s="26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260"/>
      <c r="AV48" s="260"/>
      <c r="AW48" s="260"/>
    </row>
    <row r="111" spans="7:7" x14ac:dyDescent="0.35">
      <c r="G111" s="260" t="s">
        <v>3726</v>
      </c>
    </row>
  </sheetData>
  <autoFilter ref="A3:AR3" xr:uid="{00000000-0009-0000-0000-000004000000}"/>
  <pageMargins left="0" right="0" top="0.75" bottom="0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28.02.2022</vt:lpstr>
      <vt:lpstr>Data</vt:lpstr>
      <vt:lpstr>Chart</vt:lpstr>
      <vt:lpstr>RM+WIP</vt:lpstr>
      <vt:lpstr> CPL</vt:lpstr>
      <vt:lpstr>MILL</vt:lpstr>
      <vt:lpstr>BAL</vt:lpstr>
      <vt:lpstr>SLT</vt:lpstr>
      <vt:lpstr>CTL</vt:lpstr>
      <vt:lpstr>FG</vt:lpstr>
      <vt:lpstr>FG-KW2 COIL</vt:lpstr>
      <vt:lpstr>FG KW2 SHEETS</vt:lpstr>
      <vt:lpstr>'28.02.2022'!Print_Area</vt:lpstr>
      <vt:lpstr>Chart!Print_Area</vt:lpstr>
      <vt:lpstr>CTL!Print_Area</vt:lpstr>
      <vt:lpstr>'FG KW2 SHEETS'!Print_Area</vt:lpstr>
      <vt:lpstr>'FG-KW2 COIL'!Print_Area</vt:lpstr>
      <vt:lpstr>'RM+WIP'!Print_Area</vt:lpstr>
      <vt:lpstr>SLT!Print_Area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dcterms:created xsi:type="dcterms:W3CDTF">2022-03-01T07:08:37Z</dcterms:created>
  <dcterms:modified xsi:type="dcterms:W3CDTF">2023-02-06T03:57:07Z</dcterms:modified>
</cp:coreProperties>
</file>